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O:\AREA COMUNICAZIONE\SITO INTERNET A&amp;T2000\RISULTATI RACCOLTA\2024\"/>
    </mc:Choice>
  </mc:AlternateContent>
  <xr:revisionPtr revIDLastSave="0" documentId="8_{E3A0C9B0-B5F8-4B60-A4C0-E9118351E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ARO" sheetId="1" r:id="rId1"/>
    <sheet name="AMPEZZO" sheetId="2" r:id="rId2"/>
    <sheet name="ARTA TERME" sheetId="3" r:id="rId3"/>
    <sheet name="ARTEGNA" sheetId="4" r:id="rId4"/>
    <sheet name="BASILIANO" sheetId="5" r:id="rId5"/>
    <sheet name="BERTIOLO" sheetId="6" r:id="rId6"/>
    <sheet name="BORDANO" sheetId="7" r:id="rId7"/>
    <sheet name="BUTTRIO" sheetId="8" r:id="rId8"/>
    <sheet name="CAMINO AL TAGLIAMENTO" sheetId="9" r:id="rId9"/>
    <sheet name="CAMPOFORMIDO" sheetId="10" r:id="rId10"/>
    <sheet name="CAVAZZO CARNICO" sheetId="11" r:id="rId11"/>
    <sheet name="CERCIVENTO" sheetId="12" r:id="rId12"/>
    <sheet name="CODROIPO" sheetId="13" r:id="rId13"/>
    <sheet name="COLLOREDO DI MONTE ALBANO" sheetId="14" r:id="rId14"/>
    <sheet name="COMEGLIANS" sheetId="15" r:id="rId15"/>
    <sheet name="CORNO DI ROSAZZO" sheetId="16" r:id="rId16"/>
    <sheet name="COSEANO" sheetId="17" r:id="rId17"/>
    <sheet name="DIGNANO" sheetId="18" r:id="rId18"/>
    <sheet name="DOGNA" sheetId="19" r:id="rId19"/>
    <sheet name="ENEMONZO" sheetId="20" r:id="rId20"/>
    <sheet name="FAGAGNA" sheetId="21" r:id="rId21"/>
    <sheet name="FLAIBANO" sheetId="22" r:id="rId22"/>
    <sheet name="FORGARIA NEL FRIULI" sheetId="23" r:id="rId23"/>
    <sheet name="FORNI AVOLTRI" sheetId="24" r:id="rId24"/>
    <sheet name="FORNI DI SOPRA" sheetId="25" r:id="rId25"/>
    <sheet name="FORNI DI SOTTO" sheetId="26" r:id="rId26"/>
    <sheet name="GEMONA DEL FRIULI" sheetId="27" r:id="rId27"/>
    <sheet name="LAUCO" sheetId="28" r:id="rId28"/>
    <sheet name="LESTIZZA" sheetId="29" r:id="rId29"/>
    <sheet name="LUSEVERA" sheetId="30" r:id="rId30"/>
    <sheet name="MAGNANO IN RIVIERA" sheetId="31" r:id="rId31"/>
    <sheet name="MAJANO" sheetId="32" r:id="rId32"/>
    <sheet name="MARTIGNACCO" sheetId="33" r:id="rId33"/>
    <sheet name="MOGGIO UDINESE" sheetId="34" r:id="rId34"/>
    <sheet name="MOIMACCO" sheetId="35" r:id="rId35"/>
    <sheet name="MONTENARS" sheetId="36" r:id="rId36"/>
    <sheet name="MORTEGLIANO" sheetId="37" r:id="rId37"/>
    <sheet name="MORUZZO" sheetId="38" r:id="rId38"/>
    <sheet name="NIMIS" sheetId="39" r:id="rId39"/>
    <sheet name="OSOPPO" sheetId="40" r:id="rId40"/>
    <sheet name="OVARO" sheetId="41" r:id="rId41"/>
    <sheet name="PAGNACCO" sheetId="42" r:id="rId42"/>
    <sheet name="PALUZZA" sheetId="43" r:id="rId43"/>
    <sheet name="PASIAN DI PRATO" sheetId="44" r:id="rId44"/>
    <sheet name="PAULARO" sheetId="45" r:id="rId45"/>
    <sheet name="PAVIA DI UDINE" sheetId="46" r:id="rId46"/>
    <sheet name="POZZUOLO DEL FRIULI" sheetId="47" r:id="rId47"/>
    <sheet name="PRADAMANO" sheetId="48" r:id="rId48"/>
    <sheet name="PRATO CARNICO" sheetId="49" r:id="rId49"/>
    <sheet name="PREMARIACCO" sheetId="50" r:id="rId50"/>
    <sheet name="PREONE" sheetId="51" r:id="rId51"/>
    <sheet name="RAGOGNA" sheetId="52" r:id="rId52"/>
    <sheet name="RAVASCLETTO" sheetId="53" r:id="rId53"/>
    <sheet name="RAVEO" sheetId="54" r:id="rId54"/>
    <sheet name="REANA DEL ROJALE" sheetId="55" r:id="rId55"/>
    <sheet name="REMANZACCO" sheetId="56" r:id="rId56"/>
    <sheet name="RESIUTTA" sheetId="57" r:id="rId57"/>
    <sheet name="RIGOLATO" sheetId="58" r:id="rId58"/>
    <sheet name="RIVE D'ARCANO" sheetId="59" r:id="rId59"/>
    <sheet name="RIVIGNANO TEOR" sheetId="60" r:id="rId60"/>
    <sheet name="SAN DANIELE DEL FRIULI" sheetId="61" r:id="rId61"/>
    <sheet name="SAN DORLIGO DELLA VALLE-DOLINA" sheetId="62" r:id="rId62"/>
    <sheet name="SAN GIOVANNI AL NATISONE" sheetId="63" r:id="rId63"/>
    <sheet name="SAN VITO DI FAGAGNA" sheetId="64" r:id="rId64"/>
    <sheet name="SAPPADA" sheetId="65" r:id="rId65"/>
    <sheet name="SAURIS" sheetId="66" r:id="rId66"/>
    <sheet name="SEDEGLIANO" sheetId="67" r:id="rId67"/>
    <sheet name="SOCCHIEVE" sheetId="68" r:id="rId68"/>
    <sheet name="SUTRIO" sheetId="69" r:id="rId69"/>
    <sheet name="TAIPANA" sheetId="70" r:id="rId70"/>
    <sheet name="TARCENTO" sheetId="71" r:id="rId71"/>
    <sheet name="TOLMEZZO" sheetId="72" r:id="rId72"/>
    <sheet name="TRASAGHIS" sheetId="73" r:id="rId73"/>
    <sheet name="TREPPO GRANDE" sheetId="74" r:id="rId74"/>
    <sheet name="TREPPO LIGOSULLO" sheetId="75" r:id="rId75"/>
    <sheet name="VARMO" sheetId="76" r:id="rId76"/>
    <sheet name="VENZONE" sheetId="77" r:id="rId77"/>
    <sheet name="VERZEGNIS" sheetId="78" r:id="rId78"/>
    <sheet name="VILLA SANTINA" sheetId="79" r:id="rId79"/>
    <sheet name="ZUGLIO" sheetId="80" r:id="rId8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80" l="1"/>
  <c r="G61" i="80"/>
  <c r="G60" i="80"/>
  <c r="G59" i="80"/>
  <c r="E54" i="80"/>
  <c r="D54" i="80"/>
  <c r="C54" i="80"/>
  <c r="E53" i="80"/>
  <c r="D53" i="80"/>
  <c r="C53" i="80"/>
  <c r="H47" i="80"/>
  <c r="G47" i="80"/>
  <c r="H46" i="80"/>
  <c r="G46" i="80"/>
  <c r="G45" i="80"/>
  <c r="H45" i="80" s="1"/>
  <c r="F38" i="80"/>
  <c r="E38" i="80"/>
  <c r="D38" i="80"/>
  <c r="C38" i="80"/>
  <c r="H37" i="80"/>
  <c r="G37" i="80"/>
  <c r="H36" i="80"/>
  <c r="G36" i="80"/>
  <c r="J35" i="80"/>
  <c r="H35" i="80"/>
  <c r="G35" i="80"/>
  <c r="J34" i="80"/>
  <c r="G34" i="80"/>
  <c r="G33" i="80"/>
  <c r="G32" i="80"/>
  <c r="J31" i="80"/>
  <c r="H31" i="80"/>
  <c r="G31" i="80"/>
  <c r="J30" i="80"/>
  <c r="H30" i="80"/>
  <c r="G30" i="80"/>
  <c r="J29" i="80"/>
  <c r="G29" i="80"/>
  <c r="J28" i="80"/>
  <c r="H28" i="80"/>
  <c r="G28" i="80"/>
  <c r="J27" i="80"/>
  <c r="H27" i="80"/>
  <c r="G27" i="80"/>
  <c r="J26" i="80"/>
  <c r="G26" i="80"/>
  <c r="G25" i="80"/>
  <c r="H24" i="80"/>
  <c r="G24" i="80"/>
  <c r="J24" i="80" s="1"/>
  <c r="H23" i="80"/>
  <c r="G23" i="80"/>
  <c r="J22" i="80"/>
  <c r="H22" i="80"/>
  <c r="G22" i="80"/>
  <c r="J21" i="80"/>
  <c r="G21" i="80"/>
  <c r="J20" i="80"/>
  <c r="H20" i="80"/>
  <c r="G20" i="80"/>
  <c r="H19" i="80"/>
  <c r="G19" i="80"/>
  <c r="H18" i="80"/>
  <c r="G18" i="80"/>
  <c r="J17" i="80"/>
  <c r="H17" i="80"/>
  <c r="G17" i="80"/>
  <c r="G16" i="80"/>
  <c r="H16" i="80" s="1"/>
  <c r="G15" i="80"/>
  <c r="H14" i="80"/>
  <c r="G14" i="80"/>
  <c r="J14" i="80" s="1"/>
  <c r="G13" i="80"/>
  <c r="H13" i="80" s="1"/>
  <c r="G12" i="80"/>
  <c r="H11" i="80"/>
  <c r="G11" i="80"/>
  <c r="J11" i="80" s="1"/>
  <c r="G10" i="80"/>
  <c r="H10" i="80" s="1"/>
  <c r="H9" i="80"/>
  <c r="G9" i="80"/>
  <c r="G66" i="79"/>
  <c r="G65" i="79"/>
  <c r="G64" i="79"/>
  <c r="G63" i="79"/>
  <c r="E58" i="79"/>
  <c r="D58" i="79"/>
  <c r="C58" i="79"/>
  <c r="E57" i="79"/>
  <c r="D57" i="79"/>
  <c r="C57" i="79"/>
  <c r="H51" i="79"/>
  <c r="G51" i="79"/>
  <c r="H50" i="79"/>
  <c r="G50" i="79"/>
  <c r="G49" i="79"/>
  <c r="H49" i="79" s="1"/>
  <c r="F42" i="79"/>
  <c r="E42" i="79"/>
  <c r="D42" i="79"/>
  <c r="C42" i="79"/>
  <c r="H41" i="79"/>
  <c r="G41" i="79"/>
  <c r="G40" i="79"/>
  <c r="H40" i="79" s="1"/>
  <c r="G39" i="79"/>
  <c r="H38" i="79"/>
  <c r="G38" i="79"/>
  <c r="J38" i="79" s="1"/>
  <c r="H37" i="79"/>
  <c r="G37" i="79"/>
  <c r="J36" i="79"/>
  <c r="H36" i="79"/>
  <c r="G36" i="79"/>
  <c r="J35" i="79"/>
  <c r="G35" i="79"/>
  <c r="G34" i="79"/>
  <c r="H33" i="79"/>
  <c r="G33" i="79"/>
  <c r="J33" i="79" s="1"/>
  <c r="H32" i="79"/>
  <c r="G32" i="79"/>
  <c r="J31" i="79"/>
  <c r="H31" i="79"/>
  <c r="G31" i="79"/>
  <c r="J30" i="79"/>
  <c r="G30" i="79"/>
  <c r="J29" i="79"/>
  <c r="H29" i="79"/>
  <c r="G29" i="79"/>
  <c r="J28" i="79"/>
  <c r="H28" i="79"/>
  <c r="G28" i="79"/>
  <c r="J27" i="79"/>
  <c r="G27" i="79"/>
  <c r="J26" i="79"/>
  <c r="H26" i="79"/>
  <c r="G26" i="79"/>
  <c r="J25" i="79"/>
  <c r="H25" i="79"/>
  <c r="G25" i="79"/>
  <c r="J24" i="79"/>
  <c r="G24" i="79"/>
  <c r="J23" i="79"/>
  <c r="H23" i="79"/>
  <c r="G23" i="79"/>
  <c r="J22" i="79"/>
  <c r="H22" i="79"/>
  <c r="G22" i="79"/>
  <c r="J21" i="79"/>
  <c r="G21" i="79"/>
  <c r="J20" i="79"/>
  <c r="H20" i="79"/>
  <c r="G20" i="79"/>
  <c r="J19" i="79"/>
  <c r="H19" i="79"/>
  <c r="G19" i="79"/>
  <c r="J18" i="79"/>
  <c r="G18" i="79"/>
  <c r="J17" i="79"/>
  <c r="H17" i="79"/>
  <c r="G17" i="79"/>
  <c r="J16" i="79"/>
  <c r="H16" i="79"/>
  <c r="G16" i="79"/>
  <c r="J15" i="79"/>
  <c r="G15" i="79"/>
  <c r="J14" i="79"/>
  <c r="H14" i="79"/>
  <c r="G14" i="79"/>
  <c r="J13" i="79"/>
  <c r="H13" i="79"/>
  <c r="G13" i="79"/>
  <c r="J12" i="79"/>
  <c r="G12" i="79"/>
  <c r="J11" i="79"/>
  <c r="H11" i="79"/>
  <c r="G11" i="79"/>
  <c r="J10" i="79"/>
  <c r="H10" i="79"/>
  <c r="G10" i="79"/>
  <c r="J9" i="79"/>
  <c r="G9" i="79"/>
  <c r="G64" i="78"/>
  <c r="G63" i="78"/>
  <c r="G62" i="78"/>
  <c r="G61" i="78"/>
  <c r="E56" i="78"/>
  <c r="D56" i="78"/>
  <c r="C56" i="78"/>
  <c r="E55" i="78"/>
  <c r="D55" i="78"/>
  <c r="C55" i="78"/>
  <c r="G49" i="78"/>
  <c r="H49" i="78" s="1"/>
  <c r="H48" i="78"/>
  <c r="G48" i="78"/>
  <c r="H47" i="78"/>
  <c r="G47" i="78"/>
  <c r="F40" i="78"/>
  <c r="E40" i="78"/>
  <c r="D40" i="78"/>
  <c r="C40" i="78"/>
  <c r="G39" i="78"/>
  <c r="H39" i="78" s="1"/>
  <c r="G38" i="78"/>
  <c r="G37" i="78"/>
  <c r="J36" i="78"/>
  <c r="H36" i="78"/>
  <c r="G36" i="78"/>
  <c r="J35" i="78"/>
  <c r="H35" i="78"/>
  <c r="G35" i="78"/>
  <c r="J34" i="78"/>
  <c r="G34" i="78"/>
  <c r="J33" i="78"/>
  <c r="H33" i="78"/>
  <c r="G33" i="78"/>
  <c r="J32" i="78"/>
  <c r="H32" i="78"/>
  <c r="G32" i="78"/>
  <c r="J31" i="78"/>
  <c r="G31" i="78"/>
  <c r="J30" i="78"/>
  <c r="H30" i="78"/>
  <c r="G30" i="78"/>
  <c r="J29" i="78"/>
  <c r="H29" i="78"/>
  <c r="G29" i="78"/>
  <c r="J28" i="78"/>
  <c r="G28" i="78"/>
  <c r="J27" i="78"/>
  <c r="H27" i="78"/>
  <c r="G27" i="78"/>
  <c r="H26" i="78"/>
  <c r="G26" i="78"/>
  <c r="H25" i="78"/>
  <c r="G25" i="78"/>
  <c r="J24" i="78"/>
  <c r="H24" i="78"/>
  <c r="G24" i="78"/>
  <c r="J23" i="78"/>
  <c r="G23" i="78"/>
  <c r="J22" i="78"/>
  <c r="H22" i="78"/>
  <c r="G22" i="78"/>
  <c r="J21" i="78"/>
  <c r="H21" i="78"/>
  <c r="G21" i="78"/>
  <c r="G20" i="78"/>
  <c r="H20" i="78" s="1"/>
  <c r="H19" i="78"/>
  <c r="G19" i="78"/>
  <c r="J18" i="78"/>
  <c r="G18" i="78"/>
  <c r="G17" i="78"/>
  <c r="H16" i="78"/>
  <c r="G16" i="78"/>
  <c r="J16" i="78" s="1"/>
  <c r="G15" i="78"/>
  <c r="H15" i="78" s="1"/>
  <c r="G14" i="78"/>
  <c r="H13" i="78"/>
  <c r="G13" i="78"/>
  <c r="J13" i="78" s="1"/>
  <c r="G12" i="78"/>
  <c r="H12" i="78" s="1"/>
  <c r="G11" i="78"/>
  <c r="G10" i="78"/>
  <c r="G9" i="78"/>
  <c r="G61" i="77"/>
  <c r="G60" i="77"/>
  <c r="G59" i="77"/>
  <c r="G58" i="77"/>
  <c r="E53" i="77"/>
  <c r="D53" i="77"/>
  <c r="C53" i="77"/>
  <c r="E52" i="77"/>
  <c r="D52" i="77"/>
  <c r="C52" i="77"/>
  <c r="G46" i="77"/>
  <c r="H46" i="77" s="1"/>
  <c r="G45" i="77"/>
  <c r="H45" i="77" s="1"/>
  <c r="H44" i="77"/>
  <c r="G44" i="77"/>
  <c r="F37" i="77"/>
  <c r="E37" i="77"/>
  <c r="D37" i="77"/>
  <c r="C37" i="77"/>
  <c r="G36" i="77"/>
  <c r="H35" i="77"/>
  <c r="G35" i="77"/>
  <c r="J35" i="77" s="1"/>
  <c r="H34" i="77"/>
  <c r="G34" i="77"/>
  <c r="H33" i="77"/>
  <c r="G33" i="77"/>
  <c r="G32" i="77"/>
  <c r="H32" i="77" s="1"/>
  <c r="G31" i="77"/>
  <c r="G30" i="77"/>
  <c r="H29" i="77"/>
  <c r="G29" i="77"/>
  <c r="J29" i="77" s="1"/>
  <c r="J28" i="77"/>
  <c r="G28" i="77"/>
  <c r="H28" i="77" s="1"/>
  <c r="J27" i="77"/>
  <c r="G27" i="77"/>
  <c r="H26" i="77"/>
  <c r="G26" i="77"/>
  <c r="J26" i="77" s="1"/>
  <c r="J25" i="77"/>
  <c r="G25" i="77"/>
  <c r="H25" i="77" s="1"/>
  <c r="J24" i="77"/>
  <c r="G24" i="77"/>
  <c r="J23" i="77"/>
  <c r="H23" i="77"/>
  <c r="G23" i="77"/>
  <c r="J22" i="77"/>
  <c r="H22" i="77"/>
  <c r="G22" i="77"/>
  <c r="J21" i="77"/>
  <c r="G21" i="77"/>
  <c r="J20" i="77"/>
  <c r="H20" i="77"/>
  <c r="G20" i="77"/>
  <c r="J19" i="77"/>
  <c r="H19" i="77"/>
  <c r="G19" i="77"/>
  <c r="G18" i="77"/>
  <c r="H18" i="77" s="1"/>
  <c r="G17" i="77"/>
  <c r="H16" i="77"/>
  <c r="G16" i="77"/>
  <c r="J16" i="77" s="1"/>
  <c r="G15" i="77"/>
  <c r="H15" i="77" s="1"/>
  <c r="G14" i="77"/>
  <c r="H13" i="77"/>
  <c r="G13" i="77"/>
  <c r="J13" i="77" s="1"/>
  <c r="G12" i="77"/>
  <c r="H12" i="77" s="1"/>
  <c r="G11" i="77"/>
  <c r="H10" i="77"/>
  <c r="G10" i="77"/>
  <c r="J10" i="77" s="1"/>
  <c r="G9" i="77"/>
  <c r="H9" i="77" s="1"/>
  <c r="G68" i="76"/>
  <c r="G67" i="76"/>
  <c r="G66" i="76"/>
  <c r="G65" i="76"/>
  <c r="E60" i="76"/>
  <c r="D60" i="76"/>
  <c r="C60" i="76"/>
  <c r="E59" i="76"/>
  <c r="D59" i="76"/>
  <c r="C59" i="76"/>
  <c r="G53" i="76"/>
  <c r="H53" i="76" s="1"/>
  <c r="H52" i="76"/>
  <c r="G52" i="76"/>
  <c r="G51" i="76"/>
  <c r="H51" i="76" s="1"/>
  <c r="F44" i="76"/>
  <c r="E44" i="76"/>
  <c r="D44" i="76"/>
  <c r="C44" i="76"/>
  <c r="G43" i="76"/>
  <c r="H43" i="76" s="1"/>
  <c r="G42" i="76"/>
  <c r="G41" i="76"/>
  <c r="H40" i="76"/>
  <c r="G40" i="76"/>
  <c r="J40" i="76" s="1"/>
  <c r="J39" i="76"/>
  <c r="G39" i="76"/>
  <c r="H39" i="76" s="1"/>
  <c r="G38" i="76"/>
  <c r="H37" i="76"/>
  <c r="G37" i="76"/>
  <c r="J37" i="76" s="1"/>
  <c r="J36" i="76"/>
  <c r="G36" i="76"/>
  <c r="H36" i="76" s="1"/>
  <c r="J35" i="76"/>
  <c r="G35" i="76"/>
  <c r="H34" i="76"/>
  <c r="G34" i="76"/>
  <c r="J34" i="76" s="1"/>
  <c r="J33" i="76"/>
  <c r="G33" i="76"/>
  <c r="H33" i="76" s="1"/>
  <c r="J32" i="76"/>
  <c r="G32" i="76"/>
  <c r="H31" i="76"/>
  <c r="G31" i="76"/>
  <c r="J31" i="76" s="1"/>
  <c r="J30" i="76"/>
  <c r="G30" i="76"/>
  <c r="H30" i="76" s="1"/>
  <c r="G29" i="76"/>
  <c r="H28" i="76"/>
  <c r="G28" i="76"/>
  <c r="J28" i="76" s="1"/>
  <c r="J27" i="76"/>
  <c r="G27" i="76"/>
  <c r="H27" i="76" s="1"/>
  <c r="J26" i="76"/>
  <c r="G26" i="76"/>
  <c r="H25" i="76"/>
  <c r="G25" i="76"/>
  <c r="J25" i="76" s="1"/>
  <c r="J24" i="76"/>
  <c r="H24" i="76"/>
  <c r="G24" i="76"/>
  <c r="J23" i="76"/>
  <c r="H23" i="76"/>
  <c r="G23" i="76"/>
  <c r="J22" i="76"/>
  <c r="H22" i="76"/>
  <c r="G22" i="76"/>
  <c r="J21" i="76"/>
  <c r="H21" i="76"/>
  <c r="G21" i="76"/>
  <c r="G20" i="76"/>
  <c r="J19" i="76"/>
  <c r="H19" i="76"/>
  <c r="G19" i="76"/>
  <c r="J18" i="76"/>
  <c r="H18" i="76"/>
  <c r="G18" i="76"/>
  <c r="J17" i="76"/>
  <c r="H17" i="76"/>
  <c r="G17" i="76"/>
  <c r="J16" i="76"/>
  <c r="H16" i="76"/>
  <c r="G16" i="76"/>
  <c r="J15" i="76"/>
  <c r="H15" i="76"/>
  <c r="G15" i="76"/>
  <c r="J14" i="76"/>
  <c r="H14" i="76"/>
  <c r="G14" i="76"/>
  <c r="J13" i="76"/>
  <c r="H13" i="76"/>
  <c r="G13" i="76"/>
  <c r="J12" i="76"/>
  <c r="H12" i="76"/>
  <c r="G12" i="76"/>
  <c r="G11" i="76"/>
  <c r="J10" i="76"/>
  <c r="H10" i="76"/>
  <c r="G10" i="76"/>
  <c r="J9" i="76"/>
  <c r="H9" i="76"/>
  <c r="G9" i="76"/>
  <c r="G61" i="75"/>
  <c r="G60" i="75"/>
  <c r="G59" i="75"/>
  <c r="G58" i="75"/>
  <c r="E53" i="75"/>
  <c r="D53" i="75"/>
  <c r="C53" i="75"/>
  <c r="E52" i="75"/>
  <c r="D52" i="75"/>
  <c r="C52" i="75"/>
  <c r="H46" i="75"/>
  <c r="G46" i="75"/>
  <c r="H45" i="75"/>
  <c r="G45" i="75"/>
  <c r="G44" i="75"/>
  <c r="H44" i="75" s="1"/>
  <c r="F37" i="75"/>
  <c r="E37" i="75"/>
  <c r="D37" i="75"/>
  <c r="C37" i="75"/>
  <c r="H36" i="75"/>
  <c r="G36" i="75"/>
  <c r="H35" i="75"/>
  <c r="G35" i="75"/>
  <c r="J34" i="75"/>
  <c r="H34" i="75"/>
  <c r="G34" i="75"/>
  <c r="H33" i="75"/>
  <c r="G33" i="75"/>
  <c r="G32" i="75"/>
  <c r="G31" i="75"/>
  <c r="G30" i="75"/>
  <c r="H29" i="75"/>
  <c r="G29" i="75"/>
  <c r="G28" i="75"/>
  <c r="H27" i="75"/>
  <c r="G27" i="75"/>
  <c r="J27" i="75" s="1"/>
  <c r="G26" i="75"/>
  <c r="J25" i="75"/>
  <c r="G25" i="75"/>
  <c r="H24" i="75"/>
  <c r="G24" i="75"/>
  <c r="J24" i="75" s="1"/>
  <c r="G23" i="75"/>
  <c r="G22" i="75"/>
  <c r="H21" i="75"/>
  <c r="G21" i="75"/>
  <c r="J21" i="75" s="1"/>
  <c r="G20" i="75"/>
  <c r="H19" i="75"/>
  <c r="G19" i="75"/>
  <c r="J18" i="75"/>
  <c r="G18" i="75"/>
  <c r="J17" i="75"/>
  <c r="H17" i="75"/>
  <c r="G17" i="75"/>
  <c r="J16" i="75"/>
  <c r="H16" i="75"/>
  <c r="G16" i="75"/>
  <c r="H15" i="75"/>
  <c r="G15" i="75"/>
  <c r="J14" i="75"/>
  <c r="H14" i="75"/>
  <c r="G14" i="75"/>
  <c r="J13" i="75"/>
  <c r="H13" i="75"/>
  <c r="G13" i="75"/>
  <c r="J12" i="75"/>
  <c r="H12" i="75"/>
  <c r="G12" i="75"/>
  <c r="J11" i="75"/>
  <c r="H11" i="75"/>
  <c r="G11" i="75"/>
  <c r="J10" i="75"/>
  <c r="H10" i="75"/>
  <c r="G10" i="75"/>
  <c r="J9" i="75"/>
  <c r="H9" i="75"/>
  <c r="G9" i="75"/>
  <c r="G43" i="74"/>
  <c r="G42" i="74"/>
  <c r="G41" i="74"/>
  <c r="G40" i="74"/>
  <c r="E35" i="74"/>
  <c r="D35" i="74"/>
  <c r="C35" i="74"/>
  <c r="E34" i="74"/>
  <c r="D34" i="74"/>
  <c r="C34" i="74"/>
  <c r="H28" i="74"/>
  <c r="G28" i="74"/>
  <c r="H27" i="74"/>
  <c r="G27" i="74"/>
  <c r="H26" i="74"/>
  <c r="G26" i="74"/>
  <c r="F19" i="74"/>
  <c r="E19" i="74"/>
  <c r="D19" i="74"/>
  <c r="C19" i="74"/>
  <c r="G18" i="74"/>
  <c r="H18" i="74" s="1"/>
  <c r="H17" i="74"/>
  <c r="G17" i="74"/>
  <c r="J17" i="74" s="1"/>
  <c r="J16" i="74"/>
  <c r="H16" i="74"/>
  <c r="G16" i="74"/>
  <c r="H15" i="74"/>
  <c r="G15" i="74"/>
  <c r="H14" i="74"/>
  <c r="G14" i="74"/>
  <c r="J14" i="74" s="1"/>
  <c r="J13" i="74"/>
  <c r="G13" i="74"/>
  <c r="H13" i="74" s="1"/>
  <c r="G12" i="74"/>
  <c r="H11" i="74"/>
  <c r="G11" i="74"/>
  <c r="J11" i="74" s="1"/>
  <c r="G10" i="74"/>
  <c r="J9" i="74"/>
  <c r="G9" i="74"/>
  <c r="G69" i="73"/>
  <c r="G68" i="73"/>
  <c r="G67" i="73"/>
  <c r="G66" i="73"/>
  <c r="E61" i="73"/>
  <c r="D61" i="73"/>
  <c r="C61" i="73"/>
  <c r="E60" i="73"/>
  <c r="D60" i="73"/>
  <c r="C60" i="73"/>
  <c r="G54" i="73"/>
  <c r="H54" i="73" s="1"/>
  <c r="G53" i="73"/>
  <c r="H53" i="73" s="1"/>
  <c r="G52" i="73"/>
  <c r="H52" i="73" s="1"/>
  <c r="G45" i="73"/>
  <c r="F45" i="73"/>
  <c r="E45" i="73"/>
  <c r="D45" i="73"/>
  <c r="C45" i="73"/>
  <c r="G44" i="73"/>
  <c r="J43" i="73"/>
  <c r="G43" i="73"/>
  <c r="H42" i="73"/>
  <c r="G42" i="73"/>
  <c r="G41" i="73"/>
  <c r="J41" i="73" s="1"/>
  <c r="G40" i="73"/>
  <c r="J39" i="73"/>
  <c r="H39" i="73"/>
  <c r="G39" i="73"/>
  <c r="H38" i="73"/>
  <c r="G38" i="73"/>
  <c r="J38" i="73" s="1"/>
  <c r="J37" i="73"/>
  <c r="G37" i="73"/>
  <c r="H37" i="73" s="1"/>
  <c r="H36" i="73"/>
  <c r="G36" i="73"/>
  <c r="G35" i="73"/>
  <c r="H35" i="73" s="1"/>
  <c r="H34" i="73"/>
  <c r="G34" i="73"/>
  <c r="J34" i="73" s="1"/>
  <c r="H33" i="73"/>
  <c r="G33" i="73"/>
  <c r="J33" i="73" s="1"/>
  <c r="J32" i="73"/>
  <c r="G32" i="73"/>
  <c r="H32" i="73" s="1"/>
  <c r="G31" i="73"/>
  <c r="H30" i="73"/>
  <c r="G30" i="73"/>
  <c r="J30" i="73" s="1"/>
  <c r="G29" i="73"/>
  <c r="J28" i="73"/>
  <c r="G28" i="73"/>
  <c r="H28" i="73" s="1"/>
  <c r="G27" i="73"/>
  <c r="J26" i="73"/>
  <c r="G26" i="73"/>
  <c r="H26" i="73" s="1"/>
  <c r="H25" i="73"/>
  <c r="G25" i="73"/>
  <c r="J25" i="73" s="1"/>
  <c r="H24" i="73"/>
  <c r="G24" i="73"/>
  <c r="J24" i="73" s="1"/>
  <c r="J23" i="73"/>
  <c r="G23" i="73"/>
  <c r="H23" i="73" s="1"/>
  <c r="G22" i="73"/>
  <c r="H21" i="73"/>
  <c r="G21" i="73"/>
  <c r="J21" i="73" s="1"/>
  <c r="G20" i="73"/>
  <c r="J19" i="73"/>
  <c r="G19" i="73"/>
  <c r="H19" i="73" s="1"/>
  <c r="H18" i="73"/>
  <c r="G18" i="73"/>
  <c r="J17" i="73"/>
  <c r="G17" i="73"/>
  <c r="H17" i="73" s="1"/>
  <c r="H16" i="73"/>
  <c r="G16" i="73"/>
  <c r="J16" i="73" s="1"/>
  <c r="H15" i="73"/>
  <c r="G15" i="73"/>
  <c r="J15" i="73" s="1"/>
  <c r="J14" i="73"/>
  <c r="G14" i="73"/>
  <c r="H14" i="73" s="1"/>
  <c r="G13" i="73"/>
  <c r="H12" i="73"/>
  <c r="G12" i="73"/>
  <c r="J12" i="73" s="1"/>
  <c r="G11" i="73"/>
  <c r="J10" i="73"/>
  <c r="G10" i="73"/>
  <c r="H10" i="73" s="1"/>
  <c r="H9" i="73"/>
  <c r="G9" i="73"/>
  <c r="G72" i="72"/>
  <c r="G71" i="72"/>
  <c r="G70" i="72"/>
  <c r="G69" i="72"/>
  <c r="E64" i="72"/>
  <c r="D64" i="72"/>
  <c r="C64" i="72"/>
  <c r="E63" i="72"/>
  <c r="D63" i="72"/>
  <c r="C63" i="72"/>
  <c r="H57" i="72"/>
  <c r="G57" i="72"/>
  <c r="H56" i="72"/>
  <c r="G56" i="72"/>
  <c r="G55" i="72"/>
  <c r="H55" i="72" s="1"/>
  <c r="F48" i="72"/>
  <c r="E48" i="72"/>
  <c r="D48" i="72"/>
  <c r="C48" i="72"/>
  <c r="H47" i="72"/>
  <c r="G47" i="72"/>
  <c r="J46" i="72"/>
  <c r="H46" i="72"/>
  <c r="G46" i="72"/>
  <c r="J45" i="72"/>
  <c r="H45" i="72"/>
  <c r="G45" i="72"/>
  <c r="J44" i="72"/>
  <c r="G44" i="72"/>
  <c r="J43" i="72"/>
  <c r="H43" i="72"/>
  <c r="G43" i="72"/>
  <c r="G42" i="72"/>
  <c r="G41" i="72"/>
  <c r="G40" i="72"/>
  <c r="H40" i="72" s="1"/>
  <c r="G39" i="72"/>
  <c r="H38" i="72"/>
  <c r="G38" i="72"/>
  <c r="G37" i="72"/>
  <c r="J36" i="72"/>
  <c r="G36" i="72"/>
  <c r="H35" i="72"/>
  <c r="G35" i="72"/>
  <c r="J35" i="72" s="1"/>
  <c r="H34" i="72"/>
  <c r="G34" i="72"/>
  <c r="J34" i="72" s="1"/>
  <c r="G33" i="72"/>
  <c r="G32" i="72"/>
  <c r="H31" i="72"/>
  <c r="G31" i="72"/>
  <c r="J31" i="72" s="1"/>
  <c r="J30" i="72"/>
  <c r="G30" i="72"/>
  <c r="G29" i="72"/>
  <c r="H28" i="72"/>
  <c r="G28" i="72"/>
  <c r="G27" i="72"/>
  <c r="H26" i="72"/>
  <c r="G26" i="72"/>
  <c r="J26" i="72" s="1"/>
  <c r="H25" i="72"/>
  <c r="G25" i="72"/>
  <c r="J25" i="72" s="1"/>
  <c r="G24" i="72"/>
  <c r="G23" i="72"/>
  <c r="H22" i="72"/>
  <c r="G22" i="72"/>
  <c r="J22" i="72" s="1"/>
  <c r="G21" i="72"/>
  <c r="J20" i="72"/>
  <c r="G20" i="72"/>
  <c r="H20" i="72" s="1"/>
  <c r="H19" i="72"/>
  <c r="G19" i="72"/>
  <c r="G18" i="72"/>
  <c r="G17" i="72"/>
  <c r="H16" i="72"/>
  <c r="G16" i="72"/>
  <c r="J16" i="72" s="1"/>
  <c r="H15" i="72"/>
  <c r="G15" i="72"/>
  <c r="G14" i="72"/>
  <c r="J13" i="72"/>
  <c r="H13" i="72"/>
  <c r="G13" i="72"/>
  <c r="J12" i="72"/>
  <c r="H12" i="72"/>
  <c r="G12" i="72"/>
  <c r="J11" i="72"/>
  <c r="H11" i="72"/>
  <c r="G11" i="72"/>
  <c r="H10" i="72"/>
  <c r="G10" i="72"/>
  <c r="J9" i="72"/>
  <c r="H9" i="72"/>
  <c r="G9" i="72"/>
  <c r="G60" i="71"/>
  <c r="G59" i="71"/>
  <c r="G58" i="71"/>
  <c r="G57" i="71"/>
  <c r="E52" i="71"/>
  <c r="D52" i="71"/>
  <c r="C52" i="71"/>
  <c r="E51" i="71"/>
  <c r="D51" i="71"/>
  <c r="C51" i="71"/>
  <c r="H45" i="71"/>
  <c r="G45" i="71"/>
  <c r="H44" i="71"/>
  <c r="G44" i="71"/>
  <c r="G43" i="71"/>
  <c r="H43" i="71" s="1"/>
  <c r="F36" i="71"/>
  <c r="E36" i="71"/>
  <c r="D36" i="71"/>
  <c r="C36" i="71"/>
  <c r="G35" i="71"/>
  <c r="H35" i="71" s="1"/>
  <c r="H34" i="71"/>
  <c r="G34" i="71"/>
  <c r="G33" i="71"/>
  <c r="G32" i="71"/>
  <c r="H31" i="71"/>
  <c r="G31" i="71"/>
  <c r="J31" i="71" s="1"/>
  <c r="J30" i="71"/>
  <c r="G30" i="71"/>
  <c r="H30" i="71" s="1"/>
  <c r="G29" i="71"/>
  <c r="J28" i="71"/>
  <c r="G28" i="71"/>
  <c r="H28" i="71" s="1"/>
  <c r="G27" i="71"/>
  <c r="G26" i="71"/>
  <c r="G25" i="71"/>
  <c r="G24" i="71"/>
  <c r="G23" i="71"/>
  <c r="H22" i="71"/>
  <c r="G22" i="71"/>
  <c r="J21" i="71"/>
  <c r="G21" i="71"/>
  <c r="J20" i="71"/>
  <c r="H20" i="71"/>
  <c r="G20" i="71"/>
  <c r="G19" i="71"/>
  <c r="H19" i="71" s="1"/>
  <c r="G18" i="71"/>
  <c r="J17" i="71"/>
  <c r="G17" i="71"/>
  <c r="H17" i="71" s="1"/>
  <c r="G16" i="71"/>
  <c r="G15" i="71"/>
  <c r="G14" i="71"/>
  <c r="G13" i="71"/>
  <c r="G12" i="71"/>
  <c r="J11" i="71"/>
  <c r="G11" i="71"/>
  <c r="H11" i="71" s="1"/>
  <c r="G10" i="71"/>
  <c r="J10" i="71" s="1"/>
  <c r="G9" i="71"/>
  <c r="G61" i="70"/>
  <c r="G60" i="70"/>
  <c r="G59" i="70"/>
  <c r="G58" i="70"/>
  <c r="E53" i="70"/>
  <c r="D53" i="70"/>
  <c r="C53" i="70"/>
  <c r="E52" i="70"/>
  <c r="D52" i="70"/>
  <c r="C52" i="70"/>
  <c r="G46" i="70"/>
  <c r="H46" i="70" s="1"/>
  <c r="G45" i="70"/>
  <c r="H45" i="70" s="1"/>
  <c r="G44" i="70"/>
  <c r="H44" i="70" s="1"/>
  <c r="F37" i="70"/>
  <c r="E37" i="70"/>
  <c r="D37" i="70"/>
  <c r="C37" i="70"/>
  <c r="H36" i="70"/>
  <c r="G36" i="70"/>
  <c r="H35" i="70"/>
  <c r="G35" i="70"/>
  <c r="H34" i="70"/>
  <c r="G34" i="70"/>
  <c r="J33" i="70"/>
  <c r="H33" i="70"/>
  <c r="G33" i="70"/>
  <c r="H32" i="70"/>
  <c r="G32" i="70"/>
  <c r="G31" i="70"/>
  <c r="G30" i="70"/>
  <c r="J29" i="70"/>
  <c r="H29" i="70"/>
  <c r="G29" i="70"/>
  <c r="J28" i="70"/>
  <c r="H28" i="70"/>
  <c r="G28" i="70"/>
  <c r="J27" i="70"/>
  <c r="H27" i="70"/>
  <c r="G27" i="70"/>
  <c r="J26" i="70"/>
  <c r="H26" i="70"/>
  <c r="G26" i="70"/>
  <c r="J25" i="70"/>
  <c r="H25" i="70"/>
  <c r="G25" i="70"/>
  <c r="H24" i="70"/>
  <c r="G24" i="70"/>
  <c r="J23" i="70"/>
  <c r="H23" i="70"/>
  <c r="G23" i="70"/>
  <c r="J22" i="70"/>
  <c r="H22" i="70"/>
  <c r="G22" i="70"/>
  <c r="J21" i="70"/>
  <c r="G21" i="70"/>
  <c r="J20" i="70"/>
  <c r="H20" i="70"/>
  <c r="G20" i="70"/>
  <c r="J19" i="70"/>
  <c r="H19" i="70"/>
  <c r="G19" i="70"/>
  <c r="J18" i="70"/>
  <c r="H18" i="70"/>
  <c r="G18" i="70"/>
  <c r="J17" i="70"/>
  <c r="H17" i="70"/>
  <c r="G17" i="70"/>
  <c r="J16" i="70"/>
  <c r="H16" i="70"/>
  <c r="G16" i="70"/>
  <c r="H15" i="70"/>
  <c r="G15" i="70"/>
  <c r="G14" i="70"/>
  <c r="H14" i="70" s="1"/>
  <c r="G13" i="70"/>
  <c r="G12" i="70"/>
  <c r="J11" i="70"/>
  <c r="G11" i="70"/>
  <c r="H11" i="70" s="1"/>
  <c r="G10" i="70"/>
  <c r="J10" i="70" s="1"/>
  <c r="G9" i="70"/>
  <c r="G69" i="69"/>
  <c r="G68" i="69"/>
  <c r="G67" i="69"/>
  <c r="G66" i="69"/>
  <c r="E61" i="69"/>
  <c r="D61" i="69"/>
  <c r="C61" i="69"/>
  <c r="E60" i="69"/>
  <c r="D60" i="69"/>
  <c r="C60" i="69"/>
  <c r="G54" i="69"/>
  <c r="H54" i="69" s="1"/>
  <c r="G53" i="69"/>
  <c r="H53" i="69" s="1"/>
  <c r="G52" i="69"/>
  <c r="H52" i="69" s="1"/>
  <c r="F45" i="69"/>
  <c r="E45" i="69"/>
  <c r="D45" i="69"/>
  <c r="C45" i="69"/>
  <c r="G44" i="69"/>
  <c r="J43" i="69"/>
  <c r="H43" i="69"/>
  <c r="G43" i="69"/>
  <c r="H42" i="69"/>
  <c r="G42" i="69"/>
  <c r="H41" i="69"/>
  <c r="G41" i="69"/>
  <c r="H40" i="69"/>
  <c r="G40" i="69"/>
  <c r="J40" i="69" s="1"/>
  <c r="J39" i="69"/>
  <c r="G39" i="69"/>
  <c r="J38" i="69"/>
  <c r="H38" i="69"/>
  <c r="G38" i="69"/>
  <c r="H37" i="69"/>
  <c r="G37" i="69"/>
  <c r="J36" i="69"/>
  <c r="H36" i="69"/>
  <c r="G36" i="69"/>
  <c r="J35" i="69"/>
  <c r="H35" i="69"/>
  <c r="G35" i="69"/>
  <c r="G34" i="69"/>
  <c r="J33" i="69"/>
  <c r="H33" i="69"/>
  <c r="G33" i="69"/>
  <c r="J32" i="69"/>
  <c r="H32" i="69"/>
  <c r="G32" i="69"/>
  <c r="J31" i="69"/>
  <c r="G31" i="69"/>
  <c r="H31" i="69" s="1"/>
  <c r="H30" i="69"/>
  <c r="G30" i="69"/>
  <c r="J29" i="69"/>
  <c r="H29" i="69"/>
  <c r="G29" i="69"/>
  <c r="J28" i="69"/>
  <c r="H28" i="69"/>
  <c r="G28" i="69"/>
  <c r="G27" i="69"/>
  <c r="G26" i="69"/>
  <c r="G25" i="69"/>
  <c r="J24" i="69"/>
  <c r="H24" i="69"/>
  <c r="G24" i="69"/>
  <c r="H23" i="69"/>
  <c r="G23" i="69"/>
  <c r="J22" i="69"/>
  <c r="G22" i="69"/>
  <c r="H22" i="69" s="1"/>
  <c r="G21" i="69"/>
  <c r="G20" i="69"/>
  <c r="J20" i="69" s="1"/>
  <c r="G19" i="69"/>
  <c r="J18" i="69"/>
  <c r="G18" i="69"/>
  <c r="H17" i="69"/>
  <c r="G17" i="69"/>
  <c r="J17" i="69" s="1"/>
  <c r="G16" i="69"/>
  <c r="J15" i="69"/>
  <c r="H15" i="69"/>
  <c r="G15" i="69"/>
  <c r="G14" i="69"/>
  <c r="J13" i="69"/>
  <c r="G13" i="69"/>
  <c r="H13" i="69" s="1"/>
  <c r="G12" i="69"/>
  <c r="G11" i="69"/>
  <c r="J11" i="69" s="1"/>
  <c r="J10" i="69"/>
  <c r="G10" i="69"/>
  <c r="H10" i="69" s="1"/>
  <c r="J9" i="69"/>
  <c r="G9" i="69"/>
  <c r="G62" i="68"/>
  <c r="G61" i="68"/>
  <c r="G60" i="68"/>
  <c r="G59" i="68"/>
  <c r="E54" i="68"/>
  <c r="D54" i="68"/>
  <c r="C54" i="68"/>
  <c r="E53" i="68"/>
  <c r="D53" i="68"/>
  <c r="C53" i="68"/>
  <c r="G47" i="68"/>
  <c r="H47" i="68" s="1"/>
  <c r="G46" i="68"/>
  <c r="H46" i="68" s="1"/>
  <c r="G45" i="68"/>
  <c r="H45" i="68" s="1"/>
  <c r="F38" i="68"/>
  <c r="E38" i="68"/>
  <c r="D38" i="68"/>
  <c r="C38" i="68"/>
  <c r="G37" i="68"/>
  <c r="G36" i="68"/>
  <c r="H35" i="68"/>
  <c r="G35" i="68"/>
  <c r="G34" i="68"/>
  <c r="H33" i="68"/>
  <c r="G33" i="68"/>
  <c r="G32" i="68"/>
  <c r="G31" i="68"/>
  <c r="G30" i="68"/>
  <c r="H29" i="68"/>
  <c r="G29" i="68"/>
  <c r="J29" i="68" s="1"/>
  <c r="G28" i="68"/>
  <c r="H27" i="68"/>
  <c r="G27" i="68"/>
  <c r="H26" i="68"/>
  <c r="G26" i="68"/>
  <c r="H25" i="68"/>
  <c r="G25" i="68"/>
  <c r="G24" i="68"/>
  <c r="J23" i="68"/>
  <c r="H23" i="68"/>
  <c r="G23" i="68"/>
  <c r="G22" i="68"/>
  <c r="J21" i="68"/>
  <c r="G21" i="68"/>
  <c r="H20" i="68"/>
  <c r="G20" i="68"/>
  <c r="H19" i="68"/>
  <c r="G19" i="68"/>
  <c r="G18" i="68"/>
  <c r="H17" i="68"/>
  <c r="G17" i="68"/>
  <c r="J17" i="68" s="1"/>
  <c r="H16" i="68"/>
  <c r="G16" i="68"/>
  <c r="J15" i="68"/>
  <c r="G15" i="68"/>
  <c r="H15" i="68" s="1"/>
  <c r="J14" i="68"/>
  <c r="H14" i="68"/>
  <c r="G14" i="68"/>
  <c r="G13" i="68"/>
  <c r="H13" i="68" s="1"/>
  <c r="G12" i="68"/>
  <c r="J11" i="68"/>
  <c r="H11" i="68"/>
  <c r="G11" i="68"/>
  <c r="H10" i="68"/>
  <c r="G10" i="68"/>
  <c r="J10" i="68" s="1"/>
  <c r="G9" i="68"/>
  <c r="H9" i="68" s="1"/>
  <c r="G69" i="67"/>
  <c r="G68" i="67"/>
  <c r="G67" i="67"/>
  <c r="G66" i="67"/>
  <c r="E61" i="67"/>
  <c r="D61" i="67"/>
  <c r="C61" i="67"/>
  <c r="E60" i="67"/>
  <c r="D60" i="67"/>
  <c r="C60" i="67"/>
  <c r="G54" i="67"/>
  <c r="H54" i="67" s="1"/>
  <c r="G53" i="67"/>
  <c r="H53" i="67" s="1"/>
  <c r="H52" i="67"/>
  <c r="G52" i="67"/>
  <c r="F45" i="67"/>
  <c r="E45" i="67"/>
  <c r="D45" i="67"/>
  <c r="C45" i="67"/>
  <c r="H44" i="67"/>
  <c r="G44" i="67"/>
  <c r="J43" i="67"/>
  <c r="G43" i="67"/>
  <c r="J42" i="67"/>
  <c r="H42" i="67"/>
  <c r="G42" i="67"/>
  <c r="J41" i="67"/>
  <c r="H41" i="67"/>
  <c r="G41" i="67"/>
  <c r="J40" i="67"/>
  <c r="G40" i="67"/>
  <c r="H40" i="67" s="1"/>
  <c r="G39" i="67"/>
  <c r="H39" i="67" s="1"/>
  <c r="H38" i="67"/>
  <c r="G38" i="67"/>
  <c r="G37" i="67"/>
  <c r="H36" i="67"/>
  <c r="G36" i="67"/>
  <c r="G35" i="67"/>
  <c r="J34" i="67"/>
  <c r="H34" i="67"/>
  <c r="G34" i="67"/>
  <c r="H33" i="67"/>
  <c r="G33" i="67"/>
  <c r="J33" i="67" s="1"/>
  <c r="J32" i="67"/>
  <c r="G32" i="67"/>
  <c r="J31" i="67"/>
  <c r="H31" i="67"/>
  <c r="G31" i="67"/>
  <c r="H30" i="67"/>
  <c r="G30" i="67"/>
  <c r="J29" i="67"/>
  <c r="H29" i="67"/>
  <c r="G29" i="67"/>
  <c r="J28" i="67"/>
  <c r="H28" i="67"/>
  <c r="G28" i="67"/>
  <c r="J27" i="67"/>
  <c r="G27" i="67"/>
  <c r="J26" i="67"/>
  <c r="H26" i="67"/>
  <c r="G26" i="67"/>
  <c r="J25" i="67"/>
  <c r="H25" i="67"/>
  <c r="G25" i="67"/>
  <c r="J24" i="67"/>
  <c r="G24" i="67"/>
  <c r="H24" i="67" s="1"/>
  <c r="H23" i="67"/>
  <c r="G23" i="67"/>
  <c r="J22" i="67"/>
  <c r="H22" i="67"/>
  <c r="G22" i="67"/>
  <c r="J21" i="67"/>
  <c r="H21" i="67"/>
  <c r="G21" i="67"/>
  <c r="H20" i="67"/>
  <c r="G20" i="67"/>
  <c r="J19" i="67"/>
  <c r="H19" i="67"/>
  <c r="G19" i="67"/>
  <c r="G18" i="67"/>
  <c r="G17" i="67"/>
  <c r="J16" i="67"/>
  <c r="H16" i="67"/>
  <c r="G16" i="67"/>
  <c r="H15" i="67"/>
  <c r="G15" i="67"/>
  <c r="J15" i="67" s="1"/>
  <c r="J14" i="67"/>
  <c r="G14" i="67"/>
  <c r="J13" i="67"/>
  <c r="H13" i="67"/>
  <c r="G13" i="67"/>
  <c r="H12" i="67"/>
  <c r="G12" i="67"/>
  <c r="J12" i="67" s="1"/>
  <c r="J11" i="67"/>
  <c r="H11" i="67"/>
  <c r="G11" i="67"/>
  <c r="J10" i="67"/>
  <c r="H10" i="67"/>
  <c r="G10" i="67"/>
  <c r="J9" i="67"/>
  <c r="G9" i="67"/>
  <c r="G61" i="66"/>
  <c r="G60" i="66"/>
  <c r="G59" i="66"/>
  <c r="G58" i="66"/>
  <c r="E53" i="66"/>
  <c r="D53" i="66"/>
  <c r="C53" i="66"/>
  <c r="E52" i="66"/>
  <c r="D52" i="66"/>
  <c r="C52" i="66"/>
  <c r="G46" i="66"/>
  <c r="H46" i="66" s="1"/>
  <c r="H45" i="66"/>
  <c r="G45" i="66"/>
  <c r="H44" i="66"/>
  <c r="G44" i="66"/>
  <c r="F37" i="66"/>
  <c r="E37" i="66"/>
  <c r="D37" i="66"/>
  <c r="C37" i="66"/>
  <c r="G36" i="66"/>
  <c r="G35" i="66"/>
  <c r="H35" i="66" s="1"/>
  <c r="G34" i="66"/>
  <c r="G33" i="66"/>
  <c r="J33" i="66" s="1"/>
  <c r="H32" i="66"/>
  <c r="G32" i="66"/>
  <c r="G31" i="66"/>
  <c r="H31" i="66" s="1"/>
  <c r="H30" i="66"/>
  <c r="G30" i="66"/>
  <c r="G29" i="66"/>
  <c r="H29" i="66" s="1"/>
  <c r="H28" i="66"/>
  <c r="G28" i="66"/>
  <c r="G27" i="66"/>
  <c r="H27" i="66" s="1"/>
  <c r="H26" i="66"/>
  <c r="G26" i="66"/>
  <c r="J25" i="66"/>
  <c r="H25" i="66"/>
  <c r="G25" i="66"/>
  <c r="G24" i="66"/>
  <c r="J23" i="66"/>
  <c r="H23" i="66"/>
  <c r="G23" i="66"/>
  <c r="H22" i="66"/>
  <c r="G22" i="66"/>
  <c r="J22" i="66" s="1"/>
  <c r="J21" i="66"/>
  <c r="G21" i="66"/>
  <c r="J20" i="66"/>
  <c r="H20" i="66"/>
  <c r="G20" i="66"/>
  <c r="H19" i="66"/>
  <c r="G19" i="66"/>
  <c r="J19" i="66" s="1"/>
  <c r="J18" i="66"/>
  <c r="H18" i="66"/>
  <c r="G18" i="66"/>
  <c r="H17" i="66"/>
  <c r="G17" i="66"/>
  <c r="H16" i="66"/>
  <c r="G16" i="66"/>
  <c r="J16" i="66" s="1"/>
  <c r="J15" i="66"/>
  <c r="G15" i="66"/>
  <c r="H15" i="66" s="1"/>
  <c r="H14" i="66"/>
  <c r="G14" i="66"/>
  <c r="J13" i="66"/>
  <c r="H13" i="66"/>
  <c r="G13" i="66"/>
  <c r="J12" i="66"/>
  <c r="H12" i="66"/>
  <c r="G12" i="66"/>
  <c r="H11" i="66"/>
  <c r="G11" i="66"/>
  <c r="G10" i="66"/>
  <c r="J9" i="66"/>
  <c r="H9" i="66"/>
  <c r="G9" i="66"/>
  <c r="G66" i="65"/>
  <c r="G65" i="65"/>
  <c r="G64" i="65"/>
  <c r="G63" i="65"/>
  <c r="E58" i="65"/>
  <c r="D58" i="65"/>
  <c r="C58" i="65"/>
  <c r="E57" i="65"/>
  <c r="D57" i="65"/>
  <c r="C57" i="65"/>
  <c r="H51" i="65"/>
  <c r="G51" i="65"/>
  <c r="G50" i="65"/>
  <c r="H50" i="65" s="1"/>
  <c r="H49" i="65"/>
  <c r="G49" i="65"/>
  <c r="F42" i="65"/>
  <c r="E42" i="65"/>
  <c r="D42" i="65"/>
  <c r="C42" i="65"/>
  <c r="H41" i="65"/>
  <c r="G41" i="65"/>
  <c r="G40" i="65"/>
  <c r="J39" i="65"/>
  <c r="G39" i="65"/>
  <c r="H39" i="65" s="1"/>
  <c r="G38" i="65"/>
  <c r="H38" i="65" s="1"/>
  <c r="J37" i="65"/>
  <c r="H37" i="65"/>
  <c r="G37" i="65"/>
  <c r="J36" i="65"/>
  <c r="H36" i="65"/>
  <c r="G36" i="65"/>
  <c r="G35" i="65"/>
  <c r="H35" i="65" s="1"/>
  <c r="H34" i="65"/>
  <c r="G34" i="65"/>
  <c r="J33" i="65"/>
  <c r="H33" i="65"/>
  <c r="G33" i="65"/>
  <c r="G32" i="65"/>
  <c r="J31" i="65"/>
  <c r="H31" i="65"/>
  <c r="G31" i="65"/>
  <c r="J30" i="65"/>
  <c r="G30" i="65"/>
  <c r="H30" i="65" s="1"/>
  <c r="G29" i="65"/>
  <c r="J28" i="65"/>
  <c r="H28" i="65"/>
  <c r="G28" i="65"/>
  <c r="H27" i="65"/>
  <c r="G27" i="65"/>
  <c r="J27" i="65" s="1"/>
  <c r="J26" i="65"/>
  <c r="H26" i="65"/>
  <c r="G26" i="65"/>
  <c r="J25" i="65"/>
  <c r="H25" i="65"/>
  <c r="G25" i="65"/>
  <c r="H24" i="65"/>
  <c r="G24" i="65"/>
  <c r="J23" i="65"/>
  <c r="H23" i="65"/>
  <c r="G23" i="65"/>
  <c r="J22" i="65"/>
  <c r="H22" i="65"/>
  <c r="G22" i="65"/>
  <c r="G21" i="65"/>
  <c r="J20" i="65"/>
  <c r="G20" i="65"/>
  <c r="J19" i="65"/>
  <c r="H19" i="65"/>
  <c r="G19" i="65"/>
  <c r="H18" i="65"/>
  <c r="G18" i="65"/>
  <c r="G17" i="65"/>
  <c r="J16" i="65"/>
  <c r="H16" i="65"/>
  <c r="G16" i="65"/>
  <c r="H15" i="65"/>
  <c r="G15" i="65"/>
  <c r="G14" i="65"/>
  <c r="J13" i="65"/>
  <c r="H13" i="65"/>
  <c r="G13" i="65"/>
  <c r="H12" i="65"/>
  <c r="G12" i="65"/>
  <c r="J12" i="65" s="1"/>
  <c r="H11" i="65"/>
  <c r="G11" i="65"/>
  <c r="J10" i="65"/>
  <c r="G10" i="65"/>
  <c r="H10" i="65" s="1"/>
  <c r="H9" i="65"/>
  <c r="G9" i="65"/>
  <c r="G62" i="64"/>
  <c r="G61" i="64"/>
  <c r="G60" i="64"/>
  <c r="G59" i="64"/>
  <c r="E54" i="64"/>
  <c r="D54" i="64"/>
  <c r="C54" i="64"/>
  <c r="E53" i="64"/>
  <c r="D53" i="64"/>
  <c r="C53" i="64"/>
  <c r="H47" i="64"/>
  <c r="G47" i="64"/>
  <c r="G46" i="64"/>
  <c r="H46" i="64" s="1"/>
  <c r="H45" i="64"/>
  <c r="G45" i="64"/>
  <c r="F38" i="64"/>
  <c r="E38" i="64"/>
  <c r="E39" i="64" s="1"/>
  <c r="D38" i="64"/>
  <c r="C38" i="64"/>
  <c r="G37" i="64"/>
  <c r="J36" i="64"/>
  <c r="H36" i="64"/>
  <c r="G36" i="64"/>
  <c r="H35" i="64"/>
  <c r="G35" i="64"/>
  <c r="J35" i="64" s="1"/>
  <c r="G34" i="64"/>
  <c r="J33" i="64"/>
  <c r="H33" i="64"/>
  <c r="G33" i="64"/>
  <c r="H32" i="64"/>
  <c r="G32" i="64"/>
  <c r="J32" i="64" s="1"/>
  <c r="G31" i="64"/>
  <c r="J30" i="64"/>
  <c r="H30" i="64"/>
  <c r="G30" i="64"/>
  <c r="H29" i="64"/>
  <c r="G29" i="64"/>
  <c r="J29" i="64" s="1"/>
  <c r="G28" i="64"/>
  <c r="J27" i="64"/>
  <c r="H27" i="64"/>
  <c r="G27" i="64"/>
  <c r="H26" i="64"/>
  <c r="G26" i="64"/>
  <c r="J26" i="64" s="1"/>
  <c r="G25" i="64"/>
  <c r="J24" i="64"/>
  <c r="H24" i="64"/>
  <c r="G24" i="64"/>
  <c r="H23" i="64"/>
  <c r="G23" i="64"/>
  <c r="J23" i="64" s="1"/>
  <c r="G22" i="64"/>
  <c r="J21" i="64"/>
  <c r="H21" i="64"/>
  <c r="G21" i="64"/>
  <c r="H20" i="64"/>
  <c r="G20" i="64"/>
  <c r="J20" i="64" s="1"/>
  <c r="G19" i="64"/>
  <c r="J18" i="64"/>
  <c r="H18" i="64"/>
  <c r="G18" i="64"/>
  <c r="H17" i="64"/>
  <c r="G17" i="64"/>
  <c r="J17" i="64" s="1"/>
  <c r="G16" i="64"/>
  <c r="J15" i="64"/>
  <c r="H15" i="64"/>
  <c r="G15" i="64"/>
  <c r="H14" i="64"/>
  <c r="G14" i="64"/>
  <c r="J14" i="64" s="1"/>
  <c r="G13" i="64"/>
  <c r="J12" i="64"/>
  <c r="H12" i="64"/>
  <c r="G12" i="64"/>
  <c r="H11" i="64"/>
  <c r="G11" i="64"/>
  <c r="J11" i="64" s="1"/>
  <c r="G10" i="64"/>
  <c r="J9" i="64"/>
  <c r="H9" i="64"/>
  <c r="G9" i="64"/>
  <c r="G38" i="64" s="1"/>
  <c r="G70" i="63"/>
  <c r="G69" i="63"/>
  <c r="G68" i="63"/>
  <c r="G67" i="63"/>
  <c r="E62" i="63"/>
  <c r="D62" i="63"/>
  <c r="C62" i="63"/>
  <c r="E61" i="63"/>
  <c r="D61" i="63"/>
  <c r="C61" i="63"/>
  <c r="H55" i="63"/>
  <c r="G55" i="63"/>
  <c r="G54" i="63"/>
  <c r="H54" i="63" s="1"/>
  <c r="H53" i="63"/>
  <c r="G53" i="63"/>
  <c r="F46" i="63"/>
  <c r="E46" i="63"/>
  <c r="D46" i="63"/>
  <c r="C46" i="63"/>
  <c r="J45" i="63"/>
  <c r="H45" i="63"/>
  <c r="G45" i="63"/>
  <c r="H44" i="63"/>
  <c r="G44" i="63"/>
  <c r="J44" i="63" s="1"/>
  <c r="J43" i="63"/>
  <c r="G43" i="63"/>
  <c r="G42" i="63"/>
  <c r="H42" i="63" s="1"/>
  <c r="G41" i="63"/>
  <c r="G40" i="63"/>
  <c r="H40" i="63" s="1"/>
  <c r="G39" i="63"/>
  <c r="J38" i="63"/>
  <c r="H38" i="63"/>
  <c r="G38" i="63"/>
  <c r="J37" i="63"/>
  <c r="G37" i="63"/>
  <c r="H37" i="63" s="1"/>
  <c r="G36" i="63"/>
  <c r="J35" i="63"/>
  <c r="H35" i="63"/>
  <c r="G35" i="63"/>
  <c r="G34" i="63"/>
  <c r="G33" i="63"/>
  <c r="J32" i="63"/>
  <c r="H32" i="63"/>
  <c r="G32" i="63"/>
  <c r="H31" i="63"/>
  <c r="G31" i="63"/>
  <c r="G30" i="63"/>
  <c r="J29" i="63"/>
  <c r="H29" i="63"/>
  <c r="G29" i="63"/>
  <c r="H28" i="63"/>
  <c r="G28" i="63"/>
  <c r="J28" i="63" s="1"/>
  <c r="J27" i="63"/>
  <c r="G27" i="63"/>
  <c r="J26" i="63"/>
  <c r="H26" i="63"/>
  <c r="G26" i="63"/>
  <c r="H25" i="63"/>
  <c r="G25" i="63"/>
  <c r="J25" i="63" s="1"/>
  <c r="J24" i="63"/>
  <c r="G24" i="63"/>
  <c r="J23" i="63"/>
  <c r="H23" i="63"/>
  <c r="G23" i="63"/>
  <c r="H22" i="63"/>
  <c r="G22" i="63"/>
  <c r="J22" i="63" s="1"/>
  <c r="G21" i="63"/>
  <c r="J20" i="63"/>
  <c r="H20" i="63"/>
  <c r="G20" i="63"/>
  <c r="H19" i="63"/>
  <c r="G19" i="63"/>
  <c r="J19" i="63" s="1"/>
  <c r="G18" i="63"/>
  <c r="J17" i="63"/>
  <c r="H17" i="63"/>
  <c r="G17" i="63"/>
  <c r="H16" i="63"/>
  <c r="G16" i="63"/>
  <c r="J16" i="63" s="1"/>
  <c r="J15" i="63"/>
  <c r="G15" i="63"/>
  <c r="J14" i="63"/>
  <c r="H14" i="63"/>
  <c r="G14" i="63"/>
  <c r="H13" i="63"/>
  <c r="G13" i="63"/>
  <c r="J13" i="63" s="1"/>
  <c r="H12" i="63"/>
  <c r="G12" i="63"/>
  <c r="H11" i="63"/>
  <c r="G11" i="63"/>
  <c r="H10" i="63"/>
  <c r="G10" i="63"/>
  <c r="J9" i="63"/>
  <c r="G9" i="63"/>
  <c r="G73" i="62"/>
  <c r="G72" i="62"/>
  <c r="G71" i="62"/>
  <c r="G70" i="62"/>
  <c r="E65" i="62"/>
  <c r="D65" i="62"/>
  <c r="C65" i="62"/>
  <c r="E64" i="62"/>
  <c r="D64" i="62"/>
  <c r="C64" i="62"/>
  <c r="G58" i="62"/>
  <c r="H58" i="62" s="1"/>
  <c r="H57" i="62"/>
  <c r="G57" i="62"/>
  <c r="G56" i="62"/>
  <c r="H56" i="62" s="1"/>
  <c r="F49" i="62"/>
  <c r="E49" i="62"/>
  <c r="D49" i="62"/>
  <c r="C49" i="62"/>
  <c r="H48" i="62"/>
  <c r="G48" i="62"/>
  <c r="H47" i="62"/>
  <c r="G47" i="62"/>
  <c r="H46" i="62"/>
  <c r="G46" i="62"/>
  <c r="H45" i="62"/>
  <c r="G45" i="62"/>
  <c r="J44" i="62"/>
  <c r="G44" i="62"/>
  <c r="H44" i="62" s="1"/>
  <c r="G43" i="62"/>
  <c r="J42" i="62"/>
  <c r="H42" i="62"/>
  <c r="G42" i="62"/>
  <c r="H41" i="62"/>
  <c r="G41" i="62"/>
  <c r="H40" i="62"/>
  <c r="G40" i="62"/>
  <c r="J39" i="62"/>
  <c r="G39" i="62"/>
  <c r="H39" i="62" s="1"/>
  <c r="H38" i="62"/>
  <c r="G38" i="62"/>
  <c r="J37" i="62"/>
  <c r="H37" i="62"/>
  <c r="G37" i="62"/>
  <c r="G36" i="62"/>
  <c r="G35" i="62"/>
  <c r="J34" i="62"/>
  <c r="H34" i="62"/>
  <c r="G34" i="62"/>
  <c r="J33" i="62"/>
  <c r="H33" i="62"/>
  <c r="G33" i="62"/>
  <c r="H32" i="62"/>
  <c r="G32" i="62"/>
  <c r="J31" i="62"/>
  <c r="H31" i="62"/>
  <c r="G31" i="62"/>
  <c r="G30" i="62"/>
  <c r="H29" i="62"/>
  <c r="G29" i="62"/>
  <c r="J28" i="62"/>
  <c r="H28" i="62"/>
  <c r="G28" i="62"/>
  <c r="H27" i="62"/>
  <c r="G27" i="62"/>
  <c r="H26" i="62"/>
  <c r="G26" i="62"/>
  <c r="J25" i="62"/>
  <c r="H25" i="62"/>
  <c r="G25" i="62"/>
  <c r="J24" i="62"/>
  <c r="H24" i="62"/>
  <c r="G24" i="62"/>
  <c r="H23" i="62"/>
  <c r="G23" i="62"/>
  <c r="J22" i="62"/>
  <c r="H22" i="62"/>
  <c r="G22" i="62"/>
  <c r="J21" i="62"/>
  <c r="G21" i="62"/>
  <c r="H21" i="62" s="1"/>
  <c r="H20" i="62"/>
  <c r="G20" i="62"/>
  <c r="J19" i="62"/>
  <c r="H19" i="62"/>
  <c r="G19" i="62"/>
  <c r="G18" i="62"/>
  <c r="G17" i="62"/>
  <c r="J16" i="62"/>
  <c r="H16" i="62"/>
  <c r="G16" i="62"/>
  <c r="G15" i="62"/>
  <c r="J14" i="62"/>
  <c r="G14" i="62"/>
  <c r="J13" i="62"/>
  <c r="H13" i="62"/>
  <c r="G13" i="62"/>
  <c r="H12" i="62"/>
  <c r="G12" i="62"/>
  <c r="J11" i="62"/>
  <c r="H11" i="62"/>
  <c r="G11" i="62"/>
  <c r="G10" i="62"/>
  <c r="G9" i="62"/>
  <c r="G65" i="61"/>
  <c r="G64" i="61"/>
  <c r="G63" i="61"/>
  <c r="G62" i="61"/>
  <c r="E57" i="61"/>
  <c r="D57" i="61"/>
  <c r="C57" i="61"/>
  <c r="E56" i="61"/>
  <c r="D56" i="61"/>
  <c r="C56" i="61"/>
  <c r="G50" i="61"/>
  <c r="H50" i="61" s="1"/>
  <c r="H49" i="61"/>
  <c r="G49" i="61"/>
  <c r="H48" i="61"/>
  <c r="G48" i="61"/>
  <c r="F41" i="61"/>
  <c r="E41" i="61"/>
  <c r="D41" i="61"/>
  <c r="C41" i="61"/>
  <c r="J40" i="61"/>
  <c r="G40" i="61"/>
  <c r="G39" i="61"/>
  <c r="H38" i="61"/>
  <c r="G38" i="61"/>
  <c r="J37" i="61"/>
  <c r="H37" i="61"/>
  <c r="G37" i="61"/>
  <c r="J36" i="61"/>
  <c r="H36" i="61"/>
  <c r="G36" i="61"/>
  <c r="G35" i="61"/>
  <c r="J34" i="61"/>
  <c r="H34" i="61"/>
  <c r="G34" i="61"/>
  <c r="H33" i="61"/>
  <c r="G33" i="61"/>
  <c r="J33" i="61" s="1"/>
  <c r="H32" i="61"/>
  <c r="G32" i="61"/>
  <c r="J31" i="61"/>
  <c r="H31" i="61"/>
  <c r="G31" i="61"/>
  <c r="G30" i="61"/>
  <c r="H29" i="61"/>
  <c r="G29" i="61"/>
  <c r="J28" i="61"/>
  <c r="H28" i="61"/>
  <c r="G28" i="61"/>
  <c r="J27" i="61"/>
  <c r="H27" i="61"/>
  <c r="G27" i="61"/>
  <c r="G26" i="61"/>
  <c r="J25" i="61"/>
  <c r="H25" i="61"/>
  <c r="G25" i="61"/>
  <c r="G24" i="61"/>
  <c r="J24" i="61" s="1"/>
  <c r="H23" i="61"/>
  <c r="G23" i="61"/>
  <c r="J22" i="61"/>
  <c r="H22" i="61"/>
  <c r="G22" i="61"/>
  <c r="G21" i="61"/>
  <c r="G20" i="61"/>
  <c r="J19" i="61"/>
  <c r="H19" i="61"/>
  <c r="G19" i="61"/>
  <c r="J18" i="61"/>
  <c r="H18" i="61"/>
  <c r="G18" i="61"/>
  <c r="G17" i="61"/>
  <c r="J16" i="61"/>
  <c r="H16" i="61"/>
  <c r="G16" i="61"/>
  <c r="G15" i="61"/>
  <c r="G14" i="61"/>
  <c r="J13" i="61"/>
  <c r="H13" i="61"/>
  <c r="G13" i="61"/>
  <c r="H12" i="61"/>
  <c r="G12" i="61"/>
  <c r="J12" i="61" s="1"/>
  <c r="G11" i="61"/>
  <c r="J10" i="61"/>
  <c r="H10" i="61"/>
  <c r="G10" i="61"/>
  <c r="H9" i="61"/>
  <c r="G9" i="61"/>
  <c r="G68" i="60"/>
  <c r="G67" i="60"/>
  <c r="G66" i="60"/>
  <c r="G65" i="60"/>
  <c r="E60" i="60"/>
  <c r="D60" i="60"/>
  <c r="C60" i="60"/>
  <c r="E59" i="60"/>
  <c r="D59" i="60"/>
  <c r="C59" i="60"/>
  <c r="H53" i="60"/>
  <c r="G53" i="60"/>
  <c r="H52" i="60"/>
  <c r="G52" i="60"/>
  <c r="G51" i="60"/>
  <c r="H51" i="60" s="1"/>
  <c r="F44" i="60"/>
  <c r="E44" i="60"/>
  <c r="D44" i="60"/>
  <c r="C44" i="60"/>
  <c r="H43" i="60"/>
  <c r="G43" i="60"/>
  <c r="H42" i="60"/>
  <c r="G42" i="60"/>
  <c r="G41" i="60"/>
  <c r="J40" i="60"/>
  <c r="H40" i="60"/>
  <c r="G40" i="60"/>
  <c r="J39" i="60"/>
  <c r="G39" i="60"/>
  <c r="H39" i="60" s="1"/>
  <c r="H38" i="60"/>
  <c r="G38" i="60"/>
  <c r="H37" i="60"/>
  <c r="G37" i="60"/>
  <c r="H36" i="60"/>
  <c r="G36" i="60"/>
  <c r="J36" i="60" s="1"/>
  <c r="J35" i="60"/>
  <c r="G35" i="60"/>
  <c r="J34" i="60"/>
  <c r="H34" i="60"/>
  <c r="G34" i="60"/>
  <c r="H33" i="60"/>
  <c r="G33" i="60"/>
  <c r="J33" i="60" s="1"/>
  <c r="J32" i="60"/>
  <c r="G32" i="60"/>
  <c r="J31" i="60"/>
  <c r="H31" i="60"/>
  <c r="G31" i="60"/>
  <c r="H30" i="60"/>
  <c r="G30" i="60"/>
  <c r="J30" i="60" s="1"/>
  <c r="G29" i="60"/>
  <c r="J28" i="60"/>
  <c r="H28" i="60"/>
  <c r="G28" i="60"/>
  <c r="H27" i="60"/>
  <c r="G27" i="60"/>
  <c r="J27" i="60" s="1"/>
  <c r="J26" i="60"/>
  <c r="G26" i="60"/>
  <c r="J25" i="60"/>
  <c r="H25" i="60"/>
  <c r="G25" i="60"/>
  <c r="H24" i="60"/>
  <c r="G24" i="60"/>
  <c r="J24" i="60" s="1"/>
  <c r="J23" i="60"/>
  <c r="G23" i="60"/>
  <c r="J22" i="60"/>
  <c r="H22" i="60"/>
  <c r="G22" i="60"/>
  <c r="H21" i="60"/>
  <c r="G21" i="60"/>
  <c r="J21" i="60" s="1"/>
  <c r="J20" i="60"/>
  <c r="G20" i="60"/>
  <c r="J19" i="60"/>
  <c r="H19" i="60"/>
  <c r="G19" i="60"/>
  <c r="H18" i="60"/>
  <c r="G18" i="60"/>
  <c r="J18" i="60" s="1"/>
  <c r="J17" i="60"/>
  <c r="G17" i="60"/>
  <c r="J16" i="60"/>
  <c r="H16" i="60"/>
  <c r="G16" i="60"/>
  <c r="H15" i="60"/>
  <c r="G15" i="60"/>
  <c r="J14" i="60"/>
  <c r="H14" i="60"/>
  <c r="G14" i="60"/>
  <c r="J13" i="60"/>
  <c r="G13" i="60"/>
  <c r="H13" i="60" s="1"/>
  <c r="H12" i="60"/>
  <c r="G12" i="60"/>
  <c r="J11" i="60"/>
  <c r="H11" i="60"/>
  <c r="G11" i="60"/>
  <c r="G10" i="60"/>
  <c r="H9" i="60"/>
  <c r="G9" i="60"/>
  <c r="G61" i="59"/>
  <c r="G60" i="59"/>
  <c r="G59" i="59"/>
  <c r="G58" i="59"/>
  <c r="E53" i="59"/>
  <c r="D53" i="59"/>
  <c r="C53" i="59"/>
  <c r="E52" i="59"/>
  <c r="D52" i="59"/>
  <c r="C52" i="59"/>
  <c r="H46" i="59"/>
  <c r="G46" i="59"/>
  <c r="H45" i="59"/>
  <c r="G45" i="59"/>
  <c r="H44" i="59"/>
  <c r="G44" i="59"/>
  <c r="F37" i="59"/>
  <c r="E37" i="59"/>
  <c r="D37" i="59"/>
  <c r="C37" i="59"/>
  <c r="G36" i="59"/>
  <c r="H35" i="59"/>
  <c r="G35" i="59"/>
  <c r="H34" i="59"/>
  <c r="G34" i="59"/>
  <c r="J33" i="59"/>
  <c r="H33" i="59"/>
  <c r="G33" i="59"/>
  <c r="H32" i="59"/>
  <c r="G32" i="59"/>
  <c r="H31" i="59"/>
  <c r="G31" i="59"/>
  <c r="J30" i="59"/>
  <c r="H30" i="59"/>
  <c r="G30" i="59"/>
  <c r="G29" i="59"/>
  <c r="J28" i="59"/>
  <c r="H28" i="59"/>
  <c r="G28" i="59"/>
  <c r="J27" i="59"/>
  <c r="H27" i="59"/>
  <c r="G27" i="59"/>
  <c r="H26" i="59"/>
  <c r="G26" i="59"/>
  <c r="J25" i="59"/>
  <c r="H25" i="59"/>
  <c r="G25" i="59"/>
  <c r="H24" i="59"/>
  <c r="G24" i="59"/>
  <c r="G23" i="59"/>
  <c r="J22" i="59"/>
  <c r="H22" i="59"/>
  <c r="G22" i="59"/>
  <c r="J21" i="59"/>
  <c r="H21" i="59"/>
  <c r="G21" i="59"/>
  <c r="G20" i="59"/>
  <c r="J19" i="59"/>
  <c r="H19" i="59"/>
  <c r="G19" i="59"/>
  <c r="G18" i="59"/>
  <c r="J18" i="59" s="1"/>
  <c r="H17" i="59"/>
  <c r="G17" i="59"/>
  <c r="J16" i="59"/>
  <c r="H16" i="59"/>
  <c r="G16" i="59"/>
  <c r="H15" i="59"/>
  <c r="G15" i="59"/>
  <c r="G14" i="59"/>
  <c r="J13" i="59"/>
  <c r="H13" i="59"/>
  <c r="G13" i="59"/>
  <c r="J12" i="59"/>
  <c r="H12" i="59"/>
  <c r="G12" i="59"/>
  <c r="G11" i="59"/>
  <c r="J10" i="59"/>
  <c r="H10" i="59"/>
  <c r="G10" i="59"/>
  <c r="J9" i="59"/>
  <c r="H9" i="59"/>
  <c r="G9" i="59"/>
  <c r="G63" i="58"/>
  <c r="G62" i="58"/>
  <c r="G61" i="58"/>
  <c r="G60" i="58"/>
  <c r="E55" i="58"/>
  <c r="D55" i="58"/>
  <c r="C55" i="58"/>
  <c r="E54" i="58"/>
  <c r="D54" i="58"/>
  <c r="C54" i="58"/>
  <c r="H48" i="58"/>
  <c r="G48" i="58"/>
  <c r="H47" i="58"/>
  <c r="G47" i="58"/>
  <c r="G46" i="58"/>
  <c r="H46" i="58" s="1"/>
  <c r="F39" i="58"/>
  <c r="E39" i="58"/>
  <c r="D39" i="58"/>
  <c r="C39" i="58"/>
  <c r="G38" i="58"/>
  <c r="G37" i="58"/>
  <c r="J36" i="58"/>
  <c r="H36" i="58"/>
  <c r="G36" i="58"/>
  <c r="G35" i="58"/>
  <c r="J35" i="58" s="1"/>
  <c r="H34" i="58"/>
  <c r="G34" i="58"/>
  <c r="H33" i="58"/>
  <c r="G33" i="58"/>
  <c r="H32" i="58"/>
  <c r="G32" i="58"/>
  <c r="J31" i="58"/>
  <c r="H31" i="58"/>
  <c r="G31" i="58"/>
  <c r="H30" i="58"/>
  <c r="G30" i="58"/>
  <c r="J29" i="58"/>
  <c r="H29" i="58"/>
  <c r="G29" i="58"/>
  <c r="G28" i="58"/>
  <c r="G27" i="58"/>
  <c r="J26" i="58"/>
  <c r="H26" i="58"/>
  <c r="G26" i="58"/>
  <c r="H25" i="58"/>
  <c r="G25" i="58"/>
  <c r="H24" i="58"/>
  <c r="G24" i="58"/>
  <c r="G23" i="58"/>
  <c r="H22" i="58"/>
  <c r="G22" i="58"/>
  <c r="G21" i="58"/>
  <c r="J20" i="58"/>
  <c r="H20" i="58"/>
  <c r="G20" i="58"/>
  <c r="G19" i="58"/>
  <c r="H18" i="58"/>
  <c r="G18" i="58"/>
  <c r="J17" i="58"/>
  <c r="H17" i="58"/>
  <c r="G17" i="58"/>
  <c r="H16" i="58"/>
  <c r="G16" i="58"/>
  <c r="G15" i="58"/>
  <c r="J14" i="58"/>
  <c r="G14" i="58"/>
  <c r="H13" i="58"/>
  <c r="G13" i="58"/>
  <c r="H12" i="58"/>
  <c r="G12" i="58"/>
  <c r="H11" i="58"/>
  <c r="G11" i="58"/>
  <c r="J11" i="58" s="1"/>
  <c r="J10" i="58"/>
  <c r="G10" i="58"/>
  <c r="H10" i="58" s="1"/>
  <c r="G9" i="58"/>
  <c r="G51" i="57"/>
  <c r="G50" i="57"/>
  <c r="G49" i="57"/>
  <c r="G48" i="57"/>
  <c r="E43" i="57"/>
  <c r="D43" i="57"/>
  <c r="C43" i="57"/>
  <c r="E42" i="57"/>
  <c r="D42" i="57"/>
  <c r="C42" i="57"/>
  <c r="G36" i="57"/>
  <c r="H36" i="57" s="1"/>
  <c r="H35" i="57"/>
  <c r="G35" i="57"/>
  <c r="G34" i="57"/>
  <c r="H34" i="57" s="1"/>
  <c r="F27" i="57"/>
  <c r="E27" i="57"/>
  <c r="D27" i="57"/>
  <c r="C27" i="57"/>
  <c r="G26" i="57"/>
  <c r="J25" i="57"/>
  <c r="H25" i="57"/>
  <c r="G25" i="57"/>
  <c r="H24" i="57"/>
  <c r="G24" i="57"/>
  <c r="H23" i="57"/>
  <c r="G23" i="57"/>
  <c r="J23" i="57" s="1"/>
  <c r="H22" i="57"/>
  <c r="G22" i="57"/>
  <c r="J21" i="57"/>
  <c r="H21" i="57"/>
  <c r="G21" i="57"/>
  <c r="G20" i="57"/>
  <c r="H20" i="57" s="1"/>
  <c r="J19" i="57"/>
  <c r="H19" i="57"/>
  <c r="G19" i="57"/>
  <c r="H18" i="57"/>
  <c r="G18" i="57"/>
  <c r="H17" i="57"/>
  <c r="G17" i="57"/>
  <c r="G16" i="57"/>
  <c r="H16" i="57" s="1"/>
  <c r="G15" i="57"/>
  <c r="J14" i="57"/>
  <c r="H14" i="57"/>
  <c r="G14" i="57"/>
  <c r="G13" i="57"/>
  <c r="G12" i="57"/>
  <c r="J11" i="57"/>
  <c r="H11" i="57"/>
  <c r="G11" i="57"/>
  <c r="G10" i="57"/>
  <c r="G9" i="57"/>
  <c r="G69" i="56"/>
  <c r="G68" i="56"/>
  <c r="G67" i="56"/>
  <c r="G66" i="56"/>
  <c r="E61" i="56"/>
  <c r="D61" i="56"/>
  <c r="C61" i="56"/>
  <c r="E60" i="56"/>
  <c r="D60" i="56"/>
  <c r="C60" i="56"/>
  <c r="G54" i="56"/>
  <c r="H54" i="56" s="1"/>
  <c r="G53" i="56"/>
  <c r="H53" i="56" s="1"/>
  <c r="H52" i="56"/>
  <c r="G52" i="56"/>
  <c r="F45" i="56"/>
  <c r="E45" i="56"/>
  <c r="D45" i="56"/>
  <c r="C45" i="56"/>
  <c r="G44" i="56"/>
  <c r="J43" i="56"/>
  <c r="H43" i="56"/>
  <c r="G43" i="56"/>
  <c r="G42" i="56"/>
  <c r="G41" i="56"/>
  <c r="J40" i="56"/>
  <c r="H40" i="56"/>
  <c r="G40" i="56"/>
  <c r="G39" i="56"/>
  <c r="J39" i="56" s="1"/>
  <c r="G38" i="56"/>
  <c r="J37" i="56"/>
  <c r="H37" i="56"/>
  <c r="G37" i="56"/>
  <c r="H36" i="56"/>
  <c r="G36" i="56"/>
  <c r="J36" i="56" s="1"/>
  <c r="G35" i="56"/>
  <c r="J34" i="56"/>
  <c r="H34" i="56"/>
  <c r="G34" i="56"/>
  <c r="G33" i="56"/>
  <c r="G32" i="56"/>
  <c r="J31" i="56"/>
  <c r="H31" i="56"/>
  <c r="G31" i="56"/>
  <c r="H30" i="56"/>
  <c r="G30" i="56"/>
  <c r="J30" i="56" s="1"/>
  <c r="G29" i="56"/>
  <c r="J28" i="56"/>
  <c r="H28" i="56"/>
  <c r="G28" i="56"/>
  <c r="G27" i="56"/>
  <c r="J27" i="56" s="1"/>
  <c r="G26" i="56"/>
  <c r="J25" i="56"/>
  <c r="H25" i="56"/>
  <c r="G25" i="56"/>
  <c r="H24" i="56"/>
  <c r="G24" i="56"/>
  <c r="J24" i="56" s="1"/>
  <c r="J23" i="56"/>
  <c r="G23" i="56"/>
  <c r="J22" i="56"/>
  <c r="H22" i="56"/>
  <c r="G22" i="56"/>
  <c r="H21" i="56"/>
  <c r="G21" i="56"/>
  <c r="G20" i="56"/>
  <c r="J19" i="56"/>
  <c r="H19" i="56"/>
  <c r="G19" i="56"/>
  <c r="H18" i="56"/>
  <c r="G18" i="56"/>
  <c r="J18" i="56" s="1"/>
  <c r="G17" i="56"/>
  <c r="J16" i="56"/>
  <c r="H16" i="56"/>
  <c r="G16" i="56"/>
  <c r="G15" i="56"/>
  <c r="J15" i="56" s="1"/>
  <c r="G14" i="56"/>
  <c r="J13" i="56"/>
  <c r="H13" i="56"/>
  <c r="G13" i="56"/>
  <c r="G12" i="56"/>
  <c r="J11" i="56"/>
  <c r="H11" i="56"/>
  <c r="G11" i="56"/>
  <c r="H10" i="56"/>
  <c r="G10" i="56"/>
  <c r="H9" i="56"/>
  <c r="G9" i="56"/>
  <c r="G68" i="55"/>
  <c r="G67" i="55"/>
  <c r="G66" i="55"/>
  <c r="G65" i="55"/>
  <c r="E60" i="55"/>
  <c r="D60" i="55"/>
  <c r="C60" i="55"/>
  <c r="E59" i="55"/>
  <c r="D59" i="55"/>
  <c r="C59" i="55"/>
  <c r="H53" i="55"/>
  <c r="G53" i="55"/>
  <c r="G52" i="55"/>
  <c r="H52" i="55" s="1"/>
  <c r="G51" i="55"/>
  <c r="H51" i="55" s="1"/>
  <c r="F44" i="55"/>
  <c r="E44" i="55"/>
  <c r="D44" i="55"/>
  <c r="C44" i="55"/>
  <c r="H43" i="55"/>
  <c r="G43" i="55"/>
  <c r="H42" i="55"/>
  <c r="G42" i="55"/>
  <c r="J41" i="55"/>
  <c r="H41" i="55"/>
  <c r="G41" i="55"/>
  <c r="J40" i="55"/>
  <c r="H40" i="55"/>
  <c r="G40" i="55"/>
  <c r="H39" i="55"/>
  <c r="G39" i="55"/>
  <c r="J38" i="55"/>
  <c r="H38" i="55"/>
  <c r="G38" i="55"/>
  <c r="G37" i="55"/>
  <c r="H36" i="55"/>
  <c r="G36" i="55"/>
  <c r="H35" i="55"/>
  <c r="G35" i="55"/>
  <c r="H34" i="55"/>
  <c r="G34" i="55"/>
  <c r="J34" i="55" s="1"/>
  <c r="J33" i="55"/>
  <c r="G33" i="55"/>
  <c r="J32" i="55"/>
  <c r="H32" i="55"/>
  <c r="G32" i="55"/>
  <c r="G31" i="55"/>
  <c r="J30" i="55"/>
  <c r="G30" i="55"/>
  <c r="H30" i="55" s="1"/>
  <c r="J29" i="55"/>
  <c r="G29" i="55"/>
  <c r="G28" i="55"/>
  <c r="G27" i="55"/>
  <c r="J26" i="55"/>
  <c r="H26" i="55"/>
  <c r="G26" i="55"/>
  <c r="H25" i="55"/>
  <c r="G25" i="55"/>
  <c r="J25" i="55" s="1"/>
  <c r="J24" i="55"/>
  <c r="G24" i="55"/>
  <c r="H24" i="55" s="1"/>
  <c r="J23" i="55"/>
  <c r="H23" i="55"/>
  <c r="G23" i="55"/>
  <c r="G22" i="55"/>
  <c r="J21" i="55"/>
  <c r="G21" i="55"/>
  <c r="H21" i="55" s="1"/>
  <c r="H20" i="55"/>
  <c r="G20" i="55"/>
  <c r="G19" i="55"/>
  <c r="G18" i="55"/>
  <c r="J17" i="55"/>
  <c r="H17" i="55"/>
  <c r="G17" i="55"/>
  <c r="H16" i="55"/>
  <c r="G16" i="55"/>
  <c r="J16" i="55" s="1"/>
  <c r="J15" i="55"/>
  <c r="G15" i="55"/>
  <c r="H15" i="55" s="1"/>
  <c r="J14" i="55"/>
  <c r="H14" i="55"/>
  <c r="G14" i="55"/>
  <c r="G13" i="55"/>
  <c r="J12" i="55"/>
  <c r="G12" i="55"/>
  <c r="H12" i="55" s="1"/>
  <c r="G11" i="55"/>
  <c r="G10" i="55"/>
  <c r="G9" i="55"/>
  <c r="G64" i="54"/>
  <c r="G63" i="54"/>
  <c r="G62" i="54"/>
  <c r="G61" i="54"/>
  <c r="E56" i="54"/>
  <c r="D56" i="54"/>
  <c r="C56" i="54"/>
  <c r="E55" i="54"/>
  <c r="D55" i="54"/>
  <c r="C55" i="54"/>
  <c r="G49" i="54"/>
  <c r="H49" i="54" s="1"/>
  <c r="H48" i="54"/>
  <c r="G48" i="54"/>
  <c r="G47" i="54"/>
  <c r="H47" i="54" s="1"/>
  <c r="F40" i="54"/>
  <c r="E40" i="54"/>
  <c r="D40" i="54"/>
  <c r="C40" i="54"/>
  <c r="H39" i="54"/>
  <c r="G39" i="54"/>
  <c r="G38" i="54"/>
  <c r="J37" i="54"/>
  <c r="H37" i="54"/>
  <c r="G37" i="54"/>
  <c r="J36" i="54"/>
  <c r="H36" i="54"/>
  <c r="G36" i="54"/>
  <c r="H35" i="54"/>
  <c r="G35" i="54"/>
  <c r="G34" i="54"/>
  <c r="H34" i="54" s="1"/>
  <c r="G33" i="54"/>
  <c r="H33" i="54" s="1"/>
  <c r="J32" i="54"/>
  <c r="H32" i="54"/>
  <c r="G32" i="54"/>
  <c r="G31" i="54"/>
  <c r="H31" i="54" s="1"/>
  <c r="H30" i="54"/>
  <c r="G30" i="54"/>
  <c r="J30" i="54" s="1"/>
  <c r="G29" i="54"/>
  <c r="J28" i="54"/>
  <c r="G28" i="54"/>
  <c r="H28" i="54" s="1"/>
  <c r="G27" i="54"/>
  <c r="J26" i="54"/>
  <c r="G26" i="54"/>
  <c r="G25" i="54"/>
  <c r="G24" i="54"/>
  <c r="H24" i="54" s="1"/>
  <c r="G23" i="54"/>
  <c r="H23" i="54" s="1"/>
  <c r="J22" i="54"/>
  <c r="H22" i="54"/>
  <c r="G22" i="54"/>
  <c r="J21" i="54"/>
  <c r="H21" i="54"/>
  <c r="G21" i="54"/>
  <c r="G20" i="54"/>
  <c r="H20" i="54" s="1"/>
  <c r="G19" i="54"/>
  <c r="J18" i="54"/>
  <c r="H18" i="54"/>
  <c r="G18" i="54"/>
  <c r="G17" i="54"/>
  <c r="J16" i="54"/>
  <c r="G16" i="54"/>
  <c r="H16" i="54" s="1"/>
  <c r="J15" i="54"/>
  <c r="H15" i="54"/>
  <c r="G15" i="54"/>
  <c r="G14" i="54"/>
  <c r="H13" i="54"/>
  <c r="G13" i="54"/>
  <c r="J12" i="54"/>
  <c r="H12" i="54"/>
  <c r="G12" i="54"/>
  <c r="J11" i="54"/>
  <c r="G11" i="54"/>
  <c r="J10" i="54"/>
  <c r="H10" i="54"/>
  <c r="G10" i="54"/>
  <c r="H9" i="54"/>
  <c r="G9" i="54"/>
  <c r="G64" i="53"/>
  <c r="G63" i="53"/>
  <c r="G62" i="53"/>
  <c r="G61" i="53"/>
  <c r="E56" i="53"/>
  <c r="D56" i="53"/>
  <c r="C56" i="53"/>
  <c r="E55" i="53"/>
  <c r="D55" i="53"/>
  <c r="C55" i="53"/>
  <c r="H49" i="53"/>
  <c r="G49" i="53"/>
  <c r="H48" i="53"/>
  <c r="G48" i="53"/>
  <c r="G47" i="53"/>
  <c r="H47" i="53" s="1"/>
  <c r="F40" i="53"/>
  <c r="E40" i="53"/>
  <c r="D40" i="53"/>
  <c r="C40" i="53"/>
  <c r="G39" i="53"/>
  <c r="G38" i="53"/>
  <c r="H38" i="53" s="1"/>
  <c r="G37" i="53"/>
  <c r="J36" i="53"/>
  <c r="G36" i="53"/>
  <c r="H36" i="53" s="1"/>
  <c r="H35" i="53"/>
  <c r="G35" i="53"/>
  <c r="J34" i="53"/>
  <c r="H34" i="53"/>
  <c r="G34" i="53"/>
  <c r="J33" i="53"/>
  <c r="H33" i="53"/>
  <c r="G33" i="53"/>
  <c r="J32" i="53"/>
  <c r="G32" i="53"/>
  <c r="H32" i="53" s="1"/>
  <c r="G31" i="53"/>
  <c r="J30" i="53"/>
  <c r="H30" i="53"/>
  <c r="G30" i="53"/>
  <c r="G29" i="53"/>
  <c r="G28" i="53"/>
  <c r="H27" i="53"/>
  <c r="G27" i="53"/>
  <c r="G26" i="53"/>
  <c r="J25" i="53"/>
  <c r="G25" i="53"/>
  <c r="H25" i="53" s="1"/>
  <c r="G24" i="53"/>
  <c r="H23" i="53"/>
  <c r="G23" i="53"/>
  <c r="G22" i="53"/>
  <c r="J21" i="53"/>
  <c r="H21" i="53"/>
  <c r="G21" i="53"/>
  <c r="J20" i="53"/>
  <c r="H20" i="53"/>
  <c r="G20" i="53"/>
  <c r="G19" i="53"/>
  <c r="H19" i="53" s="1"/>
  <c r="H18" i="53"/>
  <c r="G18" i="53"/>
  <c r="J17" i="53"/>
  <c r="H17" i="53"/>
  <c r="G17" i="53"/>
  <c r="G16" i="53"/>
  <c r="H16" i="53" s="1"/>
  <c r="J15" i="53"/>
  <c r="H15" i="53"/>
  <c r="G15" i="53"/>
  <c r="H14" i="53"/>
  <c r="G14" i="53"/>
  <c r="J14" i="53" s="1"/>
  <c r="H13" i="53"/>
  <c r="G13" i="53"/>
  <c r="J12" i="53"/>
  <c r="H12" i="53"/>
  <c r="G12" i="53"/>
  <c r="J11" i="53"/>
  <c r="H11" i="53"/>
  <c r="G11" i="53"/>
  <c r="J10" i="53"/>
  <c r="H10" i="53"/>
  <c r="G10" i="53"/>
  <c r="H9" i="53"/>
  <c r="G9" i="53"/>
  <c r="G63" i="52"/>
  <c r="G62" i="52"/>
  <c r="G61" i="52"/>
  <c r="G60" i="52"/>
  <c r="E55" i="52"/>
  <c r="D55" i="52"/>
  <c r="C55" i="52"/>
  <c r="E54" i="52"/>
  <c r="D54" i="52"/>
  <c r="C54" i="52"/>
  <c r="H48" i="52"/>
  <c r="G48" i="52"/>
  <c r="H47" i="52"/>
  <c r="G47" i="52"/>
  <c r="G46" i="52"/>
  <c r="H46" i="52" s="1"/>
  <c r="F39" i="52"/>
  <c r="E39" i="52"/>
  <c r="D39" i="52"/>
  <c r="C39" i="52"/>
  <c r="H38" i="52"/>
  <c r="G38" i="52"/>
  <c r="G37" i="52"/>
  <c r="H36" i="52"/>
  <c r="G36" i="52"/>
  <c r="J35" i="52"/>
  <c r="H35" i="52"/>
  <c r="G35" i="52"/>
  <c r="J34" i="52"/>
  <c r="G34" i="52"/>
  <c r="H34" i="52" s="1"/>
  <c r="G33" i="52"/>
  <c r="J32" i="52"/>
  <c r="H32" i="52"/>
  <c r="G32" i="52"/>
  <c r="J31" i="52"/>
  <c r="H31" i="52"/>
  <c r="G31" i="52"/>
  <c r="H30" i="52"/>
  <c r="G30" i="52"/>
  <c r="J29" i="52"/>
  <c r="H29" i="52"/>
  <c r="G29" i="52"/>
  <c r="G28" i="52"/>
  <c r="H27" i="52"/>
  <c r="G27" i="52"/>
  <c r="J26" i="52"/>
  <c r="H26" i="52"/>
  <c r="G26" i="52"/>
  <c r="J25" i="52"/>
  <c r="H25" i="52"/>
  <c r="G25" i="52"/>
  <c r="J24" i="52"/>
  <c r="G24" i="52"/>
  <c r="J23" i="52"/>
  <c r="H23" i="52"/>
  <c r="G23" i="52"/>
  <c r="H22" i="52"/>
  <c r="G22" i="52"/>
  <c r="J22" i="52" s="1"/>
  <c r="J21" i="52"/>
  <c r="H21" i="52"/>
  <c r="G21" i="52"/>
  <c r="J20" i="52"/>
  <c r="H20" i="52"/>
  <c r="G20" i="52"/>
  <c r="G19" i="52"/>
  <c r="J18" i="52"/>
  <c r="H18" i="52"/>
  <c r="G18" i="52"/>
  <c r="J17" i="52"/>
  <c r="H17" i="52"/>
  <c r="G17" i="52"/>
  <c r="J16" i="52"/>
  <c r="G16" i="52"/>
  <c r="H16" i="52" s="1"/>
  <c r="H15" i="52"/>
  <c r="G15" i="52"/>
  <c r="J14" i="52"/>
  <c r="H14" i="52"/>
  <c r="G14" i="52"/>
  <c r="J13" i="52"/>
  <c r="H13" i="52"/>
  <c r="G13" i="52"/>
  <c r="H12" i="52"/>
  <c r="G12" i="52"/>
  <c r="J11" i="52"/>
  <c r="H11" i="52"/>
  <c r="G11" i="52"/>
  <c r="H10" i="52"/>
  <c r="G10" i="52"/>
  <c r="H9" i="52"/>
  <c r="G9" i="52"/>
  <c r="G62" i="51"/>
  <c r="G61" i="51"/>
  <c r="G60" i="51"/>
  <c r="G59" i="51"/>
  <c r="E54" i="51"/>
  <c r="D54" i="51"/>
  <c r="C54" i="51"/>
  <c r="E53" i="51"/>
  <c r="D53" i="51"/>
  <c r="C53" i="51"/>
  <c r="H47" i="51"/>
  <c r="G47" i="51"/>
  <c r="H46" i="51"/>
  <c r="G46" i="51"/>
  <c r="H45" i="51"/>
  <c r="G45" i="51"/>
  <c r="F38" i="51"/>
  <c r="E38" i="51"/>
  <c r="D38" i="51"/>
  <c r="C38" i="51"/>
  <c r="G37" i="51"/>
  <c r="H36" i="51"/>
  <c r="G36" i="51"/>
  <c r="H35" i="51"/>
  <c r="G35" i="51"/>
  <c r="J34" i="51"/>
  <c r="H34" i="51"/>
  <c r="G34" i="51"/>
  <c r="H33" i="51"/>
  <c r="G33" i="51"/>
  <c r="H32" i="51"/>
  <c r="G32" i="51"/>
  <c r="G31" i="51"/>
  <c r="J30" i="51"/>
  <c r="H30" i="51"/>
  <c r="G30" i="51"/>
  <c r="G29" i="51"/>
  <c r="J28" i="51"/>
  <c r="H28" i="51"/>
  <c r="G28" i="51"/>
  <c r="H27" i="51"/>
  <c r="G27" i="51"/>
  <c r="J27" i="51" s="1"/>
  <c r="G26" i="51"/>
  <c r="H26" i="51" s="1"/>
  <c r="H25" i="51"/>
  <c r="G25" i="51"/>
  <c r="G24" i="51"/>
  <c r="H24" i="51" s="1"/>
  <c r="G23" i="51"/>
  <c r="J22" i="51"/>
  <c r="H22" i="51"/>
  <c r="G22" i="51"/>
  <c r="J21" i="51"/>
  <c r="H21" i="51"/>
  <c r="G21" i="51"/>
  <c r="G20" i="51"/>
  <c r="H20" i="51" s="1"/>
  <c r="H19" i="51"/>
  <c r="G19" i="51"/>
  <c r="G18" i="51"/>
  <c r="H18" i="51" s="1"/>
  <c r="G17" i="51"/>
  <c r="G16" i="51"/>
  <c r="H16" i="51" s="1"/>
  <c r="G15" i="51"/>
  <c r="J14" i="51"/>
  <c r="H14" i="51"/>
  <c r="G14" i="51"/>
  <c r="H13" i="51"/>
  <c r="G13" i="51"/>
  <c r="H12" i="51"/>
  <c r="G12" i="51"/>
  <c r="J11" i="51"/>
  <c r="H11" i="51"/>
  <c r="G11" i="51"/>
  <c r="G10" i="51"/>
  <c r="H9" i="51"/>
  <c r="G9" i="51"/>
  <c r="G68" i="50"/>
  <c r="G67" i="50"/>
  <c r="G66" i="50"/>
  <c r="G65" i="50"/>
  <c r="E60" i="50"/>
  <c r="D60" i="50"/>
  <c r="C60" i="50"/>
  <c r="E59" i="50"/>
  <c r="D59" i="50"/>
  <c r="C59" i="50"/>
  <c r="H53" i="50"/>
  <c r="G53" i="50"/>
  <c r="G52" i="50"/>
  <c r="H52" i="50" s="1"/>
  <c r="G51" i="50"/>
  <c r="H51" i="50" s="1"/>
  <c r="F44" i="50"/>
  <c r="E44" i="50"/>
  <c r="D44" i="50"/>
  <c r="C44" i="50"/>
  <c r="H43" i="50"/>
  <c r="G43" i="50"/>
  <c r="G42" i="50"/>
  <c r="J42" i="50" s="1"/>
  <c r="G41" i="50"/>
  <c r="J40" i="50"/>
  <c r="H40" i="50"/>
  <c r="G40" i="50"/>
  <c r="G39" i="50"/>
  <c r="J38" i="50"/>
  <c r="H38" i="50"/>
  <c r="G38" i="50"/>
  <c r="J37" i="50"/>
  <c r="H37" i="50"/>
  <c r="G37" i="50"/>
  <c r="G36" i="50"/>
  <c r="J35" i="50"/>
  <c r="H35" i="50"/>
  <c r="G35" i="50"/>
  <c r="H34" i="50"/>
  <c r="G34" i="50"/>
  <c r="J34" i="50" s="1"/>
  <c r="H33" i="50"/>
  <c r="G33" i="50"/>
  <c r="J32" i="50"/>
  <c r="H32" i="50"/>
  <c r="G32" i="50"/>
  <c r="H31" i="50"/>
  <c r="G31" i="50"/>
  <c r="J30" i="50"/>
  <c r="G30" i="50"/>
  <c r="J29" i="50"/>
  <c r="H29" i="50"/>
  <c r="G29" i="50"/>
  <c r="G28" i="50"/>
  <c r="J27" i="50"/>
  <c r="H27" i="50"/>
  <c r="G27" i="50"/>
  <c r="J26" i="50"/>
  <c r="H26" i="50"/>
  <c r="G26" i="50"/>
  <c r="J25" i="50"/>
  <c r="H25" i="50"/>
  <c r="G25" i="50"/>
  <c r="J24" i="50"/>
  <c r="H24" i="50"/>
  <c r="G24" i="50"/>
  <c r="J23" i="50"/>
  <c r="H23" i="50"/>
  <c r="G23" i="50"/>
  <c r="J22" i="50"/>
  <c r="G22" i="50"/>
  <c r="H22" i="50" s="1"/>
  <c r="G21" i="50"/>
  <c r="J20" i="50"/>
  <c r="H20" i="50"/>
  <c r="G20" i="50"/>
  <c r="J19" i="50"/>
  <c r="H19" i="50"/>
  <c r="G19" i="50"/>
  <c r="G18" i="50"/>
  <c r="H18" i="50" s="1"/>
  <c r="J17" i="50"/>
  <c r="H17" i="50"/>
  <c r="G17" i="50"/>
  <c r="G16" i="50"/>
  <c r="J15" i="50"/>
  <c r="G15" i="50"/>
  <c r="H15" i="50" s="1"/>
  <c r="G14" i="50"/>
  <c r="G13" i="50"/>
  <c r="J13" i="50" s="1"/>
  <c r="G12" i="50"/>
  <c r="G11" i="50"/>
  <c r="H11" i="50" s="1"/>
  <c r="G10" i="50"/>
  <c r="H9" i="50"/>
  <c r="G9" i="50"/>
  <c r="G64" i="49"/>
  <c r="G63" i="49"/>
  <c r="G62" i="49"/>
  <c r="G61" i="49"/>
  <c r="E56" i="49"/>
  <c r="D56" i="49"/>
  <c r="C56" i="49"/>
  <c r="E55" i="49"/>
  <c r="D55" i="49"/>
  <c r="C55" i="49"/>
  <c r="H49" i="49"/>
  <c r="G49" i="49"/>
  <c r="H48" i="49"/>
  <c r="G48" i="49"/>
  <c r="G47" i="49"/>
  <c r="H47" i="49" s="1"/>
  <c r="F40" i="49"/>
  <c r="E40" i="49"/>
  <c r="D40" i="49"/>
  <c r="C40" i="49"/>
  <c r="G39" i="49"/>
  <c r="H38" i="49"/>
  <c r="G38" i="49"/>
  <c r="H37" i="49"/>
  <c r="G37" i="49"/>
  <c r="J37" i="49" s="1"/>
  <c r="H36" i="49"/>
  <c r="G36" i="49"/>
  <c r="H35" i="49"/>
  <c r="G35" i="49"/>
  <c r="G34" i="49"/>
  <c r="H33" i="49"/>
  <c r="G33" i="49"/>
  <c r="H32" i="49"/>
  <c r="G32" i="49"/>
  <c r="J31" i="49"/>
  <c r="H31" i="49"/>
  <c r="G31" i="49"/>
  <c r="J30" i="49"/>
  <c r="H30" i="49"/>
  <c r="G30" i="49"/>
  <c r="J29" i="49"/>
  <c r="H29" i="49"/>
  <c r="G29" i="49"/>
  <c r="J28" i="49"/>
  <c r="H28" i="49"/>
  <c r="G28" i="49"/>
  <c r="J27" i="49"/>
  <c r="G27" i="49"/>
  <c r="H27" i="49" s="1"/>
  <c r="G26" i="49"/>
  <c r="J25" i="49"/>
  <c r="G25" i="49"/>
  <c r="H25" i="49" s="1"/>
  <c r="G24" i="49"/>
  <c r="H23" i="49"/>
  <c r="G23" i="49"/>
  <c r="H22" i="49"/>
  <c r="G22" i="49"/>
  <c r="J21" i="49"/>
  <c r="H21" i="49"/>
  <c r="G21" i="49"/>
  <c r="H20" i="49"/>
  <c r="G20" i="49"/>
  <c r="G19" i="49"/>
  <c r="H19" i="49" s="1"/>
  <c r="G18" i="49"/>
  <c r="J17" i="49"/>
  <c r="H17" i="49"/>
  <c r="G17" i="49"/>
  <c r="G16" i="49"/>
  <c r="H15" i="49"/>
  <c r="G15" i="49"/>
  <c r="J15" i="49" s="1"/>
  <c r="G14" i="49"/>
  <c r="H13" i="49"/>
  <c r="G13" i="49"/>
  <c r="G12" i="49"/>
  <c r="J11" i="49"/>
  <c r="H11" i="49"/>
  <c r="G11" i="49"/>
  <c r="H10" i="49"/>
  <c r="G10" i="49"/>
  <c r="J10" i="49" s="1"/>
  <c r="G9" i="49"/>
  <c r="H9" i="49" s="1"/>
  <c r="G72" i="48"/>
  <c r="G71" i="48"/>
  <c r="G70" i="48"/>
  <c r="G69" i="48"/>
  <c r="E64" i="48"/>
  <c r="D64" i="48"/>
  <c r="C64" i="48"/>
  <c r="E63" i="48"/>
  <c r="D63" i="48"/>
  <c r="C63" i="48"/>
  <c r="G57" i="48"/>
  <c r="H57" i="48" s="1"/>
  <c r="H56" i="48"/>
  <c r="G56" i="48"/>
  <c r="H55" i="48"/>
  <c r="G55" i="48"/>
  <c r="F48" i="48"/>
  <c r="E48" i="48"/>
  <c r="D48" i="48"/>
  <c r="C48" i="48"/>
  <c r="G47" i="48"/>
  <c r="J46" i="48"/>
  <c r="H46" i="48"/>
  <c r="G46" i="48"/>
  <c r="H45" i="48"/>
  <c r="G45" i="48"/>
  <c r="J45" i="48" s="1"/>
  <c r="H44" i="48"/>
  <c r="G44" i="48"/>
  <c r="J43" i="48"/>
  <c r="H43" i="48"/>
  <c r="G43" i="48"/>
  <c r="G42" i="48"/>
  <c r="J41" i="48"/>
  <c r="H41" i="48"/>
  <c r="G41" i="48"/>
  <c r="H40" i="48"/>
  <c r="G40" i="48"/>
  <c r="J40" i="48" s="1"/>
  <c r="H39" i="48"/>
  <c r="G39" i="48"/>
  <c r="J38" i="48"/>
  <c r="H38" i="48"/>
  <c r="G38" i="48"/>
  <c r="G37" i="48"/>
  <c r="J36" i="48"/>
  <c r="G36" i="48"/>
  <c r="J35" i="48"/>
  <c r="H35" i="48"/>
  <c r="G35" i="48"/>
  <c r="G34" i="48"/>
  <c r="J33" i="48"/>
  <c r="H33" i="48"/>
  <c r="G33" i="48"/>
  <c r="J32" i="48"/>
  <c r="H32" i="48"/>
  <c r="G32" i="48"/>
  <c r="J31" i="48"/>
  <c r="H31" i="48"/>
  <c r="G31" i="48"/>
  <c r="J30" i="48"/>
  <c r="H30" i="48"/>
  <c r="G30" i="48"/>
  <c r="H29" i="48"/>
  <c r="G29" i="48"/>
  <c r="H28" i="48"/>
  <c r="G28" i="48"/>
  <c r="J28" i="48" s="1"/>
  <c r="G27" i="48"/>
  <c r="H27" i="48" s="1"/>
  <c r="J26" i="48"/>
  <c r="H26" i="48"/>
  <c r="G26" i="48"/>
  <c r="G25" i="48"/>
  <c r="J24" i="48"/>
  <c r="G24" i="48"/>
  <c r="H24" i="48" s="1"/>
  <c r="H23" i="48"/>
  <c r="G23" i="48"/>
  <c r="G22" i="48"/>
  <c r="J22" i="48" s="1"/>
  <c r="H21" i="48"/>
  <c r="G21" i="48"/>
  <c r="G20" i="48"/>
  <c r="H20" i="48" s="1"/>
  <c r="G19" i="48"/>
  <c r="J18" i="48"/>
  <c r="H18" i="48"/>
  <c r="G18" i="48"/>
  <c r="H17" i="48"/>
  <c r="G17" i="48"/>
  <c r="J17" i="48" s="1"/>
  <c r="G16" i="48"/>
  <c r="H16" i="48" s="1"/>
  <c r="J15" i="48"/>
  <c r="H15" i="48"/>
  <c r="G15" i="48"/>
  <c r="G14" i="48"/>
  <c r="H13" i="48"/>
  <c r="G13" i="48"/>
  <c r="G12" i="48"/>
  <c r="J11" i="48"/>
  <c r="G11" i="48"/>
  <c r="H11" i="48" s="1"/>
  <c r="G10" i="48"/>
  <c r="G9" i="48"/>
  <c r="J9" i="48" s="1"/>
  <c r="G72" i="47"/>
  <c r="G71" i="47"/>
  <c r="G70" i="47"/>
  <c r="G69" i="47"/>
  <c r="E64" i="47"/>
  <c r="D64" i="47"/>
  <c r="C64" i="47"/>
  <c r="E63" i="47"/>
  <c r="D63" i="47"/>
  <c r="C63" i="47"/>
  <c r="G57" i="47"/>
  <c r="H57" i="47" s="1"/>
  <c r="G56" i="47"/>
  <c r="H56" i="47" s="1"/>
  <c r="G55" i="47"/>
  <c r="H55" i="47" s="1"/>
  <c r="F48" i="47"/>
  <c r="E48" i="47"/>
  <c r="D48" i="47"/>
  <c r="C48" i="47"/>
  <c r="G47" i="47"/>
  <c r="J46" i="47"/>
  <c r="G46" i="47"/>
  <c r="H46" i="47" s="1"/>
  <c r="H45" i="47"/>
  <c r="G45" i="47"/>
  <c r="J45" i="47" s="1"/>
  <c r="H44" i="47"/>
  <c r="G44" i="47"/>
  <c r="J44" i="47" s="1"/>
  <c r="J43" i="47"/>
  <c r="G43" i="47"/>
  <c r="H43" i="47" s="1"/>
  <c r="G42" i="47"/>
  <c r="H41" i="47"/>
  <c r="G41" i="47"/>
  <c r="J41" i="47" s="1"/>
  <c r="H40" i="47"/>
  <c r="G40" i="47"/>
  <c r="H39" i="47"/>
  <c r="G39" i="47"/>
  <c r="H38" i="47"/>
  <c r="G38" i="47"/>
  <c r="J37" i="47"/>
  <c r="G37" i="47"/>
  <c r="H37" i="47" s="1"/>
  <c r="H36" i="47"/>
  <c r="G36" i="47"/>
  <c r="J35" i="47"/>
  <c r="H35" i="47"/>
  <c r="G35" i="47"/>
  <c r="J34" i="47"/>
  <c r="H34" i="47"/>
  <c r="G34" i="47"/>
  <c r="G33" i="47"/>
  <c r="H33" i="47" s="1"/>
  <c r="J32" i="47"/>
  <c r="H32" i="47"/>
  <c r="G32" i="47"/>
  <c r="G31" i="47"/>
  <c r="J30" i="47"/>
  <c r="G30" i="47"/>
  <c r="H30" i="47" s="1"/>
  <c r="H29" i="47"/>
  <c r="G29" i="47"/>
  <c r="J29" i="47" s="1"/>
  <c r="G28" i="47"/>
  <c r="J27" i="47"/>
  <c r="G27" i="47"/>
  <c r="H27" i="47" s="1"/>
  <c r="H26" i="47"/>
  <c r="G26" i="47"/>
  <c r="J26" i="47" s="1"/>
  <c r="G25" i="47"/>
  <c r="J24" i="47"/>
  <c r="G24" i="47"/>
  <c r="H24" i="47" s="1"/>
  <c r="H23" i="47"/>
  <c r="G23" i="47"/>
  <c r="J23" i="47" s="1"/>
  <c r="G22" i="47"/>
  <c r="J21" i="47"/>
  <c r="G21" i="47"/>
  <c r="H21" i="47" s="1"/>
  <c r="H20" i="47"/>
  <c r="G20" i="47"/>
  <c r="J20" i="47" s="1"/>
  <c r="G19" i="47"/>
  <c r="J18" i="47"/>
  <c r="G18" i="47"/>
  <c r="H18" i="47" s="1"/>
  <c r="H17" i="47"/>
  <c r="G17" i="47"/>
  <c r="J17" i="47" s="1"/>
  <c r="G16" i="47"/>
  <c r="J15" i="47"/>
  <c r="G15" i="47"/>
  <c r="H15" i="47" s="1"/>
  <c r="H14" i="47"/>
  <c r="G14" i="47"/>
  <c r="J14" i="47" s="1"/>
  <c r="G13" i="47"/>
  <c r="J12" i="47"/>
  <c r="G12" i="47"/>
  <c r="H12" i="47" s="1"/>
  <c r="H11" i="47"/>
  <c r="G11" i="47"/>
  <c r="J11" i="47" s="1"/>
  <c r="G10" i="47"/>
  <c r="J9" i="47"/>
  <c r="G9" i="47"/>
  <c r="H9" i="47" s="1"/>
  <c r="G67" i="46"/>
  <c r="G66" i="46"/>
  <c r="G65" i="46"/>
  <c r="G64" i="46"/>
  <c r="E59" i="46"/>
  <c r="D59" i="46"/>
  <c r="C59" i="46"/>
  <c r="E58" i="46"/>
  <c r="D58" i="46"/>
  <c r="C58" i="46"/>
  <c r="G52" i="46"/>
  <c r="H52" i="46" s="1"/>
  <c r="G51" i="46"/>
  <c r="H51" i="46" s="1"/>
  <c r="H50" i="46"/>
  <c r="G50" i="46"/>
  <c r="F43" i="46"/>
  <c r="E43" i="46"/>
  <c r="D43" i="46"/>
  <c r="C43" i="46"/>
  <c r="H42" i="46"/>
  <c r="G42" i="46"/>
  <c r="H41" i="46"/>
  <c r="G41" i="46"/>
  <c r="G40" i="46"/>
  <c r="H40" i="46" s="1"/>
  <c r="G39" i="46"/>
  <c r="J38" i="46"/>
  <c r="H38" i="46"/>
  <c r="G38" i="46"/>
  <c r="J37" i="46"/>
  <c r="H37" i="46"/>
  <c r="G37" i="46"/>
  <c r="H36" i="46"/>
  <c r="G36" i="46"/>
  <c r="J35" i="46"/>
  <c r="H35" i="46"/>
  <c r="G35" i="46"/>
  <c r="J34" i="46"/>
  <c r="H34" i="46"/>
  <c r="G34" i="46"/>
  <c r="G33" i="46"/>
  <c r="J32" i="46"/>
  <c r="H32" i="46"/>
  <c r="G32" i="46"/>
  <c r="J31" i="46"/>
  <c r="H31" i="46"/>
  <c r="G31" i="46"/>
  <c r="H30" i="46"/>
  <c r="G30" i="46"/>
  <c r="J29" i="46"/>
  <c r="H29" i="46"/>
  <c r="G29" i="46"/>
  <c r="J28" i="46"/>
  <c r="H28" i="46"/>
  <c r="G28" i="46"/>
  <c r="G27" i="46"/>
  <c r="J26" i="46"/>
  <c r="H26" i="46"/>
  <c r="G26" i="46"/>
  <c r="J25" i="46"/>
  <c r="H25" i="46"/>
  <c r="G25" i="46"/>
  <c r="H24" i="46"/>
  <c r="G24" i="46"/>
  <c r="J23" i="46"/>
  <c r="H23" i="46"/>
  <c r="G23" i="46"/>
  <c r="J22" i="46"/>
  <c r="H22" i="46"/>
  <c r="G22" i="46"/>
  <c r="G21" i="46"/>
  <c r="J20" i="46"/>
  <c r="H20" i="46"/>
  <c r="G20" i="46"/>
  <c r="J19" i="46"/>
  <c r="H19" i="46"/>
  <c r="G19" i="46"/>
  <c r="H18" i="46"/>
  <c r="G18" i="46"/>
  <c r="J17" i="46"/>
  <c r="H17" i="46"/>
  <c r="G17" i="46"/>
  <c r="J16" i="46"/>
  <c r="H16" i="46"/>
  <c r="G16" i="46"/>
  <c r="G15" i="46"/>
  <c r="J14" i="46"/>
  <c r="H14" i="46"/>
  <c r="G14" i="46"/>
  <c r="J13" i="46"/>
  <c r="H13" i="46"/>
  <c r="G13" i="46"/>
  <c r="H12" i="46"/>
  <c r="G12" i="46"/>
  <c r="J11" i="46"/>
  <c r="H11" i="46"/>
  <c r="G11" i="46"/>
  <c r="J10" i="46"/>
  <c r="H10" i="46"/>
  <c r="G10" i="46"/>
  <c r="G9" i="46"/>
  <c r="G65" i="45"/>
  <c r="G64" i="45"/>
  <c r="G63" i="45"/>
  <c r="G62" i="45"/>
  <c r="E57" i="45"/>
  <c r="D57" i="45"/>
  <c r="C57" i="45"/>
  <c r="E56" i="45"/>
  <c r="D56" i="45"/>
  <c r="C56" i="45"/>
  <c r="G50" i="45"/>
  <c r="H50" i="45" s="1"/>
  <c r="H49" i="45"/>
  <c r="G49" i="45"/>
  <c r="H48" i="45"/>
  <c r="G48" i="45"/>
  <c r="F41" i="45"/>
  <c r="E41" i="45"/>
  <c r="D41" i="45"/>
  <c r="C41" i="45"/>
  <c r="G40" i="45"/>
  <c r="H39" i="45"/>
  <c r="G39" i="45"/>
  <c r="H38" i="45"/>
  <c r="G38" i="45"/>
  <c r="J37" i="45"/>
  <c r="H37" i="45"/>
  <c r="G37" i="45"/>
  <c r="J36" i="45"/>
  <c r="H36" i="45"/>
  <c r="G36" i="45"/>
  <c r="G35" i="45"/>
  <c r="H34" i="45"/>
  <c r="G34" i="45"/>
  <c r="G33" i="45"/>
  <c r="H32" i="45"/>
  <c r="G32" i="45"/>
  <c r="G31" i="45"/>
  <c r="J30" i="45"/>
  <c r="H30" i="45"/>
  <c r="G30" i="45"/>
  <c r="J29" i="45"/>
  <c r="H29" i="45"/>
  <c r="G29" i="45"/>
  <c r="G28" i="45"/>
  <c r="J27" i="45"/>
  <c r="H27" i="45"/>
  <c r="G27" i="45"/>
  <c r="J26" i="45"/>
  <c r="H26" i="45"/>
  <c r="G26" i="45"/>
  <c r="G25" i="45"/>
  <c r="J24" i="45"/>
  <c r="H24" i="45"/>
  <c r="G24" i="45"/>
  <c r="G23" i="45"/>
  <c r="H23" i="45" s="1"/>
  <c r="G22" i="45"/>
  <c r="J21" i="45"/>
  <c r="G21" i="45"/>
  <c r="H21" i="45" s="1"/>
  <c r="H20" i="45"/>
  <c r="G20" i="45"/>
  <c r="J20" i="45" s="1"/>
  <c r="G19" i="45"/>
  <c r="H18" i="45"/>
  <c r="G18" i="45"/>
  <c r="H17" i="45"/>
  <c r="G17" i="45"/>
  <c r="J16" i="45"/>
  <c r="H16" i="45"/>
  <c r="G16" i="45"/>
  <c r="J15" i="45"/>
  <c r="H15" i="45"/>
  <c r="G15" i="45"/>
  <c r="H14" i="45"/>
  <c r="G14" i="45"/>
  <c r="J13" i="45"/>
  <c r="H13" i="45"/>
  <c r="G13" i="45"/>
  <c r="J12" i="45"/>
  <c r="H12" i="45"/>
  <c r="G12" i="45"/>
  <c r="G11" i="45"/>
  <c r="J10" i="45"/>
  <c r="G10" i="45"/>
  <c r="H10" i="45" s="1"/>
  <c r="G9" i="45"/>
  <c r="G72" i="44"/>
  <c r="G71" i="44"/>
  <c r="G70" i="44"/>
  <c r="G69" i="44"/>
  <c r="E64" i="44"/>
  <c r="D64" i="44"/>
  <c r="C64" i="44"/>
  <c r="E63" i="44"/>
  <c r="D63" i="44"/>
  <c r="C63" i="44"/>
  <c r="G57" i="44"/>
  <c r="H57" i="44" s="1"/>
  <c r="G56" i="44"/>
  <c r="H56" i="44" s="1"/>
  <c r="G55" i="44"/>
  <c r="H55" i="44" s="1"/>
  <c r="F48" i="44"/>
  <c r="E48" i="44"/>
  <c r="D48" i="44"/>
  <c r="C48" i="44"/>
  <c r="G47" i="44"/>
  <c r="J47" i="44" s="1"/>
  <c r="G46" i="44"/>
  <c r="J45" i="44"/>
  <c r="G45" i="44"/>
  <c r="H45" i="44" s="1"/>
  <c r="G44" i="44"/>
  <c r="G43" i="44"/>
  <c r="H43" i="44" s="1"/>
  <c r="H42" i="44"/>
  <c r="G42" i="44"/>
  <c r="J42" i="44" s="1"/>
  <c r="G41" i="44"/>
  <c r="J40" i="44"/>
  <c r="G40" i="44"/>
  <c r="H40" i="44" s="1"/>
  <c r="G39" i="44"/>
  <c r="J39" i="44" s="1"/>
  <c r="G38" i="44"/>
  <c r="J37" i="44"/>
  <c r="G37" i="44"/>
  <c r="H37" i="44" s="1"/>
  <c r="H36" i="44"/>
  <c r="G36" i="44"/>
  <c r="J36" i="44" s="1"/>
  <c r="G35" i="44"/>
  <c r="J34" i="44"/>
  <c r="G34" i="44"/>
  <c r="H34" i="44" s="1"/>
  <c r="G33" i="44"/>
  <c r="J33" i="44" s="1"/>
  <c r="G32" i="44"/>
  <c r="J31" i="44"/>
  <c r="G31" i="44"/>
  <c r="H31" i="44" s="1"/>
  <c r="G30" i="44"/>
  <c r="G29" i="44"/>
  <c r="J28" i="44"/>
  <c r="G28" i="44"/>
  <c r="H28" i="44" s="1"/>
  <c r="G27" i="44"/>
  <c r="G26" i="44"/>
  <c r="J25" i="44"/>
  <c r="G25" i="44"/>
  <c r="H25" i="44" s="1"/>
  <c r="H24" i="44"/>
  <c r="G24" i="44"/>
  <c r="J24" i="44" s="1"/>
  <c r="G23" i="44"/>
  <c r="J22" i="44"/>
  <c r="G22" i="44"/>
  <c r="H22" i="44" s="1"/>
  <c r="G21" i="44"/>
  <c r="J21" i="44" s="1"/>
  <c r="G20" i="44"/>
  <c r="J19" i="44"/>
  <c r="G19" i="44"/>
  <c r="H19" i="44" s="1"/>
  <c r="H18" i="44"/>
  <c r="G18" i="44"/>
  <c r="J18" i="44" s="1"/>
  <c r="G17" i="44"/>
  <c r="J16" i="44"/>
  <c r="G16" i="44"/>
  <c r="H16" i="44" s="1"/>
  <c r="G15" i="44"/>
  <c r="J15" i="44" s="1"/>
  <c r="G14" i="44"/>
  <c r="J13" i="44"/>
  <c r="G13" i="44"/>
  <c r="H13" i="44" s="1"/>
  <c r="G12" i="44"/>
  <c r="J11" i="44"/>
  <c r="H11" i="44"/>
  <c r="G11" i="44"/>
  <c r="G10" i="44"/>
  <c r="H10" i="44" s="1"/>
  <c r="G9" i="44"/>
  <c r="G63" i="43"/>
  <c r="G62" i="43"/>
  <c r="G61" i="43"/>
  <c r="G60" i="43"/>
  <c r="E55" i="43"/>
  <c r="D55" i="43"/>
  <c r="C55" i="43"/>
  <c r="E54" i="43"/>
  <c r="D54" i="43"/>
  <c r="C54" i="43"/>
  <c r="G48" i="43"/>
  <c r="H48" i="43" s="1"/>
  <c r="G47" i="43"/>
  <c r="H47" i="43" s="1"/>
  <c r="G46" i="43"/>
  <c r="H46" i="43" s="1"/>
  <c r="F39" i="43"/>
  <c r="E39" i="43"/>
  <c r="D39" i="43"/>
  <c r="C39" i="43"/>
  <c r="H38" i="43"/>
  <c r="G38" i="43"/>
  <c r="H37" i="43"/>
  <c r="G37" i="43"/>
  <c r="G36" i="43"/>
  <c r="J35" i="43"/>
  <c r="G35" i="43"/>
  <c r="H35" i="43" s="1"/>
  <c r="G34" i="43"/>
  <c r="J34" i="43" s="1"/>
  <c r="G33" i="43"/>
  <c r="J32" i="43"/>
  <c r="G32" i="43"/>
  <c r="H32" i="43" s="1"/>
  <c r="H31" i="43"/>
  <c r="G31" i="43"/>
  <c r="J31" i="43" s="1"/>
  <c r="G30" i="43"/>
  <c r="H29" i="43"/>
  <c r="G29" i="43"/>
  <c r="H28" i="43"/>
  <c r="G28" i="43"/>
  <c r="G27" i="43"/>
  <c r="H27" i="43" s="1"/>
  <c r="H26" i="43"/>
  <c r="G26" i="43"/>
  <c r="J25" i="43"/>
  <c r="H25" i="43"/>
  <c r="G25" i="43"/>
  <c r="J24" i="43"/>
  <c r="H24" i="43"/>
  <c r="G24" i="43"/>
  <c r="G23" i="43"/>
  <c r="J22" i="43"/>
  <c r="G22" i="43"/>
  <c r="H22" i="43" s="1"/>
  <c r="H21" i="43"/>
  <c r="G21" i="43"/>
  <c r="J21" i="43" s="1"/>
  <c r="G20" i="43"/>
  <c r="H19" i="43"/>
  <c r="G19" i="43"/>
  <c r="G18" i="43"/>
  <c r="J17" i="43"/>
  <c r="G17" i="43"/>
  <c r="H17" i="43" s="1"/>
  <c r="H16" i="43"/>
  <c r="G16" i="43"/>
  <c r="J15" i="43"/>
  <c r="H15" i="43"/>
  <c r="G15" i="43"/>
  <c r="J14" i="43"/>
  <c r="H14" i="43"/>
  <c r="G14" i="43"/>
  <c r="G13" i="43"/>
  <c r="J12" i="43"/>
  <c r="H12" i="43"/>
  <c r="G12" i="43"/>
  <c r="J11" i="43"/>
  <c r="H11" i="43"/>
  <c r="G11" i="43"/>
  <c r="H10" i="43"/>
  <c r="G10" i="43"/>
  <c r="G9" i="43"/>
  <c r="H9" i="43" s="1"/>
  <c r="G70" i="42"/>
  <c r="G69" i="42"/>
  <c r="G68" i="42"/>
  <c r="G67" i="42"/>
  <c r="E62" i="42"/>
  <c r="D62" i="42"/>
  <c r="C62" i="42"/>
  <c r="E61" i="42"/>
  <c r="D61" i="42"/>
  <c r="C61" i="42"/>
  <c r="G55" i="42"/>
  <c r="H55" i="42" s="1"/>
  <c r="G54" i="42"/>
  <c r="H54" i="42" s="1"/>
  <c r="G53" i="42"/>
  <c r="H53" i="42" s="1"/>
  <c r="F46" i="42"/>
  <c r="E46" i="42"/>
  <c r="D46" i="42"/>
  <c r="C46" i="42"/>
  <c r="J45" i="42"/>
  <c r="G45" i="42"/>
  <c r="H45" i="42" s="1"/>
  <c r="G44" i="42"/>
  <c r="J43" i="42"/>
  <c r="H43" i="42"/>
  <c r="G43" i="42"/>
  <c r="G42" i="42"/>
  <c r="G41" i="42"/>
  <c r="J40" i="42"/>
  <c r="G40" i="42"/>
  <c r="H40" i="42" s="1"/>
  <c r="H39" i="42"/>
  <c r="G39" i="42"/>
  <c r="G38" i="42"/>
  <c r="H37" i="42"/>
  <c r="G37" i="42"/>
  <c r="G36" i="42"/>
  <c r="J35" i="42"/>
  <c r="H35" i="42"/>
  <c r="G35" i="42"/>
  <c r="J34" i="42"/>
  <c r="H34" i="42"/>
  <c r="G34" i="42"/>
  <c r="H33" i="42"/>
  <c r="G33" i="42"/>
  <c r="J32" i="42"/>
  <c r="H32" i="42"/>
  <c r="G32" i="42"/>
  <c r="J31" i="42"/>
  <c r="H31" i="42"/>
  <c r="G31" i="42"/>
  <c r="G30" i="42"/>
  <c r="J29" i="42"/>
  <c r="H29" i="42"/>
  <c r="G29" i="42"/>
  <c r="J28" i="42"/>
  <c r="H28" i="42"/>
  <c r="G28" i="42"/>
  <c r="H27" i="42"/>
  <c r="G27" i="42"/>
  <c r="J26" i="42"/>
  <c r="H26" i="42"/>
  <c r="G26" i="42"/>
  <c r="J25" i="42"/>
  <c r="H25" i="42"/>
  <c r="G25" i="42"/>
  <c r="G24" i="42"/>
  <c r="J23" i="42"/>
  <c r="H23" i="42"/>
  <c r="G23" i="42"/>
  <c r="J22" i="42"/>
  <c r="H22" i="42"/>
  <c r="G22" i="42"/>
  <c r="H21" i="42"/>
  <c r="G21" i="42"/>
  <c r="J20" i="42"/>
  <c r="H20" i="42"/>
  <c r="G20" i="42"/>
  <c r="J19" i="42"/>
  <c r="H19" i="42"/>
  <c r="G19" i="42"/>
  <c r="H18" i="42"/>
  <c r="G18" i="42"/>
  <c r="J17" i="42"/>
  <c r="H17" i="42"/>
  <c r="G17" i="42"/>
  <c r="J16" i="42"/>
  <c r="H16" i="42"/>
  <c r="G16" i="42"/>
  <c r="H15" i="42"/>
  <c r="G15" i="42"/>
  <c r="J14" i="42"/>
  <c r="H14" i="42"/>
  <c r="G14" i="42"/>
  <c r="J13" i="42"/>
  <c r="H13" i="42"/>
  <c r="G13" i="42"/>
  <c r="G12" i="42"/>
  <c r="J11" i="42"/>
  <c r="H11" i="42"/>
  <c r="G11" i="42"/>
  <c r="J10" i="42"/>
  <c r="H10" i="42"/>
  <c r="G10" i="42"/>
  <c r="H9" i="42"/>
  <c r="G9" i="42"/>
  <c r="G67" i="41"/>
  <c r="G66" i="41"/>
  <c r="G65" i="41"/>
  <c r="G64" i="41"/>
  <c r="E59" i="41"/>
  <c r="D59" i="41"/>
  <c r="C59" i="41"/>
  <c r="E58" i="41"/>
  <c r="D58" i="41"/>
  <c r="C58" i="41"/>
  <c r="H52" i="41"/>
  <c r="G52" i="41"/>
  <c r="H51" i="41"/>
  <c r="G51" i="41"/>
  <c r="H50" i="41"/>
  <c r="G50" i="41"/>
  <c r="F43" i="41"/>
  <c r="E43" i="41"/>
  <c r="D43" i="41"/>
  <c r="C43" i="41"/>
  <c r="G42" i="41"/>
  <c r="J41" i="41"/>
  <c r="G41" i="41"/>
  <c r="H41" i="41" s="1"/>
  <c r="H40" i="41"/>
  <c r="G40" i="41"/>
  <c r="J40" i="41" s="1"/>
  <c r="G39" i="41"/>
  <c r="J38" i="41"/>
  <c r="G38" i="41"/>
  <c r="H38" i="41" s="1"/>
  <c r="G37" i="41"/>
  <c r="J37" i="41" s="1"/>
  <c r="H36" i="41"/>
  <c r="G36" i="41"/>
  <c r="H35" i="41"/>
  <c r="G35" i="41"/>
  <c r="G34" i="41"/>
  <c r="J33" i="41"/>
  <c r="G33" i="41"/>
  <c r="H33" i="41" s="1"/>
  <c r="G32" i="41"/>
  <c r="J32" i="41" s="1"/>
  <c r="H31" i="41"/>
  <c r="G31" i="41"/>
  <c r="J30" i="41"/>
  <c r="H30" i="41"/>
  <c r="G30" i="41"/>
  <c r="G29" i="41"/>
  <c r="J28" i="41"/>
  <c r="H28" i="41"/>
  <c r="G28" i="41"/>
  <c r="J27" i="41"/>
  <c r="H27" i="41"/>
  <c r="G27" i="41"/>
  <c r="H26" i="41"/>
  <c r="G26" i="41"/>
  <c r="J25" i="41"/>
  <c r="H25" i="41"/>
  <c r="G25" i="41"/>
  <c r="H24" i="41"/>
  <c r="G24" i="41"/>
  <c r="G23" i="41"/>
  <c r="J22" i="41"/>
  <c r="G22" i="41"/>
  <c r="H22" i="41" s="1"/>
  <c r="G21" i="41"/>
  <c r="J21" i="41" s="1"/>
  <c r="G20" i="41"/>
  <c r="J19" i="41"/>
  <c r="G19" i="41"/>
  <c r="H19" i="41" s="1"/>
  <c r="G18" i="41"/>
  <c r="G17" i="41"/>
  <c r="J16" i="41"/>
  <c r="G16" i="41"/>
  <c r="H16" i="41" s="1"/>
  <c r="G15" i="41"/>
  <c r="G14" i="41"/>
  <c r="J13" i="41"/>
  <c r="G13" i="41"/>
  <c r="H13" i="41" s="1"/>
  <c r="H12" i="41"/>
  <c r="G12" i="41"/>
  <c r="J12" i="41" s="1"/>
  <c r="G11" i="41"/>
  <c r="J10" i="41"/>
  <c r="G10" i="41"/>
  <c r="H10" i="41" s="1"/>
  <c r="G9" i="41"/>
  <c r="G63" i="40"/>
  <c r="G62" i="40"/>
  <c r="G61" i="40"/>
  <c r="G60" i="40"/>
  <c r="E55" i="40"/>
  <c r="D55" i="40"/>
  <c r="C55" i="40"/>
  <c r="E54" i="40"/>
  <c r="D54" i="40"/>
  <c r="C54" i="40"/>
  <c r="G48" i="40"/>
  <c r="H48" i="40" s="1"/>
  <c r="G47" i="40"/>
  <c r="H47" i="40" s="1"/>
  <c r="G46" i="40"/>
  <c r="H46" i="40" s="1"/>
  <c r="F39" i="40"/>
  <c r="E39" i="40"/>
  <c r="D39" i="40"/>
  <c r="C39" i="40"/>
  <c r="H38" i="40"/>
  <c r="G38" i="40"/>
  <c r="G37" i="40"/>
  <c r="H37" i="40" s="1"/>
  <c r="G36" i="40"/>
  <c r="J35" i="40"/>
  <c r="H35" i="40"/>
  <c r="G35" i="40"/>
  <c r="J34" i="40"/>
  <c r="H34" i="40"/>
  <c r="G34" i="40"/>
  <c r="G33" i="40"/>
  <c r="G32" i="40"/>
  <c r="H32" i="40" s="1"/>
  <c r="H31" i="40"/>
  <c r="G31" i="40"/>
  <c r="J31" i="40" s="1"/>
  <c r="H30" i="40"/>
  <c r="G30" i="40"/>
  <c r="J29" i="40"/>
  <c r="H29" i="40"/>
  <c r="G29" i="40"/>
  <c r="H28" i="40"/>
  <c r="G28" i="40"/>
  <c r="J27" i="40"/>
  <c r="H27" i="40"/>
  <c r="G27" i="40"/>
  <c r="J26" i="40"/>
  <c r="H26" i="40"/>
  <c r="G26" i="40"/>
  <c r="H25" i="40"/>
  <c r="G25" i="40"/>
  <c r="J24" i="40"/>
  <c r="H24" i="40"/>
  <c r="G24" i="40"/>
  <c r="J23" i="40"/>
  <c r="H23" i="40"/>
  <c r="G23" i="40"/>
  <c r="H22" i="40"/>
  <c r="G22" i="40"/>
  <c r="G21" i="40"/>
  <c r="G20" i="40"/>
  <c r="J20" i="40" s="1"/>
  <c r="G19" i="40"/>
  <c r="J18" i="40"/>
  <c r="G18" i="40"/>
  <c r="H18" i="40" s="1"/>
  <c r="G17" i="40"/>
  <c r="J17" i="40" s="1"/>
  <c r="G16" i="40"/>
  <c r="J15" i="40"/>
  <c r="G15" i="40"/>
  <c r="H15" i="40" s="1"/>
  <c r="G14" i="40"/>
  <c r="G13" i="40"/>
  <c r="G12" i="40"/>
  <c r="G11" i="40"/>
  <c r="J11" i="40" s="1"/>
  <c r="G10" i="40"/>
  <c r="H9" i="40"/>
  <c r="G9" i="40"/>
  <c r="G66" i="39"/>
  <c r="G65" i="39"/>
  <c r="G64" i="39"/>
  <c r="G63" i="39"/>
  <c r="E58" i="39"/>
  <c r="D58" i="39"/>
  <c r="C58" i="39"/>
  <c r="E57" i="39"/>
  <c r="D57" i="39"/>
  <c r="C57" i="39"/>
  <c r="H51" i="39"/>
  <c r="G51" i="39"/>
  <c r="H50" i="39"/>
  <c r="G50" i="39"/>
  <c r="G49" i="39"/>
  <c r="H49" i="39" s="1"/>
  <c r="F42" i="39"/>
  <c r="E42" i="39"/>
  <c r="D42" i="39"/>
  <c r="C42" i="39"/>
  <c r="G41" i="39"/>
  <c r="H41" i="39" s="1"/>
  <c r="H40" i="39"/>
  <c r="G40" i="39"/>
  <c r="H39" i="39"/>
  <c r="G39" i="39"/>
  <c r="G38" i="39"/>
  <c r="J37" i="39"/>
  <c r="G37" i="39"/>
  <c r="H37" i="39" s="1"/>
  <c r="G36" i="39"/>
  <c r="G35" i="39"/>
  <c r="J34" i="39"/>
  <c r="G34" i="39"/>
  <c r="H34" i="39" s="1"/>
  <c r="H33" i="39"/>
  <c r="G33" i="39"/>
  <c r="J32" i="39"/>
  <c r="H32" i="39"/>
  <c r="G32" i="39"/>
  <c r="J31" i="39"/>
  <c r="H31" i="39"/>
  <c r="G31" i="39"/>
  <c r="J30" i="39"/>
  <c r="G30" i="39"/>
  <c r="J29" i="39"/>
  <c r="H29" i="39"/>
  <c r="G29" i="39"/>
  <c r="J28" i="39"/>
  <c r="H28" i="39"/>
  <c r="G28" i="39"/>
  <c r="J27" i="39"/>
  <c r="G27" i="39"/>
  <c r="J26" i="39"/>
  <c r="H26" i="39"/>
  <c r="G26" i="39"/>
  <c r="J25" i="39"/>
  <c r="H25" i="39"/>
  <c r="G25" i="39"/>
  <c r="G24" i="39"/>
  <c r="J23" i="39"/>
  <c r="H23" i="39"/>
  <c r="G23" i="39"/>
  <c r="J22" i="39"/>
  <c r="H22" i="39"/>
  <c r="G22" i="39"/>
  <c r="J21" i="39"/>
  <c r="G21" i="39"/>
  <c r="J20" i="39"/>
  <c r="H20" i="39"/>
  <c r="G20" i="39"/>
  <c r="J19" i="39"/>
  <c r="H19" i="39"/>
  <c r="G19" i="39"/>
  <c r="J18" i="39"/>
  <c r="G18" i="39"/>
  <c r="J17" i="39"/>
  <c r="H17" i="39"/>
  <c r="G17" i="39"/>
  <c r="J16" i="39"/>
  <c r="H16" i="39"/>
  <c r="G16" i="39"/>
  <c r="G15" i="39"/>
  <c r="J14" i="39"/>
  <c r="H14" i="39"/>
  <c r="G14" i="39"/>
  <c r="J13" i="39"/>
  <c r="H13" i="39"/>
  <c r="G13" i="39"/>
  <c r="J12" i="39"/>
  <c r="G12" i="39"/>
  <c r="J11" i="39"/>
  <c r="H11" i="39"/>
  <c r="G11" i="39"/>
  <c r="J10" i="39"/>
  <c r="H10" i="39"/>
  <c r="G10" i="39"/>
  <c r="G9" i="39"/>
  <c r="H9" i="39" s="1"/>
  <c r="G68" i="38"/>
  <c r="G67" i="38"/>
  <c r="G66" i="38"/>
  <c r="G65" i="38"/>
  <c r="E60" i="38"/>
  <c r="D60" i="38"/>
  <c r="C60" i="38"/>
  <c r="E59" i="38"/>
  <c r="D59" i="38"/>
  <c r="C59" i="38"/>
  <c r="G53" i="38"/>
  <c r="H53" i="38" s="1"/>
  <c r="G52" i="38"/>
  <c r="H52" i="38" s="1"/>
  <c r="G51" i="38"/>
  <c r="H51" i="38" s="1"/>
  <c r="F44" i="38"/>
  <c r="E44" i="38"/>
  <c r="D44" i="38"/>
  <c r="C44" i="38"/>
  <c r="G43" i="38"/>
  <c r="H42" i="38"/>
  <c r="G42" i="38"/>
  <c r="J41" i="38"/>
  <c r="H41" i="38"/>
  <c r="G41" i="38"/>
  <c r="J40" i="38"/>
  <c r="H40" i="38"/>
  <c r="G40" i="38"/>
  <c r="J39" i="38"/>
  <c r="H39" i="38"/>
  <c r="G39" i="38"/>
  <c r="G38" i="38"/>
  <c r="H38" i="38" s="1"/>
  <c r="H37" i="38"/>
  <c r="G37" i="38"/>
  <c r="J36" i="38"/>
  <c r="G36" i="38"/>
  <c r="J35" i="38"/>
  <c r="H35" i="38"/>
  <c r="G35" i="38"/>
  <c r="J34" i="38"/>
  <c r="H34" i="38"/>
  <c r="G34" i="38"/>
  <c r="J33" i="38"/>
  <c r="G33" i="38"/>
  <c r="J32" i="38"/>
  <c r="H32" i="38"/>
  <c r="G32" i="38"/>
  <c r="J31" i="38"/>
  <c r="H31" i="38"/>
  <c r="G31" i="38"/>
  <c r="G30" i="38"/>
  <c r="J29" i="38"/>
  <c r="H29" i="38"/>
  <c r="G29" i="38"/>
  <c r="J28" i="38"/>
  <c r="H28" i="38"/>
  <c r="G28" i="38"/>
  <c r="J27" i="38"/>
  <c r="G27" i="38"/>
  <c r="J26" i="38"/>
  <c r="H26" i="38"/>
  <c r="G26" i="38"/>
  <c r="J25" i="38"/>
  <c r="H25" i="38"/>
  <c r="G25" i="38"/>
  <c r="J24" i="38"/>
  <c r="G24" i="38"/>
  <c r="J23" i="38"/>
  <c r="H23" i="38"/>
  <c r="G23" i="38"/>
  <c r="J22" i="38"/>
  <c r="H22" i="38"/>
  <c r="G22" i="38"/>
  <c r="H21" i="38"/>
  <c r="G21" i="38"/>
  <c r="J20" i="38"/>
  <c r="H20" i="38"/>
  <c r="G20" i="38"/>
  <c r="J19" i="38"/>
  <c r="H19" i="38"/>
  <c r="G19" i="38"/>
  <c r="J18" i="38"/>
  <c r="G18" i="38"/>
  <c r="J17" i="38"/>
  <c r="H17" i="38"/>
  <c r="G17" i="38"/>
  <c r="J16" i="38"/>
  <c r="H16" i="38"/>
  <c r="G16" i="38"/>
  <c r="J15" i="38"/>
  <c r="G15" i="38"/>
  <c r="H14" i="38"/>
  <c r="G14" i="38"/>
  <c r="J13" i="38"/>
  <c r="G13" i="38"/>
  <c r="H13" i="38" s="1"/>
  <c r="J12" i="38"/>
  <c r="G12" i="38"/>
  <c r="H12" i="38" s="1"/>
  <c r="G11" i="38"/>
  <c r="J10" i="38"/>
  <c r="G10" i="38"/>
  <c r="H10" i="38" s="1"/>
  <c r="J9" i="38"/>
  <c r="G9" i="38"/>
  <c r="G68" i="37"/>
  <c r="G67" i="37"/>
  <c r="G66" i="37"/>
  <c r="G65" i="37"/>
  <c r="E60" i="37"/>
  <c r="D60" i="37"/>
  <c r="C60" i="37"/>
  <c r="E59" i="37"/>
  <c r="D59" i="37"/>
  <c r="C59" i="37"/>
  <c r="G53" i="37"/>
  <c r="H53" i="37" s="1"/>
  <c r="G52" i="37"/>
  <c r="H52" i="37" s="1"/>
  <c r="H51" i="37"/>
  <c r="G51" i="37"/>
  <c r="F44" i="37"/>
  <c r="E44" i="37"/>
  <c r="D44" i="37"/>
  <c r="C44" i="37"/>
  <c r="J43" i="37"/>
  <c r="G43" i="37"/>
  <c r="H43" i="37" s="1"/>
  <c r="G42" i="37"/>
  <c r="J41" i="37"/>
  <c r="G41" i="37"/>
  <c r="H41" i="37" s="1"/>
  <c r="J40" i="37"/>
  <c r="G40" i="37"/>
  <c r="H40" i="37" s="1"/>
  <c r="G39" i="37"/>
  <c r="G38" i="37"/>
  <c r="H38" i="37" s="1"/>
  <c r="G37" i="37"/>
  <c r="J36" i="37"/>
  <c r="G36" i="37"/>
  <c r="H36" i="37" s="1"/>
  <c r="J35" i="37"/>
  <c r="G35" i="37"/>
  <c r="H35" i="37" s="1"/>
  <c r="H34" i="37"/>
  <c r="G34" i="37"/>
  <c r="J33" i="37"/>
  <c r="G33" i="37"/>
  <c r="H33" i="37" s="1"/>
  <c r="J32" i="37"/>
  <c r="G32" i="37"/>
  <c r="H32" i="37" s="1"/>
  <c r="G31" i="37"/>
  <c r="J30" i="37"/>
  <c r="G30" i="37"/>
  <c r="H30" i="37" s="1"/>
  <c r="J29" i="37"/>
  <c r="G29" i="37"/>
  <c r="H29" i="37" s="1"/>
  <c r="G28" i="37"/>
  <c r="J27" i="37"/>
  <c r="H27" i="37"/>
  <c r="G27" i="37"/>
  <c r="H26" i="37"/>
  <c r="G26" i="37"/>
  <c r="J26" i="37" s="1"/>
  <c r="G25" i="37"/>
  <c r="H25" i="37" s="1"/>
  <c r="J24" i="37"/>
  <c r="G24" i="37"/>
  <c r="H24" i="37" s="1"/>
  <c r="G23" i="37"/>
  <c r="J22" i="37"/>
  <c r="G22" i="37"/>
  <c r="H22" i="37" s="1"/>
  <c r="J21" i="37"/>
  <c r="G21" i="37"/>
  <c r="H21" i="37" s="1"/>
  <c r="H20" i="37"/>
  <c r="G20" i="37"/>
  <c r="J19" i="37"/>
  <c r="G19" i="37"/>
  <c r="H19" i="37" s="1"/>
  <c r="J18" i="37"/>
  <c r="G18" i="37"/>
  <c r="H18" i="37" s="1"/>
  <c r="G17" i="37"/>
  <c r="J16" i="37"/>
  <c r="G16" i="37"/>
  <c r="H16" i="37" s="1"/>
  <c r="J15" i="37"/>
  <c r="G15" i="37"/>
  <c r="H15" i="37" s="1"/>
  <c r="G14" i="37"/>
  <c r="J13" i="37"/>
  <c r="G13" i="37"/>
  <c r="H13" i="37" s="1"/>
  <c r="J12" i="37"/>
  <c r="G12" i="37"/>
  <c r="H12" i="37" s="1"/>
  <c r="H11" i="37"/>
  <c r="G11" i="37"/>
  <c r="H10" i="37"/>
  <c r="G10" i="37"/>
  <c r="H9" i="37"/>
  <c r="G9" i="37"/>
  <c r="J9" i="37" s="1"/>
  <c r="G59" i="36"/>
  <c r="G58" i="36"/>
  <c r="G57" i="36"/>
  <c r="G56" i="36"/>
  <c r="E51" i="36"/>
  <c r="D51" i="36"/>
  <c r="C51" i="36"/>
  <c r="E50" i="36"/>
  <c r="D50" i="36"/>
  <c r="C50" i="36"/>
  <c r="H44" i="36"/>
  <c r="G44" i="36"/>
  <c r="H43" i="36"/>
  <c r="G43" i="36"/>
  <c r="G42" i="36"/>
  <c r="H42" i="36" s="1"/>
  <c r="F35" i="36"/>
  <c r="E35" i="36"/>
  <c r="D35" i="36"/>
  <c r="C35" i="36"/>
  <c r="H34" i="36"/>
  <c r="G34" i="36"/>
  <c r="J34" i="36" s="1"/>
  <c r="G33" i="36"/>
  <c r="G32" i="36"/>
  <c r="H32" i="36" s="1"/>
  <c r="G31" i="36"/>
  <c r="H30" i="36"/>
  <c r="G30" i="36"/>
  <c r="G29" i="36"/>
  <c r="J28" i="36"/>
  <c r="G28" i="36"/>
  <c r="H28" i="36" s="1"/>
  <c r="J27" i="36"/>
  <c r="G27" i="36"/>
  <c r="H27" i="36" s="1"/>
  <c r="G26" i="36"/>
  <c r="J25" i="36"/>
  <c r="H25" i="36"/>
  <c r="G25" i="36"/>
  <c r="H24" i="36"/>
  <c r="G24" i="36"/>
  <c r="J24" i="36" s="1"/>
  <c r="G23" i="36"/>
  <c r="J22" i="36"/>
  <c r="H22" i="36"/>
  <c r="G22" i="36"/>
  <c r="G21" i="36"/>
  <c r="H20" i="36"/>
  <c r="G20" i="36"/>
  <c r="H19" i="36"/>
  <c r="G19" i="36"/>
  <c r="J19" i="36" s="1"/>
  <c r="G18" i="36"/>
  <c r="G17" i="36"/>
  <c r="H17" i="36" s="1"/>
  <c r="H16" i="36"/>
  <c r="G16" i="36"/>
  <c r="J15" i="36"/>
  <c r="G15" i="36"/>
  <c r="H15" i="36" s="1"/>
  <c r="H14" i="36"/>
  <c r="G14" i="36"/>
  <c r="J13" i="36"/>
  <c r="G13" i="36"/>
  <c r="J12" i="36"/>
  <c r="H12" i="36"/>
  <c r="G12" i="36"/>
  <c r="H11" i="36"/>
  <c r="G11" i="36"/>
  <c r="J11" i="36" s="1"/>
  <c r="J10" i="36"/>
  <c r="G10" i="36"/>
  <c r="J9" i="36"/>
  <c r="H9" i="36"/>
  <c r="G9" i="36"/>
  <c r="G64" i="35"/>
  <c r="G63" i="35"/>
  <c r="G62" i="35"/>
  <c r="G61" i="35"/>
  <c r="E56" i="35"/>
  <c r="D56" i="35"/>
  <c r="C56" i="35"/>
  <c r="E55" i="35"/>
  <c r="D55" i="35"/>
  <c r="C55" i="35"/>
  <c r="H49" i="35"/>
  <c r="G49" i="35"/>
  <c r="G48" i="35"/>
  <c r="H48" i="35" s="1"/>
  <c r="H47" i="35"/>
  <c r="G47" i="35"/>
  <c r="F40" i="35"/>
  <c r="E40" i="35"/>
  <c r="D40" i="35"/>
  <c r="C40" i="35"/>
  <c r="G39" i="35"/>
  <c r="H39" i="35" s="1"/>
  <c r="G38" i="35"/>
  <c r="J37" i="35"/>
  <c r="G37" i="35"/>
  <c r="H37" i="35" s="1"/>
  <c r="J36" i="35"/>
  <c r="G36" i="35"/>
  <c r="H36" i="35" s="1"/>
  <c r="G35" i="35"/>
  <c r="J34" i="35"/>
  <c r="G34" i="35"/>
  <c r="H34" i="35" s="1"/>
  <c r="J33" i="35"/>
  <c r="G33" i="35"/>
  <c r="H33" i="35" s="1"/>
  <c r="G32" i="35"/>
  <c r="J31" i="35"/>
  <c r="G31" i="35"/>
  <c r="H31" i="35" s="1"/>
  <c r="H30" i="35"/>
  <c r="G30" i="35"/>
  <c r="G29" i="35"/>
  <c r="J28" i="35"/>
  <c r="H28" i="35"/>
  <c r="G28" i="35"/>
  <c r="H27" i="35"/>
  <c r="G27" i="35"/>
  <c r="J27" i="35" s="1"/>
  <c r="G26" i="35"/>
  <c r="H26" i="35" s="1"/>
  <c r="J25" i="35"/>
  <c r="G25" i="35"/>
  <c r="H25" i="35" s="1"/>
  <c r="H24" i="35"/>
  <c r="G24" i="35"/>
  <c r="J23" i="35"/>
  <c r="G23" i="35"/>
  <c r="H23" i="35" s="1"/>
  <c r="J22" i="35"/>
  <c r="G22" i="35"/>
  <c r="H22" i="35" s="1"/>
  <c r="G21" i="35"/>
  <c r="H20" i="35"/>
  <c r="G20" i="35"/>
  <c r="H19" i="35"/>
  <c r="G19" i="35"/>
  <c r="J18" i="35"/>
  <c r="G18" i="35"/>
  <c r="H18" i="35" s="1"/>
  <c r="H17" i="35"/>
  <c r="G17" i="35"/>
  <c r="G16" i="35"/>
  <c r="J15" i="35"/>
  <c r="H15" i="35"/>
  <c r="G15" i="35"/>
  <c r="G14" i="35"/>
  <c r="J13" i="35"/>
  <c r="G13" i="35"/>
  <c r="H13" i="35" s="1"/>
  <c r="J12" i="35"/>
  <c r="G12" i="35"/>
  <c r="H12" i="35" s="1"/>
  <c r="G11" i="35"/>
  <c r="J10" i="35"/>
  <c r="G10" i="35"/>
  <c r="H10" i="35" s="1"/>
  <c r="H9" i="35"/>
  <c r="G9" i="35"/>
  <c r="G62" i="34"/>
  <c r="G61" i="34"/>
  <c r="G60" i="34"/>
  <c r="G59" i="34"/>
  <c r="E54" i="34"/>
  <c r="D54" i="34"/>
  <c r="C54" i="34"/>
  <c r="E53" i="34"/>
  <c r="D53" i="34"/>
  <c r="C53" i="34"/>
  <c r="H47" i="34"/>
  <c r="G47" i="34"/>
  <c r="H46" i="34"/>
  <c r="G46" i="34"/>
  <c r="G45" i="34"/>
  <c r="H45" i="34" s="1"/>
  <c r="F38" i="34"/>
  <c r="E38" i="34"/>
  <c r="D38" i="34"/>
  <c r="C38" i="34"/>
  <c r="H37" i="34"/>
  <c r="G37" i="34"/>
  <c r="H36" i="34"/>
  <c r="G36" i="34"/>
  <c r="H35" i="34"/>
  <c r="G35" i="34"/>
  <c r="J35" i="34" s="1"/>
  <c r="J34" i="34"/>
  <c r="G34" i="34"/>
  <c r="J33" i="34"/>
  <c r="H33" i="34"/>
  <c r="G33" i="34"/>
  <c r="H32" i="34"/>
  <c r="G32" i="34"/>
  <c r="J32" i="34" s="1"/>
  <c r="J31" i="34"/>
  <c r="G31" i="34"/>
  <c r="J30" i="34"/>
  <c r="H30" i="34"/>
  <c r="G30" i="34"/>
  <c r="H29" i="34"/>
  <c r="G29" i="34"/>
  <c r="J29" i="34" s="1"/>
  <c r="G28" i="34"/>
  <c r="J27" i="34"/>
  <c r="H27" i="34"/>
  <c r="G27" i="34"/>
  <c r="H26" i="34"/>
  <c r="G26" i="34"/>
  <c r="J26" i="34" s="1"/>
  <c r="J25" i="34"/>
  <c r="G25" i="34"/>
  <c r="J24" i="34"/>
  <c r="H24" i="34"/>
  <c r="G24" i="34"/>
  <c r="I23" i="34"/>
  <c r="H23" i="34"/>
  <c r="G23" i="34"/>
  <c r="J23" i="34" s="1"/>
  <c r="J22" i="34"/>
  <c r="G22" i="34"/>
  <c r="J21" i="34"/>
  <c r="H21" i="34"/>
  <c r="G21" i="34"/>
  <c r="H20" i="34"/>
  <c r="G20" i="34"/>
  <c r="J20" i="34" s="1"/>
  <c r="G19" i="34"/>
  <c r="J18" i="34"/>
  <c r="H18" i="34"/>
  <c r="G18" i="34"/>
  <c r="H17" i="34"/>
  <c r="G17" i="34"/>
  <c r="J17" i="34" s="1"/>
  <c r="J16" i="34"/>
  <c r="G16" i="34"/>
  <c r="J15" i="34"/>
  <c r="H15" i="34"/>
  <c r="G15" i="34"/>
  <c r="H14" i="34"/>
  <c r="G14" i="34"/>
  <c r="J13" i="34"/>
  <c r="G13" i="34"/>
  <c r="H13" i="34" s="1"/>
  <c r="G12" i="34"/>
  <c r="G38" i="34" s="1"/>
  <c r="G11" i="34"/>
  <c r="J10" i="34"/>
  <c r="G10" i="34"/>
  <c r="H10" i="34" s="1"/>
  <c r="J9" i="34"/>
  <c r="G9" i="34"/>
  <c r="H9" i="34" s="1"/>
  <c r="G68" i="33"/>
  <c r="G67" i="33"/>
  <c r="G66" i="33"/>
  <c r="G65" i="33"/>
  <c r="E60" i="33"/>
  <c r="D60" i="33"/>
  <c r="C60" i="33"/>
  <c r="E59" i="33"/>
  <c r="D59" i="33"/>
  <c r="C59" i="33"/>
  <c r="G53" i="33"/>
  <c r="H53" i="33" s="1"/>
  <c r="G52" i="33"/>
  <c r="H52" i="33" s="1"/>
  <c r="G51" i="33"/>
  <c r="H51" i="33" s="1"/>
  <c r="F44" i="33"/>
  <c r="E44" i="33"/>
  <c r="D44" i="33"/>
  <c r="C44" i="33"/>
  <c r="J43" i="33"/>
  <c r="G43" i="33"/>
  <c r="H43" i="33" s="1"/>
  <c r="G42" i="33"/>
  <c r="J41" i="33"/>
  <c r="G41" i="33"/>
  <c r="H41" i="33" s="1"/>
  <c r="H40" i="33"/>
  <c r="G40" i="33"/>
  <c r="G39" i="33"/>
  <c r="J38" i="33"/>
  <c r="H38" i="33"/>
  <c r="G38" i="33"/>
  <c r="H37" i="33"/>
  <c r="G37" i="33"/>
  <c r="G36" i="33"/>
  <c r="J35" i="33"/>
  <c r="H35" i="33"/>
  <c r="G35" i="33"/>
  <c r="H34" i="33"/>
  <c r="G34" i="33"/>
  <c r="J34" i="33" s="1"/>
  <c r="G33" i="33"/>
  <c r="J32" i="33"/>
  <c r="H32" i="33"/>
  <c r="G32" i="33"/>
  <c r="H31" i="33"/>
  <c r="G31" i="33"/>
  <c r="G30" i="33"/>
  <c r="J29" i="33"/>
  <c r="H29" i="33"/>
  <c r="G29" i="33"/>
  <c r="H28" i="33"/>
  <c r="G28" i="33"/>
  <c r="J28" i="33" s="1"/>
  <c r="G27" i="33"/>
  <c r="J26" i="33"/>
  <c r="H26" i="33"/>
  <c r="G26" i="33"/>
  <c r="H25" i="33"/>
  <c r="G25" i="33"/>
  <c r="G24" i="33"/>
  <c r="J23" i="33"/>
  <c r="H23" i="33"/>
  <c r="G23" i="33"/>
  <c r="H22" i="33"/>
  <c r="G22" i="33"/>
  <c r="J22" i="33" s="1"/>
  <c r="G21" i="33"/>
  <c r="J20" i="33"/>
  <c r="H20" i="33"/>
  <c r="G20" i="33"/>
  <c r="G19" i="33"/>
  <c r="J18" i="33"/>
  <c r="G18" i="33"/>
  <c r="H18" i="33" s="1"/>
  <c r="G17" i="33"/>
  <c r="G16" i="33"/>
  <c r="J15" i="33"/>
  <c r="G15" i="33"/>
  <c r="H15" i="33" s="1"/>
  <c r="J14" i="33"/>
  <c r="H14" i="33"/>
  <c r="G14" i="33"/>
  <c r="G13" i="33"/>
  <c r="H12" i="33"/>
  <c r="G12" i="33"/>
  <c r="G11" i="33"/>
  <c r="G10" i="33"/>
  <c r="H10" i="33" s="1"/>
  <c r="G9" i="33"/>
  <c r="H9" i="33" s="1"/>
  <c r="G69" i="32"/>
  <c r="G68" i="32"/>
  <c r="G67" i="32"/>
  <c r="G66" i="32"/>
  <c r="E61" i="32"/>
  <c r="D61" i="32"/>
  <c r="C61" i="32"/>
  <c r="E60" i="32"/>
  <c r="D60" i="32"/>
  <c r="C60" i="32"/>
  <c r="G54" i="32"/>
  <c r="H54" i="32" s="1"/>
  <c r="H53" i="32"/>
  <c r="G53" i="32"/>
  <c r="G52" i="32"/>
  <c r="H52" i="32" s="1"/>
  <c r="F45" i="32"/>
  <c r="E45" i="32"/>
  <c r="D45" i="32"/>
  <c r="C45" i="32"/>
  <c r="G44" i="32"/>
  <c r="H43" i="32"/>
  <c r="G43" i="32"/>
  <c r="G42" i="32"/>
  <c r="J41" i="32"/>
  <c r="G41" i="32"/>
  <c r="G40" i="32"/>
  <c r="H40" i="32" s="1"/>
  <c r="H39" i="32"/>
  <c r="G39" i="32"/>
  <c r="J38" i="32"/>
  <c r="G38" i="32"/>
  <c r="H38" i="32" s="1"/>
  <c r="H37" i="32"/>
  <c r="G37" i="32"/>
  <c r="J37" i="32" s="1"/>
  <c r="G36" i="32"/>
  <c r="G35" i="32"/>
  <c r="G34" i="32"/>
  <c r="J33" i="32"/>
  <c r="H33" i="32"/>
  <c r="G33" i="32"/>
  <c r="H32" i="32"/>
  <c r="G32" i="32"/>
  <c r="J31" i="32"/>
  <c r="G31" i="32"/>
  <c r="H31" i="32" s="1"/>
  <c r="H30" i="32"/>
  <c r="G30" i="32"/>
  <c r="J30" i="32" s="1"/>
  <c r="H29" i="32"/>
  <c r="G29" i="32"/>
  <c r="J28" i="32"/>
  <c r="G28" i="32"/>
  <c r="H28" i="32" s="1"/>
  <c r="J27" i="32"/>
  <c r="G27" i="32"/>
  <c r="H27" i="32" s="1"/>
  <c r="G26" i="32"/>
  <c r="J25" i="32"/>
  <c r="G25" i="32"/>
  <c r="H25" i="32" s="1"/>
  <c r="H24" i="32"/>
  <c r="G24" i="32"/>
  <c r="J24" i="32" s="1"/>
  <c r="H23" i="32"/>
  <c r="G23" i="32"/>
  <c r="J22" i="32"/>
  <c r="G22" i="32"/>
  <c r="H22" i="32" s="1"/>
  <c r="J21" i="32"/>
  <c r="G21" i="32"/>
  <c r="H21" i="32" s="1"/>
  <c r="G20" i="32"/>
  <c r="J19" i="32"/>
  <c r="G19" i="32"/>
  <c r="H19" i="32" s="1"/>
  <c r="H18" i="32"/>
  <c r="G18" i="32"/>
  <c r="J18" i="32" s="1"/>
  <c r="H17" i="32"/>
  <c r="G17" i="32"/>
  <c r="J16" i="32"/>
  <c r="G16" i="32"/>
  <c r="H16" i="32" s="1"/>
  <c r="J15" i="32"/>
  <c r="G15" i="32"/>
  <c r="H15" i="32" s="1"/>
  <c r="H14" i="32"/>
  <c r="G14" i="32"/>
  <c r="J13" i="32"/>
  <c r="G13" i="32"/>
  <c r="H13" i="32" s="1"/>
  <c r="H12" i="32"/>
  <c r="G12" i="32"/>
  <c r="J12" i="32" s="1"/>
  <c r="H11" i="32"/>
  <c r="G11" i="32"/>
  <c r="J10" i="32"/>
  <c r="G10" i="32"/>
  <c r="H10" i="32" s="1"/>
  <c r="J9" i="32"/>
  <c r="G9" i="32"/>
  <c r="H9" i="32" s="1"/>
  <c r="G65" i="31"/>
  <c r="G64" i="31"/>
  <c r="G63" i="31"/>
  <c r="G62" i="31"/>
  <c r="E57" i="31"/>
  <c r="D57" i="31"/>
  <c r="C57" i="31"/>
  <c r="E56" i="31"/>
  <c r="D56" i="31"/>
  <c r="C56" i="31"/>
  <c r="G50" i="31"/>
  <c r="H50" i="31" s="1"/>
  <c r="G49" i="31"/>
  <c r="H49" i="31" s="1"/>
  <c r="H48" i="31"/>
  <c r="G48" i="31"/>
  <c r="F41" i="31"/>
  <c r="E41" i="31"/>
  <c r="D41" i="31"/>
  <c r="C41" i="31"/>
  <c r="H40" i="31"/>
  <c r="G40" i="31"/>
  <c r="G39" i="31"/>
  <c r="J38" i="31"/>
  <c r="H38" i="31"/>
  <c r="G38" i="31"/>
  <c r="H37" i="31"/>
  <c r="G37" i="31"/>
  <c r="J37" i="31" s="1"/>
  <c r="G36" i="31"/>
  <c r="J35" i="31"/>
  <c r="H35" i="31"/>
  <c r="G35" i="31"/>
  <c r="H34" i="31"/>
  <c r="G34" i="31"/>
  <c r="G33" i="31"/>
  <c r="G32" i="31"/>
  <c r="H31" i="31"/>
  <c r="G31" i="31"/>
  <c r="J30" i="31"/>
  <c r="G30" i="31"/>
  <c r="H30" i="31" s="1"/>
  <c r="J29" i="31"/>
  <c r="G29" i="31"/>
  <c r="H29" i="31" s="1"/>
  <c r="G28" i="31"/>
  <c r="J27" i="31"/>
  <c r="G27" i="31"/>
  <c r="H27" i="31" s="1"/>
  <c r="G26" i="31"/>
  <c r="H25" i="31"/>
  <c r="G25" i="31"/>
  <c r="J24" i="31"/>
  <c r="G24" i="31"/>
  <c r="H24" i="31" s="1"/>
  <c r="J23" i="31"/>
  <c r="G23" i="31"/>
  <c r="H23" i="31" s="1"/>
  <c r="G22" i="31"/>
  <c r="J21" i="31"/>
  <c r="G21" i="31"/>
  <c r="H21" i="31" s="1"/>
  <c r="G20" i="31"/>
  <c r="H19" i="31"/>
  <c r="G19" i="31"/>
  <c r="J18" i="31"/>
  <c r="G18" i="31"/>
  <c r="H18" i="31" s="1"/>
  <c r="J17" i="31"/>
  <c r="G17" i="31"/>
  <c r="H17" i="31" s="1"/>
  <c r="G16" i="31"/>
  <c r="J15" i="31"/>
  <c r="G15" i="31"/>
  <c r="H15" i="31" s="1"/>
  <c r="G14" i="31"/>
  <c r="H13" i="31"/>
  <c r="G13" i="31"/>
  <c r="J12" i="31"/>
  <c r="G12" i="31"/>
  <c r="H12" i="31" s="1"/>
  <c r="J11" i="31"/>
  <c r="G11" i="31"/>
  <c r="H11" i="31" s="1"/>
  <c r="G10" i="31"/>
  <c r="H9" i="31"/>
  <c r="G9" i="31"/>
  <c r="G62" i="30"/>
  <c r="G61" i="30"/>
  <c r="G60" i="30"/>
  <c r="G59" i="30"/>
  <c r="E54" i="30"/>
  <c r="D54" i="30"/>
  <c r="C54" i="30"/>
  <c r="E53" i="30"/>
  <c r="D53" i="30"/>
  <c r="C53" i="30"/>
  <c r="H47" i="30"/>
  <c r="G47" i="30"/>
  <c r="G46" i="30"/>
  <c r="H46" i="30" s="1"/>
  <c r="G45" i="30"/>
  <c r="H45" i="30" s="1"/>
  <c r="F38" i="30"/>
  <c r="E38" i="30"/>
  <c r="D38" i="30"/>
  <c r="C38" i="30"/>
  <c r="H37" i="30"/>
  <c r="G37" i="30"/>
  <c r="G36" i="30"/>
  <c r="J35" i="30"/>
  <c r="G35" i="30"/>
  <c r="H35" i="30" s="1"/>
  <c r="G34" i="30"/>
  <c r="G33" i="30"/>
  <c r="H33" i="30" s="1"/>
  <c r="G32" i="30"/>
  <c r="G31" i="30"/>
  <c r="H30" i="30"/>
  <c r="G30" i="30"/>
  <c r="G29" i="30"/>
  <c r="J28" i="30"/>
  <c r="H28" i="30"/>
  <c r="G28" i="30"/>
  <c r="G27" i="30"/>
  <c r="J26" i="30"/>
  <c r="G26" i="30"/>
  <c r="J25" i="30"/>
  <c r="H25" i="30"/>
  <c r="G25" i="30"/>
  <c r="G24" i="30"/>
  <c r="J24" i="30" s="1"/>
  <c r="G23" i="30"/>
  <c r="H22" i="30"/>
  <c r="G22" i="30"/>
  <c r="H21" i="30"/>
  <c r="G21" i="30"/>
  <c r="J20" i="30"/>
  <c r="G20" i="30"/>
  <c r="H20" i="30" s="1"/>
  <c r="J19" i="30"/>
  <c r="G19" i="30"/>
  <c r="H19" i="30" s="1"/>
  <c r="G18" i="30"/>
  <c r="J17" i="30"/>
  <c r="G17" i="30"/>
  <c r="H17" i="30" s="1"/>
  <c r="H16" i="30"/>
  <c r="G16" i="30"/>
  <c r="J16" i="30" s="1"/>
  <c r="H15" i="30"/>
  <c r="G15" i="30"/>
  <c r="J14" i="30"/>
  <c r="G14" i="30"/>
  <c r="H14" i="30" s="1"/>
  <c r="J13" i="30"/>
  <c r="G13" i="30"/>
  <c r="H13" i="30" s="1"/>
  <c r="G12" i="30"/>
  <c r="J11" i="30"/>
  <c r="G11" i="30"/>
  <c r="H11" i="30" s="1"/>
  <c r="H10" i="30"/>
  <c r="G10" i="30"/>
  <c r="J10" i="30" s="1"/>
  <c r="H9" i="30"/>
  <c r="G9" i="30"/>
  <c r="G67" i="29"/>
  <c r="G66" i="29"/>
  <c r="G65" i="29"/>
  <c r="G64" i="29"/>
  <c r="E59" i="29"/>
  <c r="D59" i="29"/>
  <c r="C59" i="29"/>
  <c r="E58" i="29"/>
  <c r="D58" i="29"/>
  <c r="C58" i="29"/>
  <c r="H52" i="29"/>
  <c r="G52" i="29"/>
  <c r="G51" i="29"/>
  <c r="H51" i="29" s="1"/>
  <c r="G50" i="29"/>
  <c r="H50" i="29" s="1"/>
  <c r="G43" i="29"/>
  <c r="F43" i="29"/>
  <c r="E43" i="29"/>
  <c r="D43" i="29"/>
  <c r="C43" i="29"/>
  <c r="G42" i="29"/>
  <c r="G41" i="29"/>
  <c r="H41" i="29" s="1"/>
  <c r="G40" i="29"/>
  <c r="H39" i="29"/>
  <c r="G39" i="29"/>
  <c r="G38" i="29"/>
  <c r="J38" i="29" s="1"/>
  <c r="J37" i="29"/>
  <c r="G37" i="29"/>
  <c r="H37" i="29" s="1"/>
  <c r="G36" i="29"/>
  <c r="G35" i="29"/>
  <c r="J35" i="29" s="1"/>
  <c r="G34" i="29"/>
  <c r="J33" i="29"/>
  <c r="H33" i="29"/>
  <c r="G33" i="29"/>
  <c r="G32" i="29"/>
  <c r="J31" i="29"/>
  <c r="G31" i="29"/>
  <c r="H31" i="29" s="1"/>
  <c r="H30" i="29"/>
  <c r="G30" i="29"/>
  <c r="J30" i="29" s="1"/>
  <c r="G29" i="29"/>
  <c r="J29" i="29" s="1"/>
  <c r="J28" i="29"/>
  <c r="G28" i="29"/>
  <c r="H28" i="29" s="1"/>
  <c r="G27" i="29"/>
  <c r="H27" i="29" s="1"/>
  <c r="J26" i="29"/>
  <c r="H26" i="29"/>
  <c r="G26" i="29"/>
  <c r="J25" i="29"/>
  <c r="H25" i="29"/>
  <c r="G25" i="29"/>
  <c r="J24" i="29"/>
  <c r="H24" i="29"/>
  <c r="G24" i="29"/>
  <c r="H23" i="29"/>
  <c r="G23" i="29"/>
  <c r="J22" i="29"/>
  <c r="G22" i="29"/>
  <c r="H22" i="29" s="1"/>
  <c r="J21" i="29"/>
  <c r="G21" i="29"/>
  <c r="H21" i="29" s="1"/>
  <c r="G20" i="29"/>
  <c r="J19" i="29"/>
  <c r="G19" i="29"/>
  <c r="H19" i="29" s="1"/>
  <c r="J18" i="29"/>
  <c r="G18" i="29"/>
  <c r="H18" i="29" s="1"/>
  <c r="H17" i="29"/>
  <c r="G17" i="29"/>
  <c r="J16" i="29"/>
  <c r="G16" i="29"/>
  <c r="H16" i="29" s="1"/>
  <c r="J15" i="29"/>
  <c r="G15" i="29"/>
  <c r="H15" i="29" s="1"/>
  <c r="G14" i="29"/>
  <c r="J13" i="29"/>
  <c r="G13" i="29"/>
  <c r="H13" i="29" s="1"/>
  <c r="J12" i="29"/>
  <c r="G12" i="29"/>
  <c r="H12" i="29" s="1"/>
  <c r="H11" i="29"/>
  <c r="G11" i="29"/>
  <c r="J10" i="29"/>
  <c r="G10" i="29"/>
  <c r="H10" i="29" s="1"/>
  <c r="J9" i="29"/>
  <c r="G9" i="29"/>
  <c r="H9" i="29" s="1"/>
  <c r="G62" i="28"/>
  <c r="G61" i="28"/>
  <c r="G60" i="28"/>
  <c r="G59" i="28"/>
  <c r="E54" i="28"/>
  <c r="D54" i="28"/>
  <c r="C54" i="28"/>
  <c r="E53" i="28"/>
  <c r="D53" i="28"/>
  <c r="C53" i="28"/>
  <c r="G47" i="28"/>
  <c r="H47" i="28" s="1"/>
  <c r="G46" i="28"/>
  <c r="H46" i="28" s="1"/>
  <c r="G45" i="28"/>
  <c r="H45" i="28" s="1"/>
  <c r="F38" i="28"/>
  <c r="E38" i="28"/>
  <c r="D38" i="28"/>
  <c r="C38" i="28"/>
  <c r="H37" i="28"/>
  <c r="G37" i="28"/>
  <c r="G36" i="28"/>
  <c r="H36" i="28" s="1"/>
  <c r="J35" i="28"/>
  <c r="G35" i="28"/>
  <c r="H35" i="28" s="1"/>
  <c r="H34" i="28"/>
  <c r="G34" i="28"/>
  <c r="H33" i="28"/>
  <c r="G33" i="28"/>
  <c r="H32" i="28"/>
  <c r="G32" i="28"/>
  <c r="J31" i="28"/>
  <c r="G31" i="28"/>
  <c r="H31" i="28" s="1"/>
  <c r="J30" i="28"/>
  <c r="G30" i="28"/>
  <c r="H30" i="28" s="1"/>
  <c r="G29" i="28"/>
  <c r="J28" i="28"/>
  <c r="G28" i="28"/>
  <c r="H28" i="28" s="1"/>
  <c r="J27" i="28"/>
  <c r="G27" i="28"/>
  <c r="H27" i="28" s="1"/>
  <c r="G26" i="28"/>
  <c r="G25" i="28"/>
  <c r="H25" i="28" s="1"/>
  <c r="G24" i="28"/>
  <c r="J23" i="28"/>
  <c r="H23" i="28"/>
  <c r="G23" i="28"/>
  <c r="H22" i="28"/>
  <c r="G22" i="28"/>
  <c r="J22" i="28" s="1"/>
  <c r="G21" i="28"/>
  <c r="J20" i="28"/>
  <c r="H20" i="28"/>
  <c r="G20" i="28"/>
  <c r="H19" i="28"/>
  <c r="G19" i="28"/>
  <c r="H18" i="28"/>
  <c r="G18" i="28"/>
  <c r="H17" i="28"/>
  <c r="G17" i="28"/>
  <c r="J17" i="28" s="1"/>
  <c r="G16" i="28"/>
  <c r="H16" i="28" s="1"/>
  <c r="J15" i="28"/>
  <c r="G15" i="28"/>
  <c r="H15" i="28" s="1"/>
  <c r="G14" i="28"/>
  <c r="H13" i="28"/>
  <c r="G13" i="28"/>
  <c r="G12" i="28"/>
  <c r="J11" i="28"/>
  <c r="G11" i="28"/>
  <c r="H11" i="28" s="1"/>
  <c r="J10" i="28"/>
  <c r="G10" i="28"/>
  <c r="H10" i="28" s="1"/>
  <c r="G9" i="28"/>
  <c r="G72" i="27"/>
  <c r="G71" i="27"/>
  <c r="G70" i="27"/>
  <c r="G69" i="27"/>
  <c r="E64" i="27"/>
  <c r="D64" i="27"/>
  <c r="C64" i="27"/>
  <c r="E63" i="27"/>
  <c r="D63" i="27"/>
  <c r="C63" i="27"/>
  <c r="G57" i="27"/>
  <c r="H57" i="27" s="1"/>
  <c r="H56" i="27"/>
  <c r="G56" i="27"/>
  <c r="H55" i="27"/>
  <c r="G55" i="27"/>
  <c r="F48" i="27"/>
  <c r="E48" i="27"/>
  <c r="D48" i="27"/>
  <c r="C48" i="27"/>
  <c r="G47" i="27"/>
  <c r="H47" i="27" s="1"/>
  <c r="H46" i="27"/>
  <c r="G46" i="27"/>
  <c r="G45" i="27"/>
  <c r="H45" i="27" s="1"/>
  <c r="H44" i="27"/>
  <c r="G44" i="27"/>
  <c r="G43" i="27"/>
  <c r="J42" i="27"/>
  <c r="H42" i="27"/>
  <c r="G42" i="27"/>
  <c r="H41" i="27"/>
  <c r="G41" i="27"/>
  <c r="J41" i="27" s="1"/>
  <c r="G40" i="27"/>
  <c r="H40" i="27" s="1"/>
  <c r="H39" i="27"/>
  <c r="G39" i="27"/>
  <c r="G38" i="27"/>
  <c r="H38" i="27" s="1"/>
  <c r="J37" i="27"/>
  <c r="G37" i="27"/>
  <c r="H37" i="27" s="1"/>
  <c r="G36" i="27"/>
  <c r="J35" i="27"/>
  <c r="G35" i="27"/>
  <c r="H35" i="27" s="1"/>
  <c r="J34" i="27"/>
  <c r="G34" i="27"/>
  <c r="H34" i="27" s="1"/>
  <c r="H33" i="27"/>
  <c r="G33" i="27"/>
  <c r="J32" i="27"/>
  <c r="G32" i="27"/>
  <c r="H32" i="27" s="1"/>
  <c r="J31" i="27"/>
  <c r="G31" i="27"/>
  <c r="H31" i="27" s="1"/>
  <c r="G30" i="27"/>
  <c r="J29" i="27"/>
  <c r="G29" i="27"/>
  <c r="H29" i="27" s="1"/>
  <c r="J28" i="27"/>
  <c r="G28" i="27"/>
  <c r="H28" i="27" s="1"/>
  <c r="H27" i="27"/>
  <c r="G27" i="27"/>
  <c r="J26" i="27"/>
  <c r="G26" i="27"/>
  <c r="H26" i="27" s="1"/>
  <c r="J25" i="27"/>
  <c r="G25" i="27"/>
  <c r="H25" i="27" s="1"/>
  <c r="G24" i="27"/>
  <c r="J23" i="27"/>
  <c r="G23" i="27"/>
  <c r="H23" i="27" s="1"/>
  <c r="J22" i="27"/>
  <c r="G22" i="27"/>
  <c r="H22" i="27" s="1"/>
  <c r="H21" i="27"/>
  <c r="G21" i="27"/>
  <c r="J20" i="27"/>
  <c r="G20" i="27"/>
  <c r="H20" i="27" s="1"/>
  <c r="J19" i="27"/>
  <c r="G19" i="27"/>
  <c r="H19" i="27" s="1"/>
  <c r="G18" i="27"/>
  <c r="J17" i="27"/>
  <c r="G17" i="27"/>
  <c r="H17" i="27" s="1"/>
  <c r="J16" i="27"/>
  <c r="G16" i="27"/>
  <c r="H16" i="27" s="1"/>
  <c r="H15" i="27"/>
  <c r="G15" i="27"/>
  <c r="J14" i="27"/>
  <c r="G14" i="27"/>
  <c r="H14" i="27" s="1"/>
  <c r="J13" i="27"/>
  <c r="G13" i="27"/>
  <c r="H13" i="27" s="1"/>
  <c r="G12" i="27"/>
  <c r="J11" i="27"/>
  <c r="G11" i="27"/>
  <c r="H11" i="27" s="1"/>
  <c r="J10" i="27"/>
  <c r="G10" i="27"/>
  <c r="H10" i="27" s="1"/>
  <c r="H9" i="27"/>
  <c r="G9" i="27"/>
  <c r="G61" i="26"/>
  <c r="G60" i="26"/>
  <c r="G59" i="26"/>
  <c r="G58" i="26"/>
  <c r="E53" i="26"/>
  <c r="D53" i="26"/>
  <c r="C53" i="26"/>
  <c r="E52" i="26"/>
  <c r="D52" i="26"/>
  <c r="C52" i="26"/>
  <c r="H46" i="26"/>
  <c r="G46" i="26"/>
  <c r="G45" i="26"/>
  <c r="H45" i="26" s="1"/>
  <c r="G44" i="26"/>
  <c r="H44" i="26" s="1"/>
  <c r="F37" i="26"/>
  <c r="E37" i="26"/>
  <c r="D37" i="26"/>
  <c r="C37" i="26"/>
  <c r="G36" i="26"/>
  <c r="J35" i="26"/>
  <c r="H35" i="26"/>
  <c r="G35" i="26"/>
  <c r="H34" i="26"/>
  <c r="G34" i="26"/>
  <c r="J34" i="26" s="1"/>
  <c r="G33" i="26"/>
  <c r="G32" i="26"/>
  <c r="H32" i="26" s="1"/>
  <c r="G31" i="26"/>
  <c r="G30" i="26"/>
  <c r="H30" i="26" s="1"/>
  <c r="G29" i="26"/>
  <c r="J28" i="26"/>
  <c r="H28" i="26"/>
  <c r="G28" i="26"/>
  <c r="H27" i="26"/>
  <c r="G27" i="26"/>
  <c r="J27" i="26" s="1"/>
  <c r="G26" i="26"/>
  <c r="J25" i="26"/>
  <c r="H25" i="26"/>
  <c r="G25" i="26"/>
  <c r="G24" i="26"/>
  <c r="H23" i="26"/>
  <c r="G23" i="26"/>
  <c r="H22" i="26"/>
  <c r="G22" i="26"/>
  <c r="H21" i="26"/>
  <c r="G21" i="26"/>
  <c r="H20" i="26"/>
  <c r="G20" i="26"/>
  <c r="H19" i="26"/>
  <c r="G19" i="26"/>
  <c r="G18" i="26"/>
  <c r="H18" i="26" s="1"/>
  <c r="H17" i="26"/>
  <c r="G17" i="26"/>
  <c r="H16" i="26"/>
  <c r="G16" i="26"/>
  <c r="J16" i="26" s="1"/>
  <c r="G15" i="26"/>
  <c r="H15" i="26" s="1"/>
  <c r="J14" i="26"/>
  <c r="G14" i="26"/>
  <c r="H14" i="26" s="1"/>
  <c r="G13" i="26"/>
  <c r="H12" i="26"/>
  <c r="G12" i="26"/>
  <c r="H11" i="26"/>
  <c r="G11" i="26"/>
  <c r="J11" i="26" s="1"/>
  <c r="G10" i="26"/>
  <c r="G9" i="26"/>
  <c r="H9" i="26" s="1"/>
  <c r="G63" i="25"/>
  <c r="G62" i="25"/>
  <c r="G61" i="25"/>
  <c r="G60" i="25"/>
  <c r="E55" i="25"/>
  <c r="D55" i="25"/>
  <c r="C55" i="25"/>
  <c r="E54" i="25"/>
  <c r="D54" i="25"/>
  <c r="C54" i="25"/>
  <c r="G48" i="25"/>
  <c r="H48" i="25" s="1"/>
  <c r="G47" i="25"/>
  <c r="H47" i="25" s="1"/>
  <c r="G46" i="25"/>
  <c r="H46" i="25" s="1"/>
  <c r="G39" i="25"/>
  <c r="I36" i="25" s="1"/>
  <c r="F39" i="25"/>
  <c r="E39" i="25"/>
  <c r="D39" i="25"/>
  <c r="C39" i="25"/>
  <c r="H38" i="25"/>
  <c r="G38" i="25"/>
  <c r="G37" i="25"/>
  <c r="H37" i="25" s="1"/>
  <c r="J36" i="25"/>
  <c r="G36" i="25"/>
  <c r="H36" i="25" s="1"/>
  <c r="G35" i="25"/>
  <c r="H35" i="25" s="1"/>
  <c r="H34" i="25"/>
  <c r="G34" i="25"/>
  <c r="H33" i="25"/>
  <c r="G33" i="25"/>
  <c r="H32" i="25"/>
  <c r="G32" i="25"/>
  <c r="H31" i="25"/>
  <c r="G31" i="25"/>
  <c r="J30" i="25"/>
  <c r="G30" i="25"/>
  <c r="H30" i="25" s="1"/>
  <c r="J29" i="25"/>
  <c r="G29" i="25"/>
  <c r="H29" i="25" s="1"/>
  <c r="G28" i="25"/>
  <c r="J27" i="25"/>
  <c r="G27" i="25"/>
  <c r="H27" i="25" s="1"/>
  <c r="J26" i="25"/>
  <c r="G26" i="25"/>
  <c r="H26" i="25" s="1"/>
  <c r="H25" i="25"/>
  <c r="G25" i="25"/>
  <c r="J24" i="25"/>
  <c r="G24" i="25"/>
  <c r="H24" i="25" s="1"/>
  <c r="H23" i="25"/>
  <c r="G23" i="25"/>
  <c r="G22" i="25"/>
  <c r="H22" i="25" s="1"/>
  <c r="J21" i="25"/>
  <c r="G21" i="25"/>
  <c r="H21" i="25" s="1"/>
  <c r="G20" i="25"/>
  <c r="H19" i="25"/>
  <c r="G19" i="25"/>
  <c r="H18" i="25"/>
  <c r="G18" i="25"/>
  <c r="J18" i="25" s="1"/>
  <c r="G17" i="25"/>
  <c r="J16" i="25"/>
  <c r="H16" i="25"/>
  <c r="G16" i="25"/>
  <c r="H15" i="25"/>
  <c r="G15" i="25"/>
  <c r="J15" i="25" s="1"/>
  <c r="G14" i="25"/>
  <c r="J13" i="25"/>
  <c r="H13" i="25"/>
  <c r="G13" i="25"/>
  <c r="H12" i="25"/>
  <c r="G12" i="25"/>
  <c r="J12" i="25" s="1"/>
  <c r="G11" i="25"/>
  <c r="J10" i="25"/>
  <c r="H10" i="25"/>
  <c r="G10" i="25"/>
  <c r="H9" i="25"/>
  <c r="G9" i="25"/>
  <c r="J9" i="25" s="1"/>
  <c r="G67" i="24"/>
  <c r="G66" i="24"/>
  <c r="G65" i="24"/>
  <c r="G64" i="24"/>
  <c r="E59" i="24"/>
  <c r="D59" i="24"/>
  <c r="C59" i="24"/>
  <c r="E58" i="24"/>
  <c r="D58" i="24"/>
  <c r="C58" i="24"/>
  <c r="H52" i="24"/>
  <c r="G52" i="24"/>
  <c r="H51" i="24"/>
  <c r="G51" i="24"/>
  <c r="G50" i="24"/>
  <c r="H50" i="24" s="1"/>
  <c r="F43" i="24"/>
  <c r="E43" i="24"/>
  <c r="D43" i="24"/>
  <c r="C43" i="24"/>
  <c r="H42" i="24"/>
  <c r="G42" i="24"/>
  <c r="J42" i="24" s="1"/>
  <c r="G41" i="24"/>
  <c r="H41" i="24" s="1"/>
  <c r="J40" i="24"/>
  <c r="G40" i="24"/>
  <c r="H40" i="24" s="1"/>
  <c r="G39" i="24"/>
  <c r="H38" i="24"/>
  <c r="G38" i="24"/>
  <c r="G37" i="24"/>
  <c r="H36" i="24"/>
  <c r="G36" i="24"/>
  <c r="G35" i="24"/>
  <c r="H35" i="24" s="1"/>
  <c r="H34" i="24"/>
  <c r="G34" i="24"/>
  <c r="G33" i="24"/>
  <c r="J32" i="24"/>
  <c r="G32" i="24"/>
  <c r="H32" i="24" s="1"/>
  <c r="H31" i="24"/>
  <c r="G31" i="24"/>
  <c r="G30" i="24"/>
  <c r="J29" i="24"/>
  <c r="H29" i="24"/>
  <c r="G29" i="24"/>
  <c r="H28" i="24"/>
  <c r="G28" i="24"/>
  <c r="J28" i="24" s="1"/>
  <c r="G27" i="24"/>
  <c r="G26" i="24"/>
  <c r="H26" i="24" s="1"/>
  <c r="H25" i="24"/>
  <c r="G25" i="24"/>
  <c r="H24" i="24"/>
  <c r="G24" i="24"/>
  <c r="H23" i="24"/>
  <c r="G23" i="24"/>
  <c r="H22" i="24"/>
  <c r="G22" i="24"/>
  <c r="H21" i="24"/>
  <c r="G21" i="24"/>
  <c r="J21" i="24" s="1"/>
  <c r="G20" i="24"/>
  <c r="G19" i="24"/>
  <c r="H19" i="24" s="1"/>
  <c r="G18" i="24"/>
  <c r="J17" i="24"/>
  <c r="H17" i="24"/>
  <c r="G17" i="24"/>
  <c r="H16" i="24"/>
  <c r="G16" i="24"/>
  <c r="J15" i="24"/>
  <c r="G15" i="24"/>
  <c r="H15" i="24" s="1"/>
  <c r="J14" i="24"/>
  <c r="G14" i="24"/>
  <c r="H14" i="24" s="1"/>
  <c r="G13" i="24"/>
  <c r="G12" i="24"/>
  <c r="H12" i="24" s="1"/>
  <c r="H11" i="24"/>
  <c r="G11" i="24"/>
  <c r="J10" i="24"/>
  <c r="G10" i="24"/>
  <c r="H10" i="24" s="1"/>
  <c r="H9" i="24"/>
  <c r="G9" i="24"/>
  <c r="G63" i="23"/>
  <c r="G62" i="23"/>
  <c r="G61" i="23"/>
  <c r="G60" i="23"/>
  <c r="E55" i="23"/>
  <c r="D55" i="23"/>
  <c r="C55" i="23"/>
  <c r="E54" i="23"/>
  <c r="D54" i="23"/>
  <c r="C54" i="23"/>
  <c r="H48" i="23"/>
  <c r="G48" i="23"/>
  <c r="H47" i="23"/>
  <c r="G47" i="23"/>
  <c r="G46" i="23"/>
  <c r="H46" i="23" s="1"/>
  <c r="F39" i="23"/>
  <c r="E39" i="23"/>
  <c r="D39" i="23"/>
  <c r="C39" i="23"/>
  <c r="G38" i="23"/>
  <c r="J37" i="23"/>
  <c r="G37" i="23"/>
  <c r="H37" i="23" s="1"/>
  <c r="J36" i="23"/>
  <c r="G36" i="23"/>
  <c r="H36" i="23" s="1"/>
  <c r="G35" i="23"/>
  <c r="J34" i="23"/>
  <c r="H34" i="23"/>
  <c r="G34" i="23"/>
  <c r="G33" i="23"/>
  <c r="H32" i="23"/>
  <c r="G32" i="23"/>
  <c r="H31" i="23"/>
  <c r="G31" i="23"/>
  <c r="J31" i="23" s="1"/>
  <c r="G30" i="23"/>
  <c r="J29" i="23"/>
  <c r="H29" i="23"/>
  <c r="G29" i="23"/>
  <c r="H28" i="23"/>
  <c r="G28" i="23"/>
  <c r="J28" i="23" s="1"/>
  <c r="G27" i="23"/>
  <c r="J26" i="23"/>
  <c r="H26" i="23"/>
  <c r="G26" i="23"/>
  <c r="H25" i="23"/>
  <c r="G25" i="23"/>
  <c r="J25" i="23" s="1"/>
  <c r="G24" i="23"/>
  <c r="J23" i="23"/>
  <c r="H23" i="23"/>
  <c r="G23" i="23"/>
  <c r="H22" i="23"/>
  <c r="G22" i="23"/>
  <c r="J22" i="23" s="1"/>
  <c r="G21" i="23"/>
  <c r="J20" i="23"/>
  <c r="H20" i="23"/>
  <c r="G20" i="23"/>
  <c r="H19" i="23"/>
  <c r="G19" i="23"/>
  <c r="J19" i="23" s="1"/>
  <c r="G18" i="23"/>
  <c r="J17" i="23"/>
  <c r="H17" i="23"/>
  <c r="G17" i="23"/>
  <c r="H16" i="23"/>
  <c r="G16" i="23"/>
  <c r="J16" i="23" s="1"/>
  <c r="G15" i="23"/>
  <c r="J14" i="23"/>
  <c r="H14" i="23"/>
  <c r="G14" i="23"/>
  <c r="H13" i="23"/>
  <c r="G13" i="23"/>
  <c r="J13" i="23" s="1"/>
  <c r="G12" i="23"/>
  <c r="G11" i="23"/>
  <c r="H11" i="23" s="1"/>
  <c r="G10" i="23"/>
  <c r="J9" i="23"/>
  <c r="H9" i="23"/>
  <c r="G9" i="23"/>
  <c r="G54" i="22"/>
  <c r="G53" i="22"/>
  <c r="G52" i="22"/>
  <c r="G51" i="22"/>
  <c r="E46" i="22"/>
  <c r="D46" i="22"/>
  <c r="C46" i="22"/>
  <c r="E45" i="22"/>
  <c r="D45" i="22"/>
  <c r="C45" i="22"/>
  <c r="H39" i="22"/>
  <c r="G39" i="22"/>
  <c r="G38" i="22"/>
  <c r="H38" i="22" s="1"/>
  <c r="H37" i="22"/>
  <c r="G37" i="22"/>
  <c r="F30" i="22"/>
  <c r="E30" i="22"/>
  <c r="D30" i="22"/>
  <c r="C30" i="22"/>
  <c r="G29" i="22"/>
  <c r="H29" i="22" s="1"/>
  <c r="G28" i="22"/>
  <c r="J27" i="22"/>
  <c r="G27" i="22"/>
  <c r="H27" i="22" s="1"/>
  <c r="H26" i="22"/>
  <c r="G26" i="22"/>
  <c r="G25" i="22"/>
  <c r="J24" i="22"/>
  <c r="H24" i="22"/>
  <c r="G24" i="22"/>
  <c r="H23" i="22"/>
  <c r="G23" i="22"/>
  <c r="J23" i="22" s="1"/>
  <c r="G22" i="22"/>
  <c r="J21" i="22"/>
  <c r="H21" i="22"/>
  <c r="G21" i="22"/>
  <c r="H20" i="22"/>
  <c r="G20" i="22"/>
  <c r="J20" i="22" s="1"/>
  <c r="G19" i="22"/>
  <c r="J18" i="22"/>
  <c r="H18" i="22"/>
  <c r="G18" i="22"/>
  <c r="H17" i="22"/>
  <c r="G17" i="22"/>
  <c r="J17" i="22" s="1"/>
  <c r="G16" i="22"/>
  <c r="J15" i="22"/>
  <c r="H15" i="22"/>
  <c r="G15" i="22"/>
  <c r="H14" i="22"/>
  <c r="G14" i="22"/>
  <c r="J14" i="22" s="1"/>
  <c r="G13" i="22"/>
  <c r="J12" i="22"/>
  <c r="H12" i="22"/>
  <c r="G12" i="22"/>
  <c r="H11" i="22"/>
  <c r="G11" i="22"/>
  <c r="J11" i="22" s="1"/>
  <c r="G10" i="22"/>
  <c r="H10" i="22" s="1"/>
  <c r="H9" i="22"/>
  <c r="G9" i="22"/>
  <c r="G70" i="21"/>
  <c r="G69" i="21"/>
  <c r="G68" i="21"/>
  <c r="G67" i="21"/>
  <c r="E62" i="21"/>
  <c r="D62" i="21"/>
  <c r="C62" i="21"/>
  <c r="E61" i="21"/>
  <c r="D61" i="21"/>
  <c r="C61" i="21"/>
  <c r="H55" i="21"/>
  <c r="G55" i="21"/>
  <c r="H54" i="21"/>
  <c r="G54" i="21"/>
  <c r="G53" i="21"/>
  <c r="H53" i="21" s="1"/>
  <c r="F46" i="21"/>
  <c r="E46" i="21"/>
  <c r="D46" i="21"/>
  <c r="C46" i="21"/>
  <c r="H45" i="21"/>
  <c r="G45" i="21"/>
  <c r="J45" i="21" s="1"/>
  <c r="G44" i="21"/>
  <c r="J43" i="21"/>
  <c r="H43" i="21"/>
  <c r="G43" i="21"/>
  <c r="H42" i="21"/>
  <c r="G42" i="21"/>
  <c r="H41" i="21"/>
  <c r="G41" i="21"/>
  <c r="H40" i="21"/>
  <c r="G40" i="21"/>
  <c r="J40" i="21" s="1"/>
  <c r="G39" i="21"/>
  <c r="J38" i="21"/>
  <c r="H38" i="21"/>
  <c r="G38" i="21"/>
  <c r="H37" i="21"/>
  <c r="G37" i="21"/>
  <c r="J37" i="21" s="1"/>
  <c r="G36" i="21"/>
  <c r="J35" i="21"/>
  <c r="H35" i="21"/>
  <c r="G35" i="21"/>
  <c r="H34" i="21"/>
  <c r="G34" i="21"/>
  <c r="J34" i="21" s="1"/>
  <c r="G33" i="21"/>
  <c r="J32" i="21"/>
  <c r="H32" i="21"/>
  <c r="G32" i="21"/>
  <c r="H31" i="21"/>
  <c r="G31" i="21"/>
  <c r="J31" i="21" s="1"/>
  <c r="G30" i="21"/>
  <c r="G29" i="21"/>
  <c r="H29" i="21" s="1"/>
  <c r="G28" i="21"/>
  <c r="J27" i="21"/>
  <c r="G27" i="21"/>
  <c r="H27" i="21" s="1"/>
  <c r="J26" i="21"/>
  <c r="G26" i="21"/>
  <c r="H26" i="21" s="1"/>
  <c r="H25" i="21"/>
  <c r="G25" i="21"/>
  <c r="J24" i="21"/>
  <c r="G24" i="21"/>
  <c r="H24" i="21" s="1"/>
  <c r="J23" i="21"/>
  <c r="G23" i="21"/>
  <c r="H23" i="21" s="1"/>
  <c r="G22" i="21"/>
  <c r="J21" i="21"/>
  <c r="G21" i="21"/>
  <c r="H21" i="21" s="1"/>
  <c r="J20" i="21"/>
  <c r="G20" i="21"/>
  <c r="H20" i="21" s="1"/>
  <c r="G19" i="21"/>
  <c r="H18" i="21"/>
  <c r="G18" i="21"/>
  <c r="H17" i="21"/>
  <c r="G17" i="21"/>
  <c r="J17" i="21" s="1"/>
  <c r="G16" i="21"/>
  <c r="J15" i="21"/>
  <c r="H15" i="21"/>
  <c r="G15" i="21"/>
  <c r="H14" i="21"/>
  <c r="G14" i="21"/>
  <c r="J14" i="21" s="1"/>
  <c r="G13" i="21"/>
  <c r="J12" i="21"/>
  <c r="H12" i="21"/>
  <c r="G12" i="21"/>
  <c r="H11" i="21"/>
  <c r="G11" i="21"/>
  <c r="H10" i="21"/>
  <c r="G10" i="21"/>
  <c r="H9" i="21"/>
  <c r="G9" i="21"/>
  <c r="G66" i="20"/>
  <c r="G65" i="20"/>
  <c r="G64" i="20"/>
  <c r="G63" i="20"/>
  <c r="E58" i="20"/>
  <c r="D58" i="20"/>
  <c r="C58" i="20"/>
  <c r="E57" i="20"/>
  <c r="D57" i="20"/>
  <c r="C57" i="20"/>
  <c r="H51" i="20"/>
  <c r="G51" i="20"/>
  <c r="G50" i="20"/>
  <c r="H50" i="20" s="1"/>
  <c r="G49" i="20"/>
  <c r="H49" i="20" s="1"/>
  <c r="F42" i="20"/>
  <c r="E42" i="20"/>
  <c r="D42" i="20"/>
  <c r="C42" i="20"/>
  <c r="G41" i="20"/>
  <c r="G40" i="20"/>
  <c r="H40" i="20" s="1"/>
  <c r="G39" i="20"/>
  <c r="J38" i="20"/>
  <c r="G38" i="20"/>
  <c r="H38" i="20" s="1"/>
  <c r="J37" i="20"/>
  <c r="G37" i="20"/>
  <c r="H37" i="20" s="1"/>
  <c r="G36" i="20"/>
  <c r="G35" i="20"/>
  <c r="H35" i="20" s="1"/>
  <c r="G34" i="20"/>
  <c r="G33" i="20"/>
  <c r="H33" i="20" s="1"/>
  <c r="H32" i="20"/>
  <c r="G32" i="20"/>
  <c r="J31" i="20"/>
  <c r="G31" i="20"/>
  <c r="H31" i="20" s="1"/>
  <c r="H30" i="20"/>
  <c r="G30" i="20"/>
  <c r="G29" i="20"/>
  <c r="J28" i="20"/>
  <c r="H28" i="20"/>
  <c r="G28" i="20"/>
  <c r="H27" i="20"/>
  <c r="G27" i="20"/>
  <c r="J27" i="20" s="1"/>
  <c r="G26" i="20"/>
  <c r="J25" i="20"/>
  <c r="H25" i="20"/>
  <c r="G25" i="20"/>
  <c r="H24" i="20"/>
  <c r="G24" i="20"/>
  <c r="J24" i="20" s="1"/>
  <c r="G23" i="20"/>
  <c r="H23" i="20" s="1"/>
  <c r="J22" i="20"/>
  <c r="G22" i="20"/>
  <c r="H22" i="20" s="1"/>
  <c r="H21" i="20"/>
  <c r="G21" i="20"/>
  <c r="J20" i="20"/>
  <c r="G20" i="20"/>
  <c r="H20" i="20" s="1"/>
  <c r="J19" i="20"/>
  <c r="G19" i="20"/>
  <c r="H19" i="20" s="1"/>
  <c r="H18" i="20"/>
  <c r="G18" i="20"/>
  <c r="J17" i="20"/>
  <c r="G17" i="20"/>
  <c r="H17" i="20" s="1"/>
  <c r="J16" i="20"/>
  <c r="G16" i="20"/>
  <c r="H16" i="20" s="1"/>
  <c r="G15" i="20"/>
  <c r="J14" i="20"/>
  <c r="G14" i="20"/>
  <c r="H14" i="20" s="1"/>
  <c r="J13" i="20"/>
  <c r="G13" i="20"/>
  <c r="H13" i="20" s="1"/>
  <c r="H12" i="20"/>
  <c r="G12" i="20"/>
  <c r="J11" i="20"/>
  <c r="G11" i="20"/>
  <c r="H11" i="20" s="1"/>
  <c r="J10" i="20"/>
  <c r="G10" i="20"/>
  <c r="H10" i="20" s="1"/>
  <c r="G9" i="20"/>
  <c r="G45" i="19"/>
  <c r="G44" i="19"/>
  <c r="G43" i="19"/>
  <c r="G42" i="19"/>
  <c r="E37" i="19"/>
  <c r="D37" i="19"/>
  <c r="C37" i="19"/>
  <c r="E36" i="19"/>
  <c r="D36" i="19"/>
  <c r="C36" i="19"/>
  <c r="G30" i="19"/>
  <c r="H30" i="19" s="1"/>
  <c r="G29" i="19"/>
  <c r="H29" i="19" s="1"/>
  <c r="G28" i="19"/>
  <c r="H28" i="19" s="1"/>
  <c r="F21" i="19"/>
  <c r="E21" i="19"/>
  <c r="D21" i="19"/>
  <c r="C21" i="19"/>
  <c r="G20" i="19"/>
  <c r="J19" i="19"/>
  <c r="H19" i="19"/>
  <c r="G19" i="19"/>
  <c r="H18" i="19"/>
  <c r="G18" i="19"/>
  <c r="J18" i="19" s="1"/>
  <c r="G17" i="19"/>
  <c r="H17" i="19" s="1"/>
  <c r="J16" i="19"/>
  <c r="G16" i="19"/>
  <c r="H16" i="19" s="1"/>
  <c r="H15" i="19"/>
  <c r="G15" i="19"/>
  <c r="J14" i="19"/>
  <c r="G14" i="19"/>
  <c r="H14" i="19" s="1"/>
  <c r="J13" i="19"/>
  <c r="G13" i="19"/>
  <c r="H13" i="19" s="1"/>
  <c r="G12" i="19"/>
  <c r="J11" i="19"/>
  <c r="G11" i="19"/>
  <c r="H11" i="19" s="1"/>
  <c r="J10" i="19"/>
  <c r="G10" i="19"/>
  <c r="H10" i="19" s="1"/>
  <c r="H9" i="19"/>
  <c r="G9" i="19"/>
  <c r="G62" i="18"/>
  <c r="G61" i="18"/>
  <c r="G60" i="18"/>
  <c r="G59" i="18"/>
  <c r="E54" i="18"/>
  <c r="D54" i="18"/>
  <c r="C54" i="18"/>
  <c r="E53" i="18"/>
  <c r="D53" i="18"/>
  <c r="C53" i="18"/>
  <c r="H47" i="18"/>
  <c r="G47" i="18"/>
  <c r="G46" i="18"/>
  <c r="H46" i="18" s="1"/>
  <c r="G45" i="18"/>
  <c r="H45" i="18" s="1"/>
  <c r="F38" i="18"/>
  <c r="E38" i="18"/>
  <c r="D38" i="18"/>
  <c r="C38" i="18"/>
  <c r="G37" i="18"/>
  <c r="J36" i="18"/>
  <c r="H36" i="18"/>
  <c r="G36" i="18"/>
  <c r="H35" i="18"/>
  <c r="G35" i="18"/>
  <c r="J35" i="18" s="1"/>
  <c r="G34" i="18"/>
  <c r="J33" i="18"/>
  <c r="H33" i="18"/>
  <c r="G33" i="18"/>
  <c r="H32" i="18"/>
  <c r="G32" i="18"/>
  <c r="J32" i="18" s="1"/>
  <c r="G31" i="18"/>
  <c r="J30" i="18"/>
  <c r="H30" i="18"/>
  <c r="G30" i="18"/>
  <c r="H29" i="18"/>
  <c r="G29" i="18"/>
  <c r="J29" i="18" s="1"/>
  <c r="G28" i="18"/>
  <c r="J27" i="18"/>
  <c r="H27" i="18"/>
  <c r="G27" i="18"/>
  <c r="H26" i="18"/>
  <c r="G26" i="18"/>
  <c r="J26" i="18" s="1"/>
  <c r="G25" i="18"/>
  <c r="J24" i="18"/>
  <c r="H24" i="18"/>
  <c r="G24" i="18"/>
  <c r="H23" i="18"/>
  <c r="G23" i="18"/>
  <c r="J23" i="18" s="1"/>
  <c r="G22" i="18"/>
  <c r="J21" i="18"/>
  <c r="H21" i="18"/>
  <c r="G21" i="18"/>
  <c r="H20" i="18"/>
  <c r="G20" i="18"/>
  <c r="J20" i="18" s="1"/>
  <c r="G19" i="18"/>
  <c r="J18" i="18"/>
  <c r="H18" i="18"/>
  <c r="G18" i="18"/>
  <c r="H17" i="18"/>
  <c r="G17" i="18"/>
  <c r="J17" i="18" s="1"/>
  <c r="G16" i="18"/>
  <c r="J15" i="18"/>
  <c r="H15" i="18"/>
  <c r="G15" i="18"/>
  <c r="H14" i="18"/>
  <c r="G14" i="18"/>
  <c r="J14" i="18" s="1"/>
  <c r="G13" i="18"/>
  <c r="H13" i="18" s="1"/>
  <c r="J12" i="18"/>
  <c r="G12" i="18"/>
  <c r="H12" i="18" s="1"/>
  <c r="H11" i="18"/>
  <c r="G11" i="18"/>
  <c r="J10" i="18"/>
  <c r="G10" i="18"/>
  <c r="H10" i="18" s="1"/>
  <c r="J9" i="18"/>
  <c r="G9" i="18"/>
  <c r="H9" i="18" s="1"/>
  <c r="G68" i="17"/>
  <c r="G67" i="17"/>
  <c r="G66" i="17"/>
  <c r="G65" i="17"/>
  <c r="E60" i="17"/>
  <c r="D60" i="17"/>
  <c r="C60" i="17"/>
  <c r="E59" i="17"/>
  <c r="D59" i="17"/>
  <c r="C59" i="17"/>
  <c r="G53" i="17"/>
  <c r="H53" i="17" s="1"/>
  <c r="G52" i="17"/>
  <c r="H52" i="17" s="1"/>
  <c r="G51" i="17"/>
  <c r="H51" i="17" s="1"/>
  <c r="F44" i="17"/>
  <c r="E44" i="17"/>
  <c r="D44" i="17"/>
  <c r="C44" i="17"/>
  <c r="H43" i="17"/>
  <c r="G43" i="17"/>
  <c r="G42" i="17"/>
  <c r="H42" i="17" s="1"/>
  <c r="H41" i="17"/>
  <c r="G41" i="17"/>
  <c r="J40" i="17"/>
  <c r="G40" i="17"/>
  <c r="J39" i="17"/>
  <c r="H39" i="17"/>
  <c r="G39" i="17"/>
  <c r="G38" i="17"/>
  <c r="H37" i="17"/>
  <c r="G37" i="17"/>
  <c r="G36" i="17"/>
  <c r="H35" i="17"/>
  <c r="G35" i="17"/>
  <c r="H34" i="17"/>
  <c r="G34" i="17"/>
  <c r="J34" i="17" s="1"/>
  <c r="G33" i="17"/>
  <c r="J32" i="17"/>
  <c r="H32" i="17"/>
  <c r="G32" i="17"/>
  <c r="H31" i="17"/>
  <c r="G31" i="17"/>
  <c r="J31" i="17" s="1"/>
  <c r="J30" i="17"/>
  <c r="G30" i="17"/>
  <c r="J29" i="17"/>
  <c r="H29" i="17"/>
  <c r="G29" i="17"/>
  <c r="H28" i="17"/>
  <c r="G28" i="17"/>
  <c r="J28" i="17" s="1"/>
  <c r="J27" i="17"/>
  <c r="G27" i="17"/>
  <c r="J26" i="17"/>
  <c r="H26" i="17"/>
  <c r="G26" i="17"/>
  <c r="H25" i="17"/>
  <c r="G25" i="17"/>
  <c r="J25" i="17" s="1"/>
  <c r="J24" i="17"/>
  <c r="G24" i="17"/>
  <c r="J23" i="17"/>
  <c r="H23" i="17"/>
  <c r="G23" i="17"/>
  <c r="H22" i="17"/>
  <c r="G22" i="17"/>
  <c r="J22" i="17" s="1"/>
  <c r="J21" i="17"/>
  <c r="G21" i="17"/>
  <c r="J20" i="17"/>
  <c r="H20" i="17"/>
  <c r="G20" i="17"/>
  <c r="H19" i="17"/>
  <c r="G19" i="17"/>
  <c r="J19" i="17" s="1"/>
  <c r="J18" i="17"/>
  <c r="G18" i="17"/>
  <c r="J17" i="17"/>
  <c r="H17" i="17"/>
  <c r="G17" i="17"/>
  <c r="H16" i="17"/>
  <c r="G16" i="17"/>
  <c r="J16" i="17" s="1"/>
  <c r="J15" i="17"/>
  <c r="G15" i="17"/>
  <c r="G44" i="17" s="1"/>
  <c r="J14" i="17"/>
  <c r="H14" i="17"/>
  <c r="G14" i="17"/>
  <c r="H13" i="17"/>
  <c r="G13" i="17"/>
  <c r="J13" i="17" s="1"/>
  <c r="J12" i="17"/>
  <c r="G12" i="17"/>
  <c r="J11" i="17"/>
  <c r="H11" i="17"/>
  <c r="G11" i="17"/>
  <c r="H10" i="17"/>
  <c r="G10" i="17"/>
  <c r="J10" i="17" s="1"/>
  <c r="J9" i="17"/>
  <c r="G9" i="17"/>
  <c r="G63" i="16"/>
  <c r="G62" i="16"/>
  <c r="G61" i="16"/>
  <c r="G60" i="16"/>
  <c r="E55" i="16"/>
  <c r="D55" i="16"/>
  <c r="C55" i="16"/>
  <c r="E54" i="16"/>
  <c r="D54" i="16"/>
  <c r="C54" i="16"/>
  <c r="G48" i="16"/>
  <c r="H48" i="16" s="1"/>
  <c r="H47" i="16"/>
  <c r="G47" i="16"/>
  <c r="H46" i="16"/>
  <c r="G46" i="16"/>
  <c r="F39" i="16"/>
  <c r="E39" i="16"/>
  <c r="D39" i="16"/>
  <c r="C39" i="16"/>
  <c r="J38" i="16"/>
  <c r="G38" i="16"/>
  <c r="J37" i="16"/>
  <c r="H37" i="16"/>
  <c r="G37" i="16"/>
  <c r="H36" i="16"/>
  <c r="G36" i="16"/>
  <c r="J36" i="16" s="1"/>
  <c r="J35" i="16"/>
  <c r="G35" i="16"/>
  <c r="J34" i="16"/>
  <c r="H34" i="16"/>
  <c r="G34" i="16"/>
  <c r="H33" i="16"/>
  <c r="G33" i="16"/>
  <c r="J33" i="16" s="1"/>
  <c r="J32" i="16"/>
  <c r="G32" i="16"/>
  <c r="J31" i="16"/>
  <c r="H31" i="16"/>
  <c r="G31" i="16"/>
  <c r="H30" i="16"/>
  <c r="G30" i="16"/>
  <c r="J30" i="16" s="1"/>
  <c r="J29" i="16"/>
  <c r="G29" i="16"/>
  <c r="J28" i="16"/>
  <c r="H28" i="16"/>
  <c r="G28" i="16"/>
  <c r="H27" i="16"/>
  <c r="G27" i="16"/>
  <c r="J27" i="16" s="1"/>
  <c r="G26" i="16"/>
  <c r="H26" i="16" s="1"/>
  <c r="J25" i="16"/>
  <c r="G25" i="16"/>
  <c r="G24" i="16"/>
  <c r="J23" i="16"/>
  <c r="G23" i="16"/>
  <c r="H23" i="16" s="1"/>
  <c r="J22" i="16"/>
  <c r="G22" i="16"/>
  <c r="G21" i="16"/>
  <c r="J20" i="16"/>
  <c r="H20" i="16"/>
  <c r="G20" i="16"/>
  <c r="J19" i="16"/>
  <c r="G19" i="16"/>
  <c r="H19" i="16" s="1"/>
  <c r="H18" i="16"/>
  <c r="G18" i="16"/>
  <c r="J17" i="16"/>
  <c r="G17" i="16"/>
  <c r="H17" i="16" s="1"/>
  <c r="J16" i="16"/>
  <c r="G16" i="16"/>
  <c r="H16" i="16" s="1"/>
  <c r="H15" i="16"/>
  <c r="G15" i="16"/>
  <c r="J14" i="16"/>
  <c r="G14" i="16"/>
  <c r="H14" i="16" s="1"/>
  <c r="G13" i="16"/>
  <c r="H12" i="16"/>
  <c r="G12" i="16"/>
  <c r="J11" i="16"/>
  <c r="G11" i="16"/>
  <c r="H11" i="16" s="1"/>
  <c r="J10" i="16"/>
  <c r="G10" i="16"/>
  <c r="H10" i="16" s="1"/>
  <c r="H9" i="16"/>
  <c r="G9" i="16"/>
  <c r="G63" i="15"/>
  <c r="G62" i="15"/>
  <c r="G61" i="15"/>
  <c r="G60" i="15"/>
  <c r="E55" i="15"/>
  <c r="D55" i="15"/>
  <c r="C55" i="15"/>
  <c r="E54" i="15"/>
  <c r="D54" i="15"/>
  <c r="C54" i="15"/>
  <c r="H48" i="15"/>
  <c r="G48" i="15"/>
  <c r="G47" i="15"/>
  <c r="H47" i="15" s="1"/>
  <c r="G46" i="15"/>
  <c r="H46" i="15" s="1"/>
  <c r="F39" i="15"/>
  <c r="E39" i="15"/>
  <c r="D39" i="15"/>
  <c r="C39" i="15"/>
  <c r="G38" i="15"/>
  <c r="G37" i="15"/>
  <c r="H37" i="15" s="1"/>
  <c r="G36" i="15"/>
  <c r="H36" i="15" s="1"/>
  <c r="J35" i="15"/>
  <c r="G35" i="15"/>
  <c r="H35" i="15" s="1"/>
  <c r="H34" i="15"/>
  <c r="G34" i="15"/>
  <c r="G33" i="15"/>
  <c r="H33" i="15" s="1"/>
  <c r="H32" i="15"/>
  <c r="G32" i="15"/>
  <c r="G31" i="15"/>
  <c r="J30" i="15"/>
  <c r="H30" i="15"/>
  <c r="G30" i="15"/>
  <c r="H29" i="15"/>
  <c r="G29" i="15"/>
  <c r="J29" i="15" s="1"/>
  <c r="G28" i="15"/>
  <c r="J27" i="15"/>
  <c r="H27" i="15"/>
  <c r="G27" i="15"/>
  <c r="H26" i="15"/>
  <c r="G26" i="15"/>
  <c r="J26" i="15" s="1"/>
  <c r="G25" i="15"/>
  <c r="H25" i="15" s="1"/>
  <c r="H24" i="15"/>
  <c r="G24" i="15"/>
  <c r="G23" i="15"/>
  <c r="H23" i="15" s="1"/>
  <c r="J22" i="15"/>
  <c r="G22" i="15"/>
  <c r="H22" i="15" s="1"/>
  <c r="G21" i="15"/>
  <c r="J20" i="15"/>
  <c r="G20" i="15"/>
  <c r="H20" i="15" s="1"/>
  <c r="H19" i="15"/>
  <c r="G19" i="15"/>
  <c r="G18" i="15"/>
  <c r="H18" i="15" s="1"/>
  <c r="J17" i="15"/>
  <c r="G17" i="15"/>
  <c r="H17" i="15" s="1"/>
  <c r="G16" i="15"/>
  <c r="J15" i="15"/>
  <c r="H15" i="15"/>
  <c r="G15" i="15"/>
  <c r="H14" i="15"/>
  <c r="G14" i="15"/>
  <c r="J14" i="15" s="1"/>
  <c r="G13" i="15"/>
  <c r="H13" i="15" s="1"/>
  <c r="J12" i="15"/>
  <c r="G12" i="15"/>
  <c r="H12" i="15" s="1"/>
  <c r="H11" i="15"/>
  <c r="G11" i="15"/>
  <c r="J10" i="15"/>
  <c r="G10" i="15"/>
  <c r="H10" i="15" s="1"/>
  <c r="H9" i="15"/>
  <c r="G9" i="15"/>
  <c r="G59" i="14"/>
  <c r="G58" i="14"/>
  <c r="G57" i="14"/>
  <c r="G56" i="14"/>
  <c r="E51" i="14"/>
  <c r="D51" i="14"/>
  <c r="C51" i="14"/>
  <c r="E50" i="14"/>
  <c r="D50" i="14"/>
  <c r="C50" i="14"/>
  <c r="H44" i="14"/>
  <c r="G44" i="14"/>
  <c r="H43" i="14"/>
  <c r="G43" i="14"/>
  <c r="G42" i="14"/>
  <c r="H42" i="14" s="1"/>
  <c r="F35" i="14"/>
  <c r="E35" i="14"/>
  <c r="D35" i="14"/>
  <c r="C35" i="14"/>
  <c r="H34" i="14"/>
  <c r="G34" i="14"/>
  <c r="J33" i="14"/>
  <c r="G33" i="14"/>
  <c r="H33" i="14" s="1"/>
  <c r="J32" i="14"/>
  <c r="G32" i="14"/>
  <c r="H32" i="14" s="1"/>
  <c r="G31" i="14"/>
  <c r="J30" i="14"/>
  <c r="G30" i="14"/>
  <c r="H30" i="14" s="1"/>
  <c r="G29" i="14"/>
  <c r="J29" i="14" s="1"/>
  <c r="H28" i="14"/>
  <c r="G28" i="14"/>
  <c r="J27" i="14"/>
  <c r="G27" i="14"/>
  <c r="H27" i="14" s="1"/>
  <c r="J26" i="14"/>
  <c r="G26" i="14"/>
  <c r="H26" i="14" s="1"/>
  <c r="H25" i="14"/>
  <c r="G25" i="14"/>
  <c r="J24" i="14"/>
  <c r="G24" i="14"/>
  <c r="H24" i="14" s="1"/>
  <c r="H23" i="14"/>
  <c r="G23" i="14"/>
  <c r="G22" i="14"/>
  <c r="J21" i="14"/>
  <c r="H21" i="14"/>
  <c r="G21" i="14"/>
  <c r="H20" i="14"/>
  <c r="G20" i="14"/>
  <c r="J20" i="14" s="1"/>
  <c r="J19" i="14"/>
  <c r="G19" i="14"/>
  <c r="J18" i="14"/>
  <c r="H18" i="14"/>
  <c r="G18" i="14"/>
  <c r="H17" i="14"/>
  <c r="G17" i="14"/>
  <c r="J17" i="14" s="1"/>
  <c r="G16" i="14"/>
  <c r="J16" i="14" s="1"/>
  <c r="J15" i="14"/>
  <c r="H15" i="14"/>
  <c r="G15" i="14"/>
  <c r="J14" i="14"/>
  <c r="G14" i="14"/>
  <c r="H14" i="14" s="1"/>
  <c r="J13" i="14"/>
  <c r="H13" i="14"/>
  <c r="G13" i="14"/>
  <c r="J12" i="14"/>
  <c r="H12" i="14"/>
  <c r="G12" i="14"/>
  <c r="J11" i="14"/>
  <c r="H11" i="14"/>
  <c r="G11" i="14"/>
  <c r="J10" i="14"/>
  <c r="H10" i="14"/>
  <c r="G10" i="14"/>
  <c r="G9" i="14"/>
  <c r="G73" i="13"/>
  <c r="G72" i="13"/>
  <c r="G71" i="13"/>
  <c r="G70" i="13"/>
  <c r="E65" i="13"/>
  <c r="D65" i="13"/>
  <c r="C65" i="13"/>
  <c r="E64" i="13"/>
  <c r="D64" i="13"/>
  <c r="C64" i="13"/>
  <c r="G58" i="13"/>
  <c r="H58" i="13" s="1"/>
  <c r="G57" i="13"/>
  <c r="H57" i="13" s="1"/>
  <c r="G56" i="13"/>
  <c r="H56" i="13" s="1"/>
  <c r="F49" i="13"/>
  <c r="E49" i="13"/>
  <c r="D49" i="13"/>
  <c r="C49" i="13"/>
  <c r="H48" i="13"/>
  <c r="G48" i="13"/>
  <c r="G47" i="13"/>
  <c r="J46" i="13"/>
  <c r="H46" i="13"/>
  <c r="G46" i="13"/>
  <c r="H45" i="13"/>
  <c r="G45" i="13"/>
  <c r="H44" i="13"/>
  <c r="G44" i="13"/>
  <c r="J43" i="13"/>
  <c r="G43" i="13"/>
  <c r="H43" i="13" s="1"/>
  <c r="G42" i="13"/>
  <c r="J42" i="13" s="1"/>
  <c r="J41" i="13"/>
  <c r="H41" i="13"/>
  <c r="G41" i="13"/>
  <c r="H40" i="13"/>
  <c r="G40" i="13"/>
  <c r="G39" i="13"/>
  <c r="J39" i="13" s="1"/>
  <c r="J38" i="13"/>
  <c r="H38" i="13"/>
  <c r="G38" i="13"/>
  <c r="G37" i="13"/>
  <c r="J36" i="13"/>
  <c r="H36" i="13"/>
  <c r="G36" i="13"/>
  <c r="J35" i="13"/>
  <c r="G35" i="13"/>
  <c r="H35" i="13" s="1"/>
  <c r="G34" i="13"/>
  <c r="J34" i="13" s="1"/>
  <c r="J33" i="13"/>
  <c r="H33" i="13"/>
  <c r="G33" i="13"/>
  <c r="J32" i="13"/>
  <c r="G32" i="13"/>
  <c r="H32" i="13" s="1"/>
  <c r="G31" i="13"/>
  <c r="J31" i="13" s="1"/>
  <c r="J30" i="13"/>
  <c r="H30" i="13"/>
  <c r="G30" i="13"/>
  <c r="J29" i="13"/>
  <c r="G29" i="13"/>
  <c r="H29" i="13" s="1"/>
  <c r="G28" i="13"/>
  <c r="J28" i="13" s="1"/>
  <c r="J27" i="13"/>
  <c r="H27" i="13"/>
  <c r="G27" i="13"/>
  <c r="J26" i="13"/>
  <c r="G26" i="13"/>
  <c r="H26" i="13" s="1"/>
  <c r="G25" i="13"/>
  <c r="J25" i="13" s="1"/>
  <c r="J24" i="13"/>
  <c r="H24" i="13"/>
  <c r="G24" i="13"/>
  <c r="J23" i="13"/>
  <c r="G23" i="13"/>
  <c r="H23" i="13" s="1"/>
  <c r="G22" i="13"/>
  <c r="J22" i="13" s="1"/>
  <c r="J21" i="13"/>
  <c r="H21" i="13"/>
  <c r="G21" i="13"/>
  <c r="J20" i="13"/>
  <c r="G20" i="13"/>
  <c r="H20" i="13" s="1"/>
  <c r="G19" i="13"/>
  <c r="J19" i="13" s="1"/>
  <c r="J18" i="13"/>
  <c r="H18" i="13"/>
  <c r="G18" i="13"/>
  <c r="J17" i="13"/>
  <c r="G17" i="13"/>
  <c r="H17" i="13" s="1"/>
  <c r="G16" i="13"/>
  <c r="J16" i="13" s="1"/>
  <c r="J15" i="13"/>
  <c r="H15" i="13"/>
  <c r="G15" i="13"/>
  <c r="J14" i="13"/>
  <c r="G14" i="13"/>
  <c r="H14" i="13" s="1"/>
  <c r="G13" i="13"/>
  <c r="J13" i="13" s="1"/>
  <c r="J12" i="13"/>
  <c r="H12" i="13"/>
  <c r="G12" i="13"/>
  <c r="J11" i="13"/>
  <c r="G11" i="13"/>
  <c r="H11" i="13" s="1"/>
  <c r="G10" i="13"/>
  <c r="G49" i="13" s="1"/>
  <c r="J9" i="13"/>
  <c r="H9" i="13"/>
  <c r="G9" i="13"/>
  <c r="G64" i="12"/>
  <c r="G63" i="12"/>
  <c r="G62" i="12"/>
  <c r="G61" i="12"/>
  <c r="E56" i="12"/>
  <c r="D56" i="12"/>
  <c r="C56" i="12"/>
  <c r="E55" i="12"/>
  <c r="D55" i="12"/>
  <c r="C55" i="12"/>
  <c r="H49" i="12"/>
  <c r="G49" i="12"/>
  <c r="G48" i="12"/>
  <c r="H48" i="12" s="1"/>
  <c r="G47" i="12"/>
  <c r="H47" i="12" s="1"/>
  <c r="F40" i="12"/>
  <c r="E40" i="12"/>
  <c r="D40" i="12"/>
  <c r="C40" i="12"/>
  <c r="H39" i="12"/>
  <c r="G39" i="12"/>
  <c r="G38" i="12"/>
  <c r="J37" i="12"/>
  <c r="H37" i="12"/>
  <c r="G37" i="12"/>
  <c r="J36" i="12"/>
  <c r="G36" i="12"/>
  <c r="H36" i="12" s="1"/>
  <c r="G35" i="12"/>
  <c r="J34" i="12"/>
  <c r="H34" i="12"/>
  <c r="G34" i="12"/>
  <c r="H33" i="12"/>
  <c r="G33" i="12"/>
  <c r="J33" i="12" s="1"/>
  <c r="G32" i="12"/>
  <c r="J32" i="12" s="1"/>
  <c r="J31" i="12"/>
  <c r="H31" i="12"/>
  <c r="G31" i="12"/>
  <c r="H30" i="12"/>
  <c r="G30" i="12"/>
  <c r="J30" i="12" s="1"/>
  <c r="H29" i="12"/>
  <c r="G29" i="12"/>
  <c r="J28" i="12"/>
  <c r="G28" i="12"/>
  <c r="H28" i="12" s="1"/>
  <c r="G27" i="12"/>
  <c r="G26" i="12"/>
  <c r="H26" i="12" s="1"/>
  <c r="G25" i="12"/>
  <c r="J25" i="12" s="1"/>
  <c r="J24" i="12"/>
  <c r="H24" i="12"/>
  <c r="G24" i="12"/>
  <c r="H23" i="12"/>
  <c r="G23" i="12"/>
  <c r="G22" i="12"/>
  <c r="J22" i="12" s="1"/>
  <c r="J21" i="12"/>
  <c r="H21" i="12"/>
  <c r="G21" i="12"/>
  <c r="H20" i="12"/>
  <c r="G20" i="12"/>
  <c r="J20" i="12" s="1"/>
  <c r="H19" i="12"/>
  <c r="G19" i="12"/>
  <c r="H18" i="12"/>
  <c r="G18" i="12"/>
  <c r="G17" i="12"/>
  <c r="J17" i="12" s="1"/>
  <c r="G16" i="12"/>
  <c r="H16" i="12" s="1"/>
  <c r="G15" i="12"/>
  <c r="J15" i="12" s="1"/>
  <c r="J14" i="12"/>
  <c r="H14" i="12"/>
  <c r="G14" i="12"/>
  <c r="J13" i="12"/>
  <c r="G13" i="12"/>
  <c r="H13" i="12" s="1"/>
  <c r="G12" i="12"/>
  <c r="J12" i="12" s="1"/>
  <c r="J11" i="12"/>
  <c r="H11" i="12"/>
  <c r="G11" i="12"/>
  <c r="J10" i="12"/>
  <c r="G10" i="12"/>
  <c r="H10" i="12" s="1"/>
  <c r="G9" i="12"/>
  <c r="G40" i="12" s="1"/>
  <c r="G65" i="11"/>
  <c r="G64" i="11"/>
  <c r="G63" i="11"/>
  <c r="G62" i="11"/>
  <c r="E57" i="11"/>
  <c r="D57" i="11"/>
  <c r="C57" i="11"/>
  <c r="E56" i="11"/>
  <c r="D56" i="11"/>
  <c r="C56" i="11"/>
  <c r="G50" i="11"/>
  <c r="H50" i="11" s="1"/>
  <c r="H49" i="11"/>
  <c r="G49" i="11"/>
  <c r="H48" i="11"/>
  <c r="G48" i="11"/>
  <c r="F41" i="11"/>
  <c r="E41" i="11"/>
  <c r="D41" i="11"/>
  <c r="D42" i="11" s="1"/>
  <c r="C41" i="11"/>
  <c r="H40" i="11"/>
  <c r="G40" i="11"/>
  <c r="H39" i="11"/>
  <c r="G39" i="11"/>
  <c r="H38" i="11"/>
  <c r="G38" i="11"/>
  <c r="J37" i="11"/>
  <c r="G37" i="11"/>
  <c r="H37" i="11" s="1"/>
  <c r="G36" i="11"/>
  <c r="J36" i="11" s="1"/>
  <c r="H35" i="11"/>
  <c r="G35" i="11"/>
  <c r="H34" i="11"/>
  <c r="G34" i="11"/>
  <c r="J34" i="11" s="1"/>
  <c r="G33" i="11"/>
  <c r="J33" i="11" s="1"/>
  <c r="J32" i="11"/>
  <c r="H32" i="11"/>
  <c r="G32" i="11"/>
  <c r="H31" i="11"/>
  <c r="G31" i="11"/>
  <c r="J31" i="11" s="1"/>
  <c r="G30" i="11"/>
  <c r="J30" i="11" s="1"/>
  <c r="J29" i="11"/>
  <c r="H29" i="11"/>
  <c r="G29" i="11"/>
  <c r="H28" i="11"/>
  <c r="G28" i="11"/>
  <c r="J28" i="11" s="1"/>
  <c r="G27" i="11"/>
  <c r="J27" i="11" s="1"/>
  <c r="G26" i="11"/>
  <c r="H26" i="11" s="1"/>
  <c r="G25" i="11"/>
  <c r="J24" i="11"/>
  <c r="H24" i="11"/>
  <c r="G24" i="11"/>
  <c r="H23" i="11"/>
  <c r="G23" i="11"/>
  <c r="J23" i="11" s="1"/>
  <c r="G22" i="11"/>
  <c r="J22" i="11" s="1"/>
  <c r="J21" i="11"/>
  <c r="H21" i="11"/>
  <c r="G21" i="11"/>
  <c r="G20" i="11"/>
  <c r="H20" i="11" s="1"/>
  <c r="H19" i="11"/>
  <c r="G19" i="11"/>
  <c r="H18" i="11"/>
  <c r="G18" i="11"/>
  <c r="J18" i="11" s="1"/>
  <c r="H17" i="11"/>
  <c r="G17" i="11"/>
  <c r="J16" i="11"/>
  <c r="G16" i="11"/>
  <c r="H16" i="11" s="1"/>
  <c r="G15" i="11"/>
  <c r="J15" i="11" s="1"/>
  <c r="J14" i="11"/>
  <c r="H14" i="11"/>
  <c r="G14" i="11"/>
  <c r="J13" i="11"/>
  <c r="G13" i="11"/>
  <c r="H13" i="11" s="1"/>
  <c r="G12" i="11"/>
  <c r="J12" i="11" s="1"/>
  <c r="J11" i="11"/>
  <c r="H11" i="11"/>
  <c r="G11" i="11"/>
  <c r="H10" i="11"/>
  <c r="G10" i="11"/>
  <c r="G41" i="11" s="1"/>
  <c r="H9" i="11"/>
  <c r="G9" i="11"/>
  <c r="G71" i="10"/>
  <c r="G70" i="10"/>
  <c r="G69" i="10"/>
  <c r="G68" i="10"/>
  <c r="E63" i="10"/>
  <c r="D63" i="10"/>
  <c r="C63" i="10"/>
  <c r="E62" i="10"/>
  <c r="D62" i="10"/>
  <c r="C62" i="10"/>
  <c r="H56" i="10"/>
  <c r="G56" i="10"/>
  <c r="G55" i="10"/>
  <c r="H55" i="10" s="1"/>
  <c r="G54" i="10"/>
  <c r="H54" i="10" s="1"/>
  <c r="F47" i="10"/>
  <c r="E47" i="10"/>
  <c r="E48" i="10" s="1"/>
  <c r="D47" i="10"/>
  <c r="D48" i="10" s="1"/>
  <c r="C47" i="10"/>
  <c r="J46" i="10"/>
  <c r="H46" i="10"/>
  <c r="G46" i="10"/>
  <c r="J45" i="10"/>
  <c r="G45" i="10"/>
  <c r="H45" i="10" s="1"/>
  <c r="G44" i="10"/>
  <c r="J43" i="10"/>
  <c r="H43" i="10"/>
  <c r="G43" i="10"/>
  <c r="H42" i="10"/>
  <c r="G42" i="10"/>
  <c r="J42" i="10" s="1"/>
  <c r="G41" i="10"/>
  <c r="J41" i="10" s="1"/>
  <c r="J40" i="10"/>
  <c r="H40" i="10"/>
  <c r="G40" i="10"/>
  <c r="G39" i="10"/>
  <c r="H39" i="10" s="1"/>
  <c r="H38" i="10"/>
  <c r="G38" i="10"/>
  <c r="H37" i="10"/>
  <c r="G37" i="10"/>
  <c r="J37" i="10" s="1"/>
  <c r="G36" i="10"/>
  <c r="J36" i="10" s="1"/>
  <c r="J35" i="10"/>
  <c r="H35" i="10"/>
  <c r="G35" i="10"/>
  <c r="H34" i="10"/>
  <c r="G34" i="10"/>
  <c r="J34" i="10" s="1"/>
  <c r="G33" i="10"/>
  <c r="J33" i="10" s="1"/>
  <c r="J32" i="10"/>
  <c r="H32" i="10"/>
  <c r="G32" i="10"/>
  <c r="H31" i="10"/>
  <c r="G31" i="10"/>
  <c r="J31" i="10" s="1"/>
  <c r="G30" i="10"/>
  <c r="J30" i="10" s="1"/>
  <c r="J29" i="10"/>
  <c r="H29" i="10"/>
  <c r="G29" i="10"/>
  <c r="H28" i="10"/>
  <c r="G28" i="10"/>
  <c r="J28" i="10" s="1"/>
  <c r="G27" i="10"/>
  <c r="J27" i="10" s="1"/>
  <c r="J26" i="10"/>
  <c r="H26" i="10"/>
  <c r="G26" i="10"/>
  <c r="H25" i="10"/>
  <c r="G25" i="10"/>
  <c r="J25" i="10" s="1"/>
  <c r="G24" i="10"/>
  <c r="J24" i="10" s="1"/>
  <c r="J23" i="10"/>
  <c r="H23" i="10"/>
  <c r="G23" i="10"/>
  <c r="H22" i="10"/>
  <c r="G22" i="10"/>
  <c r="J22" i="10" s="1"/>
  <c r="G21" i="10"/>
  <c r="J21" i="10" s="1"/>
  <c r="J20" i="10"/>
  <c r="H20" i="10"/>
  <c r="G20" i="10"/>
  <c r="H19" i="10"/>
  <c r="G19" i="10"/>
  <c r="J19" i="10" s="1"/>
  <c r="G18" i="10"/>
  <c r="J18" i="10" s="1"/>
  <c r="J17" i="10"/>
  <c r="H17" i="10"/>
  <c r="G17" i="10"/>
  <c r="H16" i="10"/>
  <c r="G16" i="10"/>
  <c r="J16" i="10" s="1"/>
  <c r="G15" i="10"/>
  <c r="J15" i="10" s="1"/>
  <c r="J14" i="10"/>
  <c r="H14" i="10"/>
  <c r="G14" i="10"/>
  <c r="H13" i="10"/>
  <c r="G13" i="10"/>
  <c r="J13" i="10" s="1"/>
  <c r="G12" i="10"/>
  <c r="J12" i="10" s="1"/>
  <c r="J11" i="10"/>
  <c r="H11" i="10"/>
  <c r="G11" i="10"/>
  <c r="H10" i="10"/>
  <c r="G10" i="10"/>
  <c r="J10" i="10" s="1"/>
  <c r="G9" i="10"/>
  <c r="G47" i="10" s="1"/>
  <c r="G60" i="9"/>
  <c r="G59" i="9"/>
  <c r="G58" i="9"/>
  <c r="G57" i="9"/>
  <c r="E52" i="9"/>
  <c r="D52" i="9"/>
  <c r="C52" i="9"/>
  <c r="E51" i="9"/>
  <c r="D51" i="9"/>
  <c r="C51" i="9"/>
  <c r="G45" i="9"/>
  <c r="H45" i="9" s="1"/>
  <c r="H44" i="9"/>
  <c r="G44" i="9"/>
  <c r="H43" i="9"/>
  <c r="G43" i="9"/>
  <c r="F36" i="9"/>
  <c r="E36" i="9"/>
  <c r="D36" i="9"/>
  <c r="C36" i="9"/>
  <c r="G35" i="9"/>
  <c r="J35" i="9" s="1"/>
  <c r="J34" i="9"/>
  <c r="H34" i="9"/>
  <c r="G34" i="9"/>
  <c r="H33" i="9"/>
  <c r="G33" i="9"/>
  <c r="J33" i="9" s="1"/>
  <c r="H32" i="9"/>
  <c r="G32" i="9"/>
  <c r="H31" i="9"/>
  <c r="G31" i="9"/>
  <c r="G30" i="9"/>
  <c r="J30" i="9" s="1"/>
  <c r="J29" i="9"/>
  <c r="H29" i="9"/>
  <c r="G29" i="9"/>
  <c r="H28" i="9"/>
  <c r="G28" i="9"/>
  <c r="J28" i="9" s="1"/>
  <c r="G27" i="9"/>
  <c r="J27" i="9" s="1"/>
  <c r="J26" i="9"/>
  <c r="H26" i="9"/>
  <c r="G26" i="9"/>
  <c r="H25" i="9"/>
  <c r="G25" i="9"/>
  <c r="J25" i="9" s="1"/>
  <c r="G24" i="9"/>
  <c r="J24" i="9" s="1"/>
  <c r="J23" i="9"/>
  <c r="H23" i="9"/>
  <c r="G23" i="9"/>
  <c r="H22" i="9"/>
  <c r="G22" i="9"/>
  <c r="J22" i="9" s="1"/>
  <c r="H21" i="9"/>
  <c r="G21" i="9"/>
  <c r="J20" i="9"/>
  <c r="G20" i="9"/>
  <c r="H20" i="9" s="1"/>
  <c r="G19" i="9"/>
  <c r="J19" i="9" s="1"/>
  <c r="J18" i="9"/>
  <c r="H18" i="9"/>
  <c r="G18" i="9"/>
  <c r="J17" i="9"/>
  <c r="G17" i="9"/>
  <c r="H17" i="9" s="1"/>
  <c r="G16" i="9"/>
  <c r="J16" i="9" s="1"/>
  <c r="J15" i="9"/>
  <c r="H15" i="9"/>
  <c r="G15" i="9"/>
  <c r="J14" i="9"/>
  <c r="G14" i="9"/>
  <c r="H14" i="9" s="1"/>
  <c r="G13" i="9"/>
  <c r="J13" i="9" s="1"/>
  <c r="H12" i="9"/>
  <c r="G12" i="9"/>
  <c r="H11" i="9"/>
  <c r="G11" i="9"/>
  <c r="J11" i="9" s="1"/>
  <c r="G10" i="9"/>
  <c r="J10" i="9" s="1"/>
  <c r="G9" i="9"/>
  <c r="H9" i="9" s="1"/>
  <c r="G65" i="8"/>
  <c r="G64" i="8"/>
  <c r="G63" i="8"/>
  <c r="G62" i="8"/>
  <c r="E57" i="8"/>
  <c r="D57" i="8"/>
  <c r="C57" i="8"/>
  <c r="E56" i="8"/>
  <c r="D56" i="8"/>
  <c r="C56" i="8"/>
  <c r="G50" i="8"/>
  <c r="H50" i="8" s="1"/>
  <c r="H49" i="8"/>
  <c r="G49" i="8"/>
  <c r="G48" i="8"/>
  <c r="H48" i="8" s="1"/>
  <c r="F41" i="8"/>
  <c r="E41" i="8"/>
  <c r="D41" i="8"/>
  <c r="C41" i="8"/>
  <c r="H40" i="8"/>
  <c r="G40" i="8"/>
  <c r="H39" i="8"/>
  <c r="G39" i="8"/>
  <c r="J38" i="8"/>
  <c r="G38" i="8"/>
  <c r="H38" i="8" s="1"/>
  <c r="G37" i="8"/>
  <c r="J37" i="8" s="1"/>
  <c r="J36" i="8"/>
  <c r="H36" i="8"/>
  <c r="G36" i="8"/>
  <c r="J35" i="8"/>
  <c r="G35" i="8"/>
  <c r="H35" i="8" s="1"/>
  <c r="G34" i="8"/>
  <c r="J34" i="8" s="1"/>
  <c r="J33" i="8"/>
  <c r="H33" i="8"/>
  <c r="G33" i="8"/>
  <c r="J32" i="8"/>
  <c r="G32" i="8"/>
  <c r="H32" i="8" s="1"/>
  <c r="G31" i="8"/>
  <c r="J31" i="8" s="1"/>
  <c r="J30" i="8"/>
  <c r="H30" i="8"/>
  <c r="G30" i="8"/>
  <c r="J29" i="8"/>
  <c r="G29" i="8"/>
  <c r="H29" i="8" s="1"/>
  <c r="G28" i="8"/>
  <c r="J28" i="8" s="1"/>
  <c r="J27" i="8"/>
  <c r="H27" i="8"/>
  <c r="G27" i="8"/>
  <c r="J26" i="8"/>
  <c r="G26" i="8"/>
  <c r="H26" i="8" s="1"/>
  <c r="G25" i="8"/>
  <c r="J25" i="8" s="1"/>
  <c r="J24" i="8"/>
  <c r="H24" i="8"/>
  <c r="G24" i="8"/>
  <c r="J23" i="8"/>
  <c r="G23" i="8"/>
  <c r="H23" i="8" s="1"/>
  <c r="G22" i="8"/>
  <c r="J22" i="8" s="1"/>
  <c r="J21" i="8"/>
  <c r="H21" i="8"/>
  <c r="G21" i="8"/>
  <c r="J20" i="8"/>
  <c r="G20" i="8"/>
  <c r="H20" i="8" s="1"/>
  <c r="G19" i="8"/>
  <c r="J19" i="8" s="1"/>
  <c r="J18" i="8"/>
  <c r="H18" i="8"/>
  <c r="G18" i="8"/>
  <c r="J17" i="8"/>
  <c r="G17" i="8"/>
  <c r="H17" i="8" s="1"/>
  <c r="G16" i="8"/>
  <c r="J16" i="8" s="1"/>
  <c r="J15" i="8"/>
  <c r="H15" i="8"/>
  <c r="G15" i="8"/>
  <c r="J14" i="8"/>
  <c r="G14" i="8"/>
  <c r="H14" i="8" s="1"/>
  <c r="G13" i="8"/>
  <c r="J13" i="8" s="1"/>
  <c r="J12" i="8"/>
  <c r="H12" i="8"/>
  <c r="G12" i="8"/>
  <c r="J11" i="8"/>
  <c r="G11" i="8"/>
  <c r="H11" i="8" s="1"/>
  <c r="G10" i="8"/>
  <c r="J10" i="8" s="1"/>
  <c r="J9" i="8"/>
  <c r="H9" i="8"/>
  <c r="G9" i="8"/>
  <c r="G64" i="7"/>
  <c r="G63" i="7"/>
  <c r="G62" i="7"/>
  <c r="G61" i="7"/>
  <c r="E56" i="7"/>
  <c r="D56" i="7"/>
  <c r="C56" i="7"/>
  <c r="E55" i="7"/>
  <c r="D55" i="7"/>
  <c r="C55" i="7"/>
  <c r="H49" i="7"/>
  <c r="G49" i="7"/>
  <c r="G48" i="7"/>
  <c r="H48" i="7" s="1"/>
  <c r="G47" i="7"/>
  <c r="H47" i="7" s="1"/>
  <c r="F40" i="7"/>
  <c r="E40" i="7"/>
  <c r="D40" i="7"/>
  <c r="C40" i="7"/>
  <c r="H39" i="7"/>
  <c r="G39" i="7"/>
  <c r="H38" i="7"/>
  <c r="G38" i="7"/>
  <c r="J38" i="7" s="1"/>
  <c r="H37" i="7"/>
  <c r="G37" i="7"/>
  <c r="J36" i="7"/>
  <c r="G36" i="7"/>
  <c r="H36" i="7" s="1"/>
  <c r="G35" i="7"/>
  <c r="J35" i="7" s="1"/>
  <c r="J34" i="7"/>
  <c r="H34" i="7"/>
  <c r="G34" i="7"/>
  <c r="J33" i="7"/>
  <c r="G33" i="7"/>
  <c r="H33" i="7" s="1"/>
  <c r="G32" i="7"/>
  <c r="J32" i="7" s="1"/>
  <c r="H31" i="7"/>
  <c r="G31" i="7"/>
  <c r="H30" i="7"/>
  <c r="G30" i="7"/>
  <c r="J30" i="7" s="1"/>
  <c r="G29" i="7"/>
  <c r="J29" i="7" s="1"/>
  <c r="J28" i="7"/>
  <c r="H28" i="7"/>
  <c r="G28" i="7"/>
  <c r="H27" i="7"/>
  <c r="G27" i="7"/>
  <c r="J27" i="7" s="1"/>
  <c r="G26" i="7"/>
  <c r="J26" i="7" s="1"/>
  <c r="J25" i="7"/>
  <c r="H25" i="7"/>
  <c r="G25" i="7"/>
  <c r="H24" i="7"/>
  <c r="G24" i="7"/>
  <c r="J24" i="7" s="1"/>
  <c r="G23" i="7"/>
  <c r="J23" i="7" s="1"/>
  <c r="J22" i="7"/>
  <c r="H22" i="7"/>
  <c r="G22" i="7"/>
  <c r="H21" i="7"/>
  <c r="G21" i="7"/>
  <c r="J21" i="7" s="1"/>
  <c r="G20" i="7"/>
  <c r="J20" i="7" s="1"/>
  <c r="J19" i="7"/>
  <c r="H19" i="7"/>
  <c r="G19" i="7"/>
  <c r="H18" i="7"/>
  <c r="G18" i="7"/>
  <c r="J18" i="7" s="1"/>
  <c r="H17" i="7"/>
  <c r="G17" i="7"/>
  <c r="J16" i="7"/>
  <c r="G16" i="7"/>
  <c r="H16" i="7" s="1"/>
  <c r="G15" i="7"/>
  <c r="J15" i="7" s="1"/>
  <c r="J14" i="7"/>
  <c r="H14" i="7"/>
  <c r="G14" i="7"/>
  <c r="H13" i="7"/>
  <c r="G13" i="7"/>
  <c r="G12" i="7"/>
  <c r="J12" i="7" s="1"/>
  <c r="J11" i="7"/>
  <c r="H11" i="7"/>
  <c r="G11" i="7"/>
  <c r="H10" i="7"/>
  <c r="G10" i="7"/>
  <c r="J10" i="7" s="1"/>
  <c r="G9" i="7"/>
  <c r="G40" i="7" s="1"/>
  <c r="G65" i="6"/>
  <c r="G64" i="6"/>
  <c r="G63" i="6"/>
  <c r="G62" i="6"/>
  <c r="E57" i="6"/>
  <c r="D57" i="6"/>
  <c r="C57" i="6"/>
  <c r="E56" i="6"/>
  <c r="D56" i="6"/>
  <c r="C56" i="6"/>
  <c r="G50" i="6"/>
  <c r="H50" i="6" s="1"/>
  <c r="H49" i="6"/>
  <c r="G49" i="6"/>
  <c r="H48" i="6"/>
  <c r="G48" i="6"/>
  <c r="F41" i="6"/>
  <c r="E41" i="6"/>
  <c r="D41" i="6"/>
  <c r="C41" i="6"/>
  <c r="H40" i="6"/>
  <c r="G40" i="6"/>
  <c r="H39" i="6"/>
  <c r="G39" i="6"/>
  <c r="G38" i="6"/>
  <c r="J38" i="6" s="1"/>
  <c r="J37" i="6"/>
  <c r="H37" i="6"/>
  <c r="G37" i="6"/>
  <c r="H36" i="6"/>
  <c r="G36" i="6"/>
  <c r="J36" i="6" s="1"/>
  <c r="G35" i="6"/>
  <c r="J35" i="6" s="1"/>
  <c r="J34" i="6"/>
  <c r="H34" i="6"/>
  <c r="G34" i="6"/>
  <c r="H33" i="6"/>
  <c r="G33" i="6"/>
  <c r="J33" i="6" s="1"/>
  <c r="G32" i="6"/>
  <c r="J32" i="6" s="1"/>
  <c r="J31" i="6"/>
  <c r="H31" i="6"/>
  <c r="G31" i="6"/>
  <c r="H30" i="6"/>
  <c r="G30" i="6"/>
  <c r="J30" i="6" s="1"/>
  <c r="G29" i="6"/>
  <c r="J29" i="6" s="1"/>
  <c r="J28" i="6"/>
  <c r="H28" i="6"/>
  <c r="G28" i="6"/>
  <c r="H27" i="6"/>
  <c r="G27" i="6"/>
  <c r="J27" i="6" s="1"/>
  <c r="G26" i="6"/>
  <c r="J26" i="6" s="1"/>
  <c r="J25" i="6"/>
  <c r="H25" i="6"/>
  <c r="G25" i="6"/>
  <c r="H24" i="6"/>
  <c r="G24" i="6"/>
  <c r="J24" i="6" s="1"/>
  <c r="G23" i="6"/>
  <c r="J23" i="6" s="1"/>
  <c r="J22" i="6"/>
  <c r="H22" i="6"/>
  <c r="G22" i="6"/>
  <c r="H21" i="6"/>
  <c r="G21" i="6"/>
  <c r="J21" i="6" s="1"/>
  <c r="G20" i="6"/>
  <c r="J20" i="6" s="1"/>
  <c r="J19" i="6"/>
  <c r="H19" i="6"/>
  <c r="G19" i="6"/>
  <c r="H18" i="6"/>
  <c r="G18" i="6"/>
  <c r="J18" i="6" s="1"/>
  <c r="G17" i="6"/>
  <c r="J17" i="6" s="1"/>
  <c r="J16" i="6"/>
  <c r="H16" i="6"/>
  <c r="G16" i="6"/>
  <c r="H15" i="6"/>
  <c r="G15" i="6"/>
  <c r="J15" i="6" s="1"/>
  <c r="G14" i="6"/>
  <c r="J14" i="6" s="1"/>
  <c r="J13" i="6"/>
  <c r="H13" i="6"/>
  <c r="G13" i="6"/>
  <c r="H12" i="6"/>
  <c r="G12" i="6"/>
  <c r="J12" i="6" s="1"/>
  <c r="G11" i="6"/>
  <c r="J11" i="6" s="1"/>
  <c r="J10" i="6"/>
  <c r="H10" i="6"/>
  <c r="G10" i="6"/>
  <c r="H9" i="6"/>
  <c r="G9" i="6"/>
  <c r="G41" i="6" s="1"/>
  <c r="G72" i="5"/>
  <c r="G71" i="5"/>
  <c r="G70" i="5"/>
  <c r="G69" i="5"/>
  <c r="E64" i="5"/>
  <c r="D64" i="5"/>
  <c r="C64" i="5"/>
  <c r="E63" i="5"/>
  <c r="D63" i="5"/>
  <c r="C63" i="5"/>
  <c r="H57" i="5"/>
  <c r="G57" i="5"/>
  <c r="H56" i="5"/>
  <c r="G56" i="5"/>
  <c r="G55" i="5"/>
  <c r="H55" i="5" s="1"/>
  <c r="F48" i="5"/>
  <c r="E48" i="5"/>
  <c r="D48" i="5"/>
  <c r="C48" i="5"/>
  <c r="H47" i="5"/>
  <c r="G47" i="5"/>
  <c r="J47" i="5" s="1"/>
  <c r="G46" i="5"/>
  <c r="J46" i="5" s="1"/>
  <c r="J45" i="5"/>
  <c r="H45" i="5"/>
  <c r="G45" i="5"/>
  <c r="G44" i="5"/>
  <c r="J43" i="5"/>
  <c r="H43" i="5"/>
  <c r="G43" i="5"/>
  <c r="H42" i="5"/>
  <c r="G42" i="5"/>
  <c r="G41" i="5"/>
  <c r="J41" i="5" s="1"/>
  <c r="J40" i="5"/>
  <c r="H40" i="5"/>
  <c r="G40" i="5"/>
  <c r="H39" i="5"/>
  <c r="G39" i="5"/>
  <c r="J39" i="5" s="1"/>
  <c r="G38" i="5"/>
  <c r="J38" i="5" s="1"/>
  <c r="J37" i="5"/>
  <c r="H37" i="5"/>
  <c r="G37" i="5"/>
  <c r="H36" i="5"/>
  <c r="G36" i="5"/>
  <c r="J36" i="5" s="1"/>
  <c r="G35" i="5"/>
  <c r="J35" i="5" s="1"/>
  <c r="J34" i="5"/>
  <c r="H34" i="5"/>
  <c r="G34" i="5"/>
  <c r="H33" i="5"/>
  <c r="G33" i="5"/>
  <c r="J33" i="5" s="1"/>
  <c r="G32" i="5"/>
  <c r="J32" i="5" s="1"/>
  <c r="J31" i="5"/>
  <c r="H31" i="5"/>
  <c r="G31" i="5"/>
  <c r="H30" i="5"/>
  <c r="G30" i="5"/>
  <c r="J30" i="5" s="1"/>
  <c r="G29" i="5"/>
  <c r="J29" i="5" s="1"/>
  <c r="J28" i="5"/>
  <c r="H28" i="5"/>
  <c r="G28" i="5"/>
  <c r="H27" i="5"/>
  <c r="G27" i="5"/>
  <c r="J27" i="5" s="1"/>
  <c r="G26" i="5"/>
  <c r="J26" i="5" s="1"/>
  <c r="J25" i="5"/>
  <c r="H25" i="5"/>
  <c r="G25" i="5"/>
  <c r="H24" i="5"/>
  <c r="G24" i="5"/>
  <c r="J24" i="5" s="1"/>
  <c r="G23" i="5"/>
  <c r="J23" i="5" s="1"/>
  <c r="J22" i="5"/>
  <c r="H22" i="5"/>
  <c r="G22" i="5"/>
  <c r="G21" i="5"/>
  <c r="H21" i="5" s="1"/>
  <c r="H20" i="5"/>
  <c r="G20" i="5"/>
  <c r="H19" i="5"/>
  <c r="G19" i="5"/>
  <c r="J19" i="5" s="1"/>
  <c r="G18" i="5"/>
  <c r="J18" i="5" s="1"/>
  <c r="J17" i="5"/>
  <c r="H17" i="5"/>
  <c r="G17" i="5"/>
  <c r="H16" i="5"/>
  <c r="G16" i="5"/>
  <c r="J16" i="5" s="1"/>
  <c r="G15" i="5"/>
  <c r="J15" i="5" s="1"/>
  <c r="J14" i="5"/>
  <c r="H14" i="5"/>
  <c r="G14" i="5"/>
  <c r="G13" i="5"/>
  <c r="H13" i="5" s="1"/>
  <c r="H12" i="5"/>
  <c r="G12" i="5"/>
  <c r="G11" i="5"/>
  <c r="J10" i="5"/>
  <c r="H10" i="5"/>
  <c r="G10" i="5"/>
  <c r="H9" i="5"/>
  <c r="G9" i="5"/>
  <c r="G66" i="4"/>
  <c r="G65" i="4"/>
  <c r="G64" i="4"/>
  <c r="G63" i="4"/>
  <c r="E58" i="4"/>
  <c r="D58" i="4"/>
  <c r="C58" i="4"/>
  <c r="E57" i="4"/>
  <c r="D57" i="4"/>
  <c r="C57" i="4"/>
  <c r="H51" i="4"/>
  <c r="G51" i="4"/>
  <c r="H50" i="4"/>
  <c r="G50" i="4"/>
  <c r="G49" i="4"/>
  <c r="H49" i="4" s="1"/>
  <c r="F42" i="4"/>
  <c r="E42" i="4"/>
  <c r="D42" i="4"/>
  <c r="C42" i="4"/>
  <c r="G41" i="4"/>
  <c r="J40" i="4"/>
  <c r="H40" i="4"/>
  <c r="G40" i="4"/>
  <c r="J39" i="4"/>
  <c r="G39" i="4"/>
  <c r="H39" i="4" s="1"/>
  <c r="G38" i="4"/>
  <c r="J38" i="4" s="1"/>
  <c r="J37" i="4"/>
  <c r="H37" i="4"/>
  <c r="G37" i="4"/>
  <c r="H36" i="4"/>
  <c r="G36" i="4"/>
  <c r="H35" i="4"/>
  <c r="G35" i="4"/>
  <c r="H34" i="4"/>
  <c r="G34" i="4"/>
  <c r="G33" i="4"/>
  <c r="J33" i="4" s="1"/>
  <c r="J32" i="4"/>
  <c r="H32" i="4"/>
  <c r="G32" i="4"/>
  <c r="H31" i="4"/>
  <c r="G31" i="4"/>
  <c r="J31" i="4" s="1"/>
  <c r="G30" i="4"/>
  <c r="J30" i="4" s="1"/>
  <c r="J29" i="4"/>
  <c r="H29" i="4"/>
  <c r="G29" i="4"/>
  <c r="H28" i="4"/>
  <c r="G28" i="4"/>
  <c r="J28" i="4" s="1"/>
  <c r="G27" i="4"/>
  <c r="J27" i="4" s="1"/>
  <c r="J26" i="4"/>
  <c r="H26" i="4"/>
  <c r="G26" i="4"/>
  <c r="H25" i="4"/>
  <c r="G25" i="4"/>
  <c r="J25" i="4" s="1"/>
  <c r="G24" i="4"/>
  <c r="J24" i="4" s="1"/>
  <c r="J23" i="4"/>
  <c r="H23" i="4"/>
  <c r="G23" i="4"/>
  <c r="H22" i="4"/>
  <c r="G22" i="4"/>
  <c r="J22" i="4" s="1"/>
  <c r="G21" i="4"/>
  <c r="J21" i="4" s="1"/>
  <c r="J20" i="4"/>
  <c r="H20" i="4"/>
  <c r="G20" i="4"/>
  <c r="H19" i="4"/>
  <c r="G19" i="4"/>
  <c r="J19" i="4" s="1"/>
  <c r="G18" i="4"/>
  <c r="J18" i="4" s="1"/>
  <c r="J17" i="4"/>
  <c r="H17" i="4"/>
  <c r="G17" i="4"/>
  <c r="H16" i="4"/>
  <c r="G16" i="4"/>
  <c r="J16" i="4" s="1"/>
  <c r="G15" i="4"/>
  <c r="J15" i="4" s="1"/>
  <c r="J14" i="4"/>
  <c r="H14" i="4"/>
  <c r="G14" i="4"/>
  <c r="H13" i="4"/>
  <c r="G13" i="4"/>
  <c r="J13" i="4" s="1"/>
  <c r="G12" i="4"/>
  <c r="J12" i="4" s="1"/>
  <c r="J11" i="4"/>
  <c r="H11" i="4"/>
  <c r="G11" i="4"/>
  <c r="H10" i="4"/>
  <c r="G10" i="4"/>
  <c r="J10" i="4" s="1"/>
  <c r="G9" i="4"/>
  <c r="J9" i="4" s="1"/>
  <c r="G67" i="3"/>
  <c r="G66" i="3"/>
  <c r="G65" i="3"/>
  <c r="G64" i="3"/>
  <c r="E59" i="3"/>
  <c r="D59" i="3"/>
  <c r="C59" i="3"/>
  <c r="E58" i="3"/>
  <c r="D58" i="3"/>
  <c r="C58" i="3"/>
  <c r="G52" i="3"/>
  <c r="H52" i="3" s="1"/>
  <c r="H51" i="3"/>
  <c r="G51" i="3"/>
  <c r="H50" i="3"/>
  <c r="G50" i="3"/>
  <c r="F43" i="3"/>
  <c r="E43" i="3"/>
  <c r="D43" i="3"/>
  <c r="C43" i="3"/>
  <c r="H42" i="3"/>
  <c r="G42" i="3"/>
  <c r="J41" i="3"/>
  <c r="G41" i="3"/>
  <c r="H41" i="3" s="1"/>
  <c r="G40" i="3"/>
  <c r="J40" i="3" s="1"/>
  <c r="J39" i="3"/>
  <c r="H39" i="3"/>
  <c r="G39" i="3"/>
  <c r="H38" i="3"/>
  <c r="G38" i="3"/>
  <c r="G37" i="3"/>
  <c r="J37" i="3" s="1"/>
  <c r="J36" i="3"/>
  <c r="H36" i="3"/>
  <c r="G36" i="3"/>
  <c r="G35" i="3"/>
  <c r="H35" i="3" s="1"/>
  <c r="H34" i="3"/>
  <c r="G34" i="3"/>
  <c r="H33" i="3"/>
  <c r="G33" i="3"/>
  <c r="J33" i="3" s="1"/>
  <c r="G32" i="3"/>
  <c r="J32" i="3" s="1"/>
  <c r="J31" i="3"/>
  <c r="H31" i="3"/>
  <c r="G31" i="3"/>
  <c r="H30" i="3"/>
  <c r="G30" i="3"/>
  <c r="J30" i="3" s="1"/>
  <c r="G29" i="3"/>
  <c r="J29" i="3" s="1"/>
  <c r="J28" i="3"/>
  <c r="H28" i="3"/>
  <c r="G28" i="3"/>
  <c r="H27" i="3"/>
  <c r="G27" i="3"/>
  <c r="J27" i="3" s="1"/>
  <c r="G26" i="3"/>
  <c r="J26" i="3" s="1"/>
  <c r="J25" i="3"/>
  <c r="H25" i="3"/>
  <c r="G25" i="3"/>
  <c r="H24" i="3"/>
  <c r="G24" i="3"/>
  <c r="J24" i="3" s="1"/>
  <c r="G23" i="3"/>
  <c r="J23" i="3" s="1"/>
  <c r="J22" i="3"/>
  <c r="H22" i="3"/>
  <c r="G22" i="3"/>
  <c r="H21" i="3"/>
  <c r="G21" i="3"/>
  <c r="J21" i="3" s="1"/>
  <c r="G20" i="3"/>
  <c r="J20" i="3" s="1"/>
  <c r="J19" i="3"/>
  <c r="H19" i="3"/>
  <c r="G19" i="3"/>
  <c r="H18" i="3"/>
  <c r="G18" i="3"/>
  <c r="J18" i="3" s="1"/>
  <c r="G17" i="3"/>
  <c r="J17" i="3" s="1"/>
  <c r="J16" i="3"/>
  <c r="H16" i="3"/>
  <c r="G16" i="3"/>
  <c r="H15" i="3"/>
  <c r="G15" i="3"/>
  <c r="J15" i="3" s="1"/>
  <c r="G14" i="3"/>
  <c r="J14" i="3" s="1"/>
  <c r="J13" i="3"/>
  <c r="H13" i="3"/>
  <c r="G13" i="3"/>
  <c r="H12" i="3"/>
  <c r="G12" i="3"/>
  <c r="J12" i="3" s="1"/>
  <c r="G11" i="3"/>
  <c r="J11" i="3" s="1"/>
  <c r="J10" i="3"/>
  <c r="H10" i="3"/>
  <c r="G10" i="3"/>
  <c r="H9" i="3"/>
  <c r="G9" i="3"/>
  <c r="G43" i="3" s="1"/>
  <c r="G62" i="2"/>
  <c r="G61" i="2"/>
  <c r="G60" i="2"/>
  <c r="G59" i="2"/>
  <c r="E54" i="2"/>
  <c r="D54" i="2"/>
  <c r="C54" i="2"/>
  <c r="E53" i="2"/>
  <c r="D53" i="2"/>
  <c r="C53" i="2"/>
  <c r="H47" i="2"/>
  <c r="G47" i="2"/>
  <c r="H46" i="2"/>
  <c r="G46" i="2"/>
  <c r="G45" i="2"/>
  <c r="H45" i="2" s="1"/>
  <c r="F38" i="2"/>
  <c r="E38" i="2"/>
  <c r="D38" i="2"/>
  <c r="C38" i="2"/>
  <c r="G37" i="2"/>
  <c r="H37" i="2" s="1"/>
  <c r="H36" i="2"/>
  <c r="G36" i="2"/>
  <c r="H35" i="2"/>
  <c r="G35" i="2"/>
  <c r="J35" i="2" s="1"/>
  <c r="G34" i="2"/>
  <c r="J34" i="2" s="1"/>
  <c r="G33" i="2"/>
  <c r="H33" i="2" s="1"/>
  <c r="G32" i="2"/>
  <c r="H32" i="2" s="1"/>
  <c r="J31" i="2"/>
  <c r="H31" i="2"/>
  <c r="G31" i="2"/>
  <c r="J30" i="2"/>
  <c r="G30" i="2"/>
  <c r="H30" i="2" s="1"/>
  <c r="G29" i="2"/>
  <c r="J28" i="2"/>
  <c r="H28" i="2"/>
  <c r="G28" i="2"/>
  <c r="G27" i="2"/>
  <c r="J26" i="2"/>
  <c r="H26" i="2"/>
  <c r="G26" i="2"/>
  <c r="H25" i="2"/>
  <c r="G25" i="2"/>
  <c r="H24" i="2"/>
  <c r="G24" i="2"/>
  <c r="H23" i="2"/>
  <c r="G23" i="2"/>
  <c r="G22" i="2"/>
  <c r="J22" i="2" s="1"/>
  <c r="J21" i="2"/>
  <c r="H21" i="2"/>
  <c r="G21" i="2"/>
  <c r="H20" i="2"/>
  <c r="G20" i="2"/>
  <c r="J20" i="2" s="1"/>
  <c r="H19" i="2"/>
  <c r="G19" i="2"/>
  <c r="H18" i="2"/>
  <c r="G18" i="2"/>
  <c r="G17" i="2"/>
  <c r="J17" i="2" s="1"/>
  <c r="G16" i="2"/>
  <c r="H16" i="2" s="1"/>
  <c r="G15" i="2"/>
  <c r="H15" i="2" s="1"/>
  <c r="J14" i="2"/>
  <c r="H14" i="2"/>
  <c r="G14" i="2"/>
  <c r="H13" i="2"/>
  <c r="G13" i="2"/>
  <c r="G12" i="2"/>
  <c r="J12" i="2" s="1"/>
  <c r="J11" i="2"/>
  <c r="H11" i="2"/>
  <c r="G11" i="2"/>
  <c r="H10" i="2"/>
  <c r="G10" i="2"/>
  <c r="J10" i="2" s="1"/>
  <c r="H9" i="2"/>
  <c r="G9" i="2"/>
  <c r="G66" i="1"/>
  <c r="G65" i="1"/>
  <c r="G64" i="1"/>
  <c r="G63" i="1"/>
  <c r="E58" i="1"/>
  <c r="D58" i="1"/>
  <c r="C58" i="1"/>
  <c r="E57" i="1"/>
  <c r="D57" i="1"/>
  <c r="C57" i="1"/>
  <c r="H51" i="1"/>
  <c r="G51" i="1"/>
  <c r="G50" i="1"/>
  <c r="H50" i="1" s="1"/>
  <c r="G49" i="1"/>
  <c r="H49" i="1" s="1"/>
  <c r="F42" i="1"/>
  <c r="E42" i="1"/>
  <c r="D42" i="1"/>
  <c r="C42" i="1"/>
  <c r="H41" i="1"/>
  <c r="G41" i="1"/>
  <c r="H40" i="1"/>
  <c r="G40" i="1"/>
  <c r="J40" i="1" s="1"/>
  <c r="G39" i="1"/>
  <c r="J39" i="1" s="1"/>
  <c r="G38" i="1"/>
  <c r="H38" i="1" s="1"/>
  <c r="G37" i="1"/>
  <c r="H37" i="1" s="1"/>
  <c r="J36" i="1"/>
  <c r="H36" i="1"/>
  <c r="G36" i="1"/>
  <c r="H35" i="1"/>
  <c r="G35" i="1"/>
  <c r="G34" i="1"/>
  <c r="J34" i="1" s="1"/>
  <c r="J33" i="1"/>
  <c r="H33" i="1"/>
  <c r="G33" i="1"/>
  <c r="H32" i="1"/>
  <c r="G32" i="1"/>
  <c r="J32" i="1" s="1"/>
  <c r="G31" i="1"/>
  <c r="J31" i="1" s="1"/>
  <c r="J30" i="1"/>
  <c r="H30" i="1"/>
  <c r="G30" i="1"/>
  <c r="H29" i="1"/>
  <c r="G29" i="1"/>
  <c r="J29" i="1" s="1"/>
  <c r="G28" i="1"/>
  <c r="J28" i="1" s="1"/>
  <c r="J27" i="1"/>
  <c r="H27" i="1"/>
  <c r="G27" i="1"/>
  <c r="G26" i="1"/>
  <c r="H25" i="1"/>
  <c r="G25" i="1"/>
  <c r="H24" i="1"/>
  <c r="G24" i="1"/>
  <c r="J24" i="1" s="1"/>
  <c r="G23" i="1"/>
  <c r="J23" i="1" s="1"/>
  <c r="J22" i="1"/>
  <c r="H22" i="1"/>
  <c r="G22" i="1"/>
  <c r="H21" i="1"/>
  <c r="G21" i="1"/>
  <c r="J21" i="1" s="1"/>
  <c r="G20" i="1"/>
  <c r="J20" i="1" s="1"/>
  <c r="J19" i="1"/>
  <c r="H19" i="1"/>
  <c r="G19" i="1"/>
  <c r="H18" i="1"/>
  <c r="G18" i="1"/>
  <c r="J18" i="1" s="1"/>
  <c r="H17" i="1"/>
  <c r="G17" i="1"/>
  <c r="J16" i="1"/>
  <c r="G16" i="1"/>
  <c r="H16" i="1" s="1"/>
  <c r="G15" i="1"/>
  <c r="J15" i="1" s="1"/>
  <c r="J14" i="1"/>
  <c r="H14" i="1"/>
  <c r="G14" i="1"/>
  <c r="H13" i="1"/>
  <c r="G13" i="1"/>
  <c r="G12" i="1"/>
  <c r="J12" i="1" s="1"/>
  <c r="J11" i="1"/>
  <c r="H11" i="1"/>
  <c r="G11" i="1"/>
  <c r="G10" i="1"/>
  <c r="G42" i="1" s="1"/>
  <c r="H9" i="1"/>
  <c r="G9" i="1"/>
  <c r="F43" i="1" l="1"/>
  <c r="E44" i="3"/>
  <c r="F49" i="5"/>
  <c r="F41" i="7"/>
  <c r="C41" i="12"/>
  <c r="F44" i="3"/>
  <c r="D41" i="12"/>
  <c r="I44" i="5"/>
  <c r="C42" i="6"/>
  <c r="I44" i="10"/>
  <c r="C48" i="10"/>
  <c r="C42" i="11"/>
  <c r="E41" i="12"/>
  <c r="I41" i="1"/>
  <c r="I33" i="1"/>
  <c r="I30" i="1"/>
  <c r="I27" i="1"/>
  <c r="I25" i="1"/>
  <c r="I22" i="1"/>
  <c r="I19" i="1"/>
  <c r="I11" i="1"/>
  <c r="I9" i="1"/>
  <c r="I36" i="1"/>
  <c r="I14" i="1"/>
  <c r="D43" i="1"/>
  <c r="I21" i="1"/>
  <c r="I17" i="1"/>
  <c r="I40" i="1"/>
  <c r="I32" i="1"/>
  <c r="I18" i="1"/>
  <c r="I16" i="1"/>
  <c r="I35" i="1"/>
  <c r="I29" i="1"/>
  <c r="I13" i="1"/>
  <c r="I38" i="1"/>
  <c r="I24" i="1"/>
  <c r="C43" i="1"/>
  <c r="I36" i="3"/>
  <c r="I34" i="3"/>
  <c r="I31" i="3"/>
  <c r="I28" i="3"/>
  <c r="I25" i="3"/>
  <c r="I22" i="3"/>
  <c r="I19" i="3"/>
  <c r="I16" i="3"/>
  <c r="I13" i="3"/>
  <c r="I10" i="3"/>
  <c r="I39" i="3"/>
  <c r="I27" i="3"/>
  <c r="I15" i="3"/>
  <c r="I9" i="3"/>
  <c r="I42" i="3"/>
  <c r="I18" i="3"/>
  <c r="I12" i="3"/>
  <c r="I38" i="3"/>
  <c r="I33" i="3"/>
  <c r="I30" i="3"/>
  <c r="I21" i="3"/>
  <c r="I41" i="3"/>
  <c r="I24" i="3"/>
  <c r="I39" i="7"/>
  <c r="I31" i="7"/>
  <c r="I28" i="7"/>
  <c r="I25" i="7"/>
  <c r="I22" i="7"/>
  <c r="I19" i="7"/>
  <c r="I11" i="7"/>
  <c r="I37" i="7"/>
  <c r="I34" i="7"/>
  <c r="I17" i="7"/>
  <c r="I14" i="7"/>
  <c r="I36" i="7"/>
  <c r="I33" i="7"/>
  <c r="I38" i="7"/>
  <c r="I30" i="7"/>
  <c r="I21" i="7"/>
  <c r="I18" i="7"/>
  <c r="I10" i="7"/>
  <c r="I24" i="7"/>
  <c r="C41" i="7"/>
  <c r="I16" i="7"/>
  <c r="I27" i="7"/>
  <c r="I13" i="7"/>
  <c r="I35" i="12"/>
  <c r="F41" i="12"/>
  <c r="I37" i="13"/>
  <c r="D50" i="13"/>
  <c r="I39" i="17"/>
  <c r="I37" i="17"/>
  <c r="I35" i="17"/>
  <c r="I32" i="17"/>
  <c r="I29" i="17"/>
  <c r="I26" i="17"/>
  <c r="I23" i="17"/>
  <c r="I20" i="17"/>
  <c r="I17" i="17"/>
  <c r="I14" i="17"/>
  <c r="I11" i="17"/>
  <c r="I41" i="17"/>
  <c r="I31" i="17"/>
  <c r="I22" i="17"/>
  <c r="I13" i="17"/>
  <c r="I42" i="17"/>
  <c r="I34" i="17"/>
  <c r="I25" i="17"/>
  <c r="I16" i="17"/>
  <c r="I43" i="17"/>
  <c r="I19" i="17"/>
  <c r="I10" i="17"/>
  <c r="I28" i="17"/>
  <c r="C44" i="3"/>
  <c r="I11" i="5"/>
  <c r="I37" i="6"/>
  <c r="I34" i="6"/>
  <c r="I31" i="6"/>
  <c r="I28" i="6"/>
  <c r="I25" i="6"/>
  <c r="I22" i="6"/>
  <c r="I19" i="6"/>
  <c r="I16" i="6"/>
  <c r="I13" i="6"/>
  <c r="I10" i="6"/>
  <c r="I40" i="6"/>
  <c r="D42" i="6"/>
  <c r="I24" i="6"/>
  <c r="I21" i="6"/>
  <c r="I18" i="6"/>
  <c r="I15" i="6"/>
  <c r="I9" i="6"/>
  <c r="I36" i="6"/>
  <c r="I30" i="6"/>
  <c r="I12" i="6"/>
  <c r="I39" i="6"/>
  <c r="I33" i="6"/>
  <c r="I27" i="6"/>
  <c r="E42" i="6"/>
  <c r="D41" i="7"/>
  <c r="F42" i="8"/>
  <c r="I35" i="11"/>
  <c r="I32" i="11"/>
  <c r="I29" i="11"/>
  <c r="I24" i="11"/>
  <c r="I21" i="11"/>
  <c r="I19" i="11"/>
  <c r="I37" i="11"/>
  <c r="I26" i="11"/>
  <c r="I40" i="11"/>
  <c r="I38" i="11"/>
  <c r="I17" i="11"/>
  <c r="I14" i="11"/>
  <c r="I11" i="11"/>
  <c r="I9" i="11"/>
  <c r="I23" i="11"/>
  <c r="I10" i="11"/>
  <c r="I13" i="11"/>
  <c r="E42" i="11"/>
  <c r="I18" i="11"/>
  <c r="I39" i="11"/>
  <c r="I34" i="11"/>
  <c r="I31" i="11"/>
  <c r="I28" i="11"/>
  <c r="I16" i="11"/>
  <c r="I25" i="11"/>
  <c r="E50" i="13"/>
  <c r="I39" i="12"/>
  <c r="I34" i="12"/>
  <c r="I31" i="12"/>
  <c r="I21" i="12"/>
  <c r="I13" i="12"/>
  <c r="I37" i="12"/>
  <c r="I29" i="12"/>
  <c r="I24" i="12"/>
  <c r="I19" i="12"/>
  <c r="I14" i="12"/>
  <c r="I11" i="12"/>
  <c r="I26" i="12"/>
  <c r="I16" i="12"/>
  <c r="I10" i="12"/>
  <c r="I30" i="12"/>
  <c r="I20" i="12"/>
  <c r="I33" i="12"/>
  <c r="I23" i="12"/>
  <c r="I18" i="12"/>
  <c r="I36" i="12"/>
  <c r="I28" i="12"/>
  <c r="I38" i="12"/>
  <c r="I48" i="13"/>
  <c r="I38" i="13"/>
  <c r="I29" i="13"/>
  <c r="I17" i="13"/>
  <c r="I11" i="13"/>
  <c r="I46" i="13"/>
  <c r="I44" i="13"/>
  <c r="I41" i="13"/>
  <c r="I36" i="13"/>
  <c r="I33" i="13"/>
  <c r="I30" i="13"/>
  <c r="I27" i="13"/>
  <c r="I24" i="13"/>
  <c r="I21" i="13"/>
  <c r="I18" i="13"/>
  <c r="I15" i="13"/>
  <c r="I12" i="13"/>
  <c r="I9" i="13"/>
  <c r="I43" i="13"/>
  <c r="I35" i="13"/>
  <c r="I32" i="13"/>
  <c r="I23" i="13"/>
  <c r="I20" i="13"/>
  <c r="I14" i="13"/>
  <c r="I26" i="13"/>
  <c r="I45" i="13"/>
  <c r="I40" i="13"/>
  <c r="C50" i="13"/>
  <c r="I26" i="1"/>
  <c r="E43" i="1"/>
  <c r="D44" i="3"/>
  <c r="E49" i="5"/>
  <c r="F42" i="6"/>
  <c r="E41" i="7"/>
  <c r="I43" i="10"/>
  <c r="I40" i="10"/>
  <c r="I38" i="10"/>
  <c r="I35" i="10"/>
  <c r="I32" i="10"/>
  <c r="I29" i="10"/>
  <c r="I26" i="10"/>
  <c r="I23" i="10"/>
  <c r="I20" i="10"/>
  <c r="I17" i="10"/>
  <c r="I14" i="10"/>
  <c r="I11" i="10"/>
  <c r="I46" i="10"/>
  <c r="I31" i="10"/>
  <c r="I19" i="10"/>
  <c r="I10" i="10"/>
  <c r="I45" i="10"/>
  <c r="I34" i="10"/>
  <c r="I25" i="10"/>
  <c r="I22" i="10"/>
  <c r="I13" i="10"/>
  <c r="I42" i="10"/>
  <c r="I37" i="10"/>
  <c r="I28" i="10"/>
  <c r="I16" i="10"/>
  <c r="F48" i="10"/>
  <c r="F42" i="11"/>
  <c r="I27" i="12"/>
  <c r="I47" i="13"/>
  <c r="F50" i="13"/>
  <c r="C40" i="15"/>
  <c r="H22" i="14"/>
  <c r="D49" i="27"/>
  <c r="H27" i="2"/>
  <c r="H40" i="3"/>
  <c r="H44" i="5"/>
  <c r="G48" i="5"/>
  <c r="C49" i="5" s="1"/>
  <c r="H35" i="7"/>
  <c r="H19" i="8"/>
  <c r="H12" i="11"/>
  <c r="H41" i="11" s="1"/>
  <c r="H15" i="11"/>
  <c r="H36" i="11"/>
  <c r="H25" i="12"/>
  <c r="H38" i="12"/>
  <c r="H10" i="13"/>
  <c r="H13" i="13"/>
  <c r="H16" i="13"/>
  <c r="H19" i="13"/>
  <c r="H25" i="13"/>
  <c r="H28" i="13"/>
  <c r="H31" i="13"/>
  <c r="H34" i="13"/>
  <c r="H37" i="13"/>
  <c r="H42" i="13"/>
  <c r="H47" i="13"/>
  <c r="G35" i="14"/>
  <c r="D36" i="14" s="1"/>
  <c r="H9" i="14"/>
  <c r="J22" i="14"/>
  <c r="H29" i="14"/>
  <c r="J31" i="14"/>
  <c r="E36" i="14"/>
  <c r="J21" i="15"/>
  <c r="H31" i="15"/>
  <c r="J21" i="16"/>
  <c r="I33" i="17"/>
  <c r="H33" i="17"/>
  <c r="I36" i="17"/>
  <c r="H36" i="17"/>
  <c r="E45" i="17"/>
  <c r="J25" i="18"/>
  <c r="H25" i="18"/>
  <c r="J12" i="19"/>
  <c r="I12" i="19"/>
  <c r="H12" i="19"/>
  <c r="J24" i="23"/>
  <c r="H24" i="23"/>
  <c r="J27" i="23"/>
  <c r="H27" i="23"/>
  <c r="H33" i="23"/>
  <c r="J39" i="24"/>
  <c r="H39" i="24"/>
  <c r="I15" i="25"/>
  <c r="I21" i="25"/>
  <c r="H24" i="26"/>
  <c r="H31" i="26"/>
  <c r="G41" i="8"/>
  <c r="D42" i="8" s="1"/>
  <c r="H28" i="15"/>
  <c r="J28" i="15"/>
  <c r="I35" i="24"/>
  <c r="I23" i="25"/>
  <c r="I29" i="25"/>
  <c r="G40" i="35"/>
  <c r="H26" i="1"/>
  <c r="H41" i="4"/>
  <c r="G42" i="4"/>
  <c r="I12" i="4" s="1"/>
  <c r="H11" i="5"/>
  <c r="H48" i="5" s="1"/>
  <c r="H22" i="8"/>
  <c r="H25" i="8"/>
  <c r="H28" i="8"/>
  <c r="H31" i="8"/>
  <c r="H34" i="8"/>
  <c r="H37" i="8"/>
  <c r="I10" i="1"/>
  <c r="H12" i="1"/>
  <c r="I15" i="1"/>
  <c r="H20" i="1"/>
  <c r="H23" i="1"/>
  <c r="H28" i="1"/>
  <c r="H31" i="1"/>
  <c r="H34" i="1"/>
  <c r="I37" i="1"/>
  <c r="H39" i="1"/>
  <c r="H12" i="2"/>
  <c r="H38" i="2" s="1"/>
  <c r="H17" i="2"/>
  <c r="H22" i="2"/>
  <c r="H29" i="2"/>
  <c r="H34" i="2"/>
  <c r="J9" i="3"/>
  <c r="H11" i="3"/>
  <c r="H14" i="3"/>
  <c r="H17" i="3"/>
  <c r="H20" i="3"/>
  <c r="H43" i="3" s="1"/>
  <c r="H23" i="3"/>
  <c r="H26" i="3"/>
  <c r="H29" i="3"/>
  <c r="H32" i="3"/>
  <c r="I35" i="3"/>
  <c r="H37" i="3"/>
  <c r="I40" i="3"/>
  <c r="H9" i="4"/>
  <c r="H12" i="4"/>
  <c r="H15" i="4"/>
  <c r="H18" i="4"/>
  <c r="H21" i="4"/>
  <c r="H24" i="4"/>
  <c r="H27" i="4"/>
  <c r="H30" i="4"/>
  <c r="H33" i="4"/>
  <c r="I13" i="5"/>
  <c r="H15" i="5"/>
  <c r="H18" i="5"/>
  <c r="I21" i="5"/>
  <c r="H23" i="5"/>
  <c r="H26" i="5"/>
  <c r="H29" i="5"/>
  <c r="H32" i="5"/>
  <c r="H35" i="5"/>
  <c r="H38" i="5"/>
  <c r="H41" i="5"/>
  <c r="H46" i="5"/>
  <c r="J9" i="6"/>
  <c r="H11" i="6"/>
  <c r="H41" i="6" s="1"/>
  <c r="H14" i="6"/>
  <c r="H17" i="6"/>
  <c r="H20" i="6"/>
  <c r="H23" i="6"/>
  <c r="H26" i="6"/>
  <c r="H29" i="6"/>
  <c r="H32" i="6"/>
  <c r="H35" i="6"/>
  <c r="H38" i="6"/>
  <c r="H9" i="7"/>
  <c r="H12" i="7"/>
  <c r="I15" i="7"/>
  <c r="H20" i="7"/>
  <c r="H23" i="7"/>
  <c r="H26" i="7"/>
  <c r="H29" i="7"/>
  <c r="I32" i="7"/>
  <c r="I35" i="7"/>
  <c r="I10" i="8"/>
  <c r="I13" i="8"/>
  <c r="I16" i="8"/>
  <c r="I19" i="8"/>
  <c r="I22" i="8"/>
  <c r="I25" i="8"/>
  <c r="I28" i="8"/>
  <c r="I31" i="8"/>
  <c r="I34" i="8"/>
  <c r="I37" i="8"/>
  <c r="H10" i="9"/>
  <c r="H36" i="9" s="1"/>
  <c r="H24" i="9"/>
  <c r="H27" i="9"/>
  <c r="H30" i="9"/>
  <c r="H35" i="9"/>
  <c r="H9" i="10"/>
  <c r="H12" i="10"/>
  <c r="H15" i="10"/>
  <c r="H18" i="10"/>
  <c r="H21" i="10"/>
  <c r="H24" i="10"/>
  <c r="H27" i="10"/>
  <c r="H30" i="10"/>
  <c r="H33" i="10"/>
  <c r="H36" i="10"/>
  <c r="I39" i="10"/>
  <c r="H41" i="10"/>
  <c r="H44" i="10"/>
  <c r="I12" i="11"/>
  <c r="I15" i="11"/>
  <c r="I20" i="11"/>
  <c r="H22" i="11"/>
  <c r="H25" i="11"/>
  <c r="H27" i="11"/>
  <c r="H30" i="11"/>
  <c r="H33" i="11"/>
  <c r="I36" i="11"/>
  <c r="H9" i="12"/>
  <c r="I12" i="12"/>
  <c r="I15" i="12"/>
  <c r="H17" i="12"/>
  <c r="H22" i="12"/>
  <c r="I25" i="12"/>
  <c r="H27" i="12"/>
  <c r="H32" i="12"/>
  <c r="H35" i="12"/>
  <c r="I10" i="13"/>
  <c r="I13" i="13"/>
  <c r="I16" i="13"/>
  <c r="I19" i="13"/>
  <c r="I22" i="13"/>
  <c r="I25" i="13"/>
  <c r="I28" i="13"/>
  <c r="I31" i="13"/>
  <c r="I34" i="13"/>
  <c r="H39" i="13"/>
  <c r="I42" i="13"/>
  <c r="J25" i="14"/>
  <c r="I29" i="14"/>
  <c r="H31" i="14"/>
  <c r="H16" i="15"/>
  <c r="H21" i="15"/>
  <c r="J31" i="15"/>
  <c r="J15" i="16"/>
  <c r="H21" i="16"/>
  <c r="J24" i="16"/>
  <c r="H24" i="16"/>
  <c r="H39" i="16" s="1"/>
  <c r="J33" i="17"/>
  <c r="F45" i="17"/>
  <c r="J31" i="18"/>
  <c r="H31" i="18"/>
  <c r="J9" i="20"/>
  <c r="G42" i="20"/>
  <c r="H9" i="20"/>
  <c r="J15" i="20"/>
  <c r="H15" i="20"/>
  <c r="J26" i="20"/>
  <c r="H26" i="20"/>
  <c r="J29" i="20"/>
  <c r="H29" i="20"/>
  <c r="J32" i="20"/>
  <c r="J30" i="21"/>
  <c r="H30" i="21"/>
  <c r="J16" i="22"/>
  <c r="H16" i="22"/>
  <c r="J30" i="23"/>
  <c r="H30" i="23"/>
  <c r="I18" i="25"/>
  <c r="C40" i="25"/>
  <c r="J12" i="27"/>
  <c r="H12" i="27"/>
  <c r="J18" i="27"/>
  <c r="H18" i="27"/>
  <c r="H48" i="27" s="1"/>
  <c r="J24" i="27"/>
  <c r="H24" i="27"/>
  <c r="J30" i="27"/>
  <c r="H30" i="27"/>
  <c r="J36" i="27"/>
  <c r="H36" i="27"/>
  <c r="J18" i="30"/>
  <c r="H18" i="30"/>
  <c r="H21" i="33"/>
  <c r="J21" i="33"/>
  <c r="I27" i="33"/>
  <c r="H27" i="33"/>
  <c r="J27" i="33"/>
  <c r="H33" i="33"/>
  <c r="J33" i="33"/>
  <c r="I39" i="33"/>
  <c r="H39" i="33"/>
  <c r="J39" i="33"/>
  <c r="I36" i="34"/>
  <c r="I33" i="34"/>
  <c r="I30" i="34"/>
  <c r="I27" i="34"/>
  <c r="I24" i="34"/>
  <c r="I21" i="34"/>
  <c r="I18" i="34"/>
  <c r="I15" i="34"/>
  <c r="I29" i="34"/>
  <c r="I20" i="34"/>
  <c r="I13" i="34"/>
  <c r="I35" i="34"/>
  <c r="I26" i="34"/>
  <c r="I17" i="34"/>
  <c r="I10" i="34"/>
  <c r="I32" i="34"/>
  <c r="D39" i="34"/>
  <c r="F39" i="34"/>
  <c r="D45" i="17"/>
  <c r="J19" i="18"/>
  <c r="H19" i="18"/>
  <c r="I9" i="25"/>
  <c r="I26" i="25"/>
  <c r="I33" i="29"/>
  <c r="I24" i="29"/>
  <c r="E44" i="29"/>
  <c r="I38" i="29"/>
  <c r="I31" i="29"/>
  <c r="I29" i="29"/>
  <c r="I27" i="29"/>
  <c r="I22" i="29"/>
  <c r="I19" i="29"/>
  <c r="I16" i="29"/>
  <c r="I13" i="29"/>
  <c r="I10" i="29"/>
  <c r="I25" i="29"/>
  <c r="C44" i="29"/>
  <c r="I21" i="29"/>
  <c r="I37" i="29"/>
  <c r="I39" i="29"/>
  <c r="I30" i="29"/>
  <c r="I15" i="29"/>
  <c r="I12" i="29"/>
  <c r="I35" i="29"/>
  <c r="I9" i="29"/>
  <c r="J32" i="35"/>
  <c r="I32" i="35"/>
  <c r="H32" i="35"/>
  <c r="H15" i="1"/>
  <c r="G38" i="2"/>
  <c r="I15" i="2" s="1"/>
  <c r="H38" i="4"/>
  <c r="H15" i="7"/>
  <c r="H32" i="7"/>
  <c r="H10" i="8"/>
  <c r="H13" i="8"/>
  <c r="H16" i="8"/>
  <c r="H13" i="9"/>
  <c r="H16" i="9"/>
  <c r="H19" i="9"/>
  <c r="H12" i="12"/>
  <c r="H15" i="12"/>
  <c r="H22" i="13"/>
  <c r="I12" i="1"/>
  <c r="I20" i="1"/>
  <c r="I23" i="1"/>
  <c r="I28" i="1"/>
  <c r="I31" i="1"/>
  <c r="I34" i="1"/>
  <c r="J37" i="1"/>
  <c r="I39" i="1"/>
  <c r="J15" i="2"/>
  <c r="I22" i="2"/>
  <c r="J32" i="2"/>
  <c r="I11" i="3"/>
  <c r="I14" i="3"/>
  <c r="I17" i="3"/>
  <c r="I20" i="3"/>
  <c r="I23" i="3"/>
  <c r="I26" i="3"/>
  <c r="I29" i="3"/>
  <c r="I32" i="3"/>
  <c r="I37" i="3"/>
  <c r="I9" i="4"/>
  <c r="I27" i="4"/>
  <c r="I15" i="5"/>
  <c r="I18" i="5"/>
  <c r="I23" i="5"/>
  <c r="I26" i="5"/>
  <c r="I29" i="5"/>
  <c r="I32" i="5"/>
  <c r="I35" i="5"/>
  <c r="I38" i="5"/>
  <c r="I41" i="5"/>
  <c r="I46" i="5"/>
  <c r="I11" i="6"/>
  <c r="I14" i="6"/>
  <c r="I17" i="6"/>
  <c r="I20" i="6"/>
  <c r="I23" i="6"/>
  <c r="I26" i="6"/>
  <c r="I29" i="6"/>
  <c r="I32" i="6"/>
  <c r="I35" i="6"/>
  <c r="I38" i="6"/>
  <c r="I9" i="7"/>
  <c r="I12" i="7"/>
  <c r="I20" i="7"/>
  <c r="I23" i="7"/>
  <c r="I26" i="7"/>
  <c r="I29" i="7"/>
  <c r="I24" i="9"/>
  <c r="I35" i="9"/>
  <c r="G36" i="9"/>
  <c r="I10" i="9" s="1"/>
  <c r="I9" i="10"/>
  <c r="I12" i="10"/>
  <c r="I15" i="10"/>
  <c r="I18" i="10"/>
  <c r="I21" i="10"/>
  <c r="I24" i="10"/>
  <c r="I27" i="10"/>
  <c r="I30" i="10"/>
  <c r="I33" i="10"/>
  <c r="I36" i="10"/>
  <c r="I41" i="10"/>
  <c r="I22" i="11"/>
  <c r="I27" i="11"/>
  <c r="I30" i="11"/>
  <c r="I33" i="11"/>
  <c r="I9" i="12"/>
  <c r="I17" i="12"/>
  <c r="I22" i="12"/>
  <c r="I32" i="12"/>
  <c r="J10" i="13"/>
  <c r="I39" i="13"/>
  <c r="H19" i="14"/>
  <c r="H22" i="16"/>
  <c r="I22" i="16"/>
  <c r="H25" i="16"/>
  <c r="H35" i="16"/>
  <c r="I24" i="17"/>
  <c r="H24" i="17"/>
  <c r="J21" i="20"/>
  <c r="I21" i="20"/>
  <c r="H36" i="20"/>
  <c r="J39" i="20"/>
  <c r="H39" i="20"/>
  <c r="J36" i="21"/>
  <c r="H36" i="21"/>
  <c r="J44" i="21"/>
  <c r="H44" i="21"/>
  <c r="J27" i="24"/>
  <c r="H27" i="24"/>
  <c r="H33" i="24"/>
  <c r="J13" i="26"/>
  <c r="H13" i="26"/>
  <c r="J14" i="29"/>
  <c r="I14" i="29"/>
  <c r="H14" i="29"/>
  <c r="I28" i="29"/>
  <c r="F41" i="35"/>
  <c r="J33" i="36"/>
  <c r="H33" i="36"/>
  <c r="I32" i="38"/>
  <c r="H16" i="14"/>
  <c r="J36" i="15"/>
  <c r="J22" i="18"/>
  <c r="H22" i="18"/>
  <c r="I34" i="25"/>
  <c r="I32" i="25"/>
  <c r="I19" i="25"/>
  <c r="I16" i="25"/>
  <c r="I13" i="25"/>
  <c r="I10" i="25"/>
  <c r="I37" i="25"/>
  <c r="I30" i="25"/>
  <c r="I27" i="25"/>
  <c r="I24" i="25"/>
  <c r="I22" i="25"/>
  <c r="I38" i="25"/>
  <c r="I12" i="25"/>
  <c r="H44" i="32"/>
  <c r="H10" i="1"/>
  <c r="H42" i="1" s="1"/>
  <c r="J9" i="7"/>
  <c r="J9" i="10"/>
  <c r="H13" i="16"/>
  <c r="J13" i="16"/>
  <c r="I38" i="17"/>
  <c r="H37" i="18"/>
  <c r="J13" i="21"/>
  <c r="H13" i="21"/>
  <c r="H46" i="21" s="1"/>
  <c r="J16" i="21"/>
  <c r="H16" i="21"/>
  <c r="J19" i="21"/>
  <c r="J22" i="22"/>
  <c r="I22" i="22"/>
  <c r="H22" i="22"/>
  <c r="J25" i="22"/>
  <c r="H25" i="22"/>
  <c r="J28" i="22"/>
  <c r="I28" i="22"/>
  <c r="J12" i="23"/>
  <c r="H12" i="23"/>
  <c r="G39" i="23"/>
  <c r="I30" i="23" s="1"/>
  <c r="I18" i="24"/>
  <c r="H18" i="24"/>
  <c r="J30" i="24"/>
  <c r="H30" i="24"/>
  <c r="H37" i="24"/>
  <c r="J11" i="25"/>
  <c r="I11" i="25"/>
  <c r="H11" i="25"/>
  <c r="H39" i="25" s="1"/>
  <c r="J28" i="25"/>
  <c r="I28" i="25"/>
  <c r="H28" i="25"/>
  <c r="E40" i="25"/>
  <c r="J10" i="26"/>
  <c r="I10" i="26"/>
  <c r="H10" i="26"/>
  <c r="H37" i="26" s="1"/>
  <c r="J33" i="26"/>
  <c r="H33" i="26"/>
  <c r="J43" i="27"/>
  <c r="I43" i="27"/>
  <c r="H43" i="27"/>
  <c r="J14" i="28"/>
  <c r="I14" i="28"/>
  <c r="H14" i="28"/>
  <c r="J32" i="29"/>
  <c r="I32" i="29"/>
  <c r="H32" i="29"/>
  <c r="J26" i="32"/>
  <c r="H26" i="32"/>
  <c r="J37" i="37"/>
  <c r="I37" i="37"/>
  <c r="H37" i="37"/>
  <c r="J35" i="25"/>
  <c r="I35" i="25"/>
  <c r="I41" i="29"/>
  <c r="I26" i="14"/>
  <c r="I15" i="17"/>
  <c r="H15" i="17"/>
  <c r="H38" i="17"/>
  <c r="I41" i="20"/>
  <c r="H41" i="20"/>
  <c r="H19" i="21"/>
  <c r="J22" i="21"/>
  <c r="H22" i="21"/>
  <c r="J28" i="21"/>
  <c r="H28" i="21"/>
  <c r="G46" i="21"/>
  <c r="I30" i="21" s="1"/>
  <c r="H28" i="22"/>
  <c r="F31" i="22"/>
  <c r="J18" i="23"/>
  <c r="H18" i="23"/>
  <c r="H35" i="23"/>
  <c r="H38" i="23"/>
  <c r="J17" i="25"/>
  <c r="I17" i="25"/>
  <c r="H17" i="25"/>
  <c r="J20" i="25"/>
  <c r="I20" i="25"/>
  <c r="H20" i="25"/>
  <c r="F40" i="25"/>
  <c r="J26" i="26"/>
  <c r="H26" i="26"/>
  <c r="H29" i="26"/>
  <c r="H36" i="26"/>
  <c r="J21" i="28"/>
  <c r="I21" i="28"/>
  <c r="H21" i="28"/>
  <c r="I18" i="29"/>
  <c r="I26" i="42"/>
  <c r="H38" i="15"/>
  <c r="H39" i="15" s="1"/>
  <c r="J12" i="16"/>
  <c r="I32" i="16"/>
  <c r="H32" i="16"/>
  <c r="C40" i="16"/>
  <c r="I12" i="17"/>
  <c r="H12" i="17"/>
  <c r="I21" i="17"/>
  <c r="H21" i="17"/>
  <c r="I30" i="17"/>
  <c r="H30" i="17"/>
  <c r="I40" i="17"/>
  <c r="H40" i="17"/>
  <c r="J11" i="18"/>
  <c r="J16" i="18"/>
  <c r="H16" i="18"/>
  <c r="H38" i="18" s="1"/>
  <c r="J34" i="18"/>
  <c r="H34" i="18"/>
  <c r="J15" i="19"/>
  <c r="I15" i="19"/>
  <c r="H20" i="19"/>
  <c r="H21" i="19" s="1"/>
  <c r="J18" i="20"/>
  <c r="I18" i="20"/>
  <c r="I34" i="20"/>
  <c r="H34" i="20"/>
  <c r="J39" i="21"/>
  <c r="H39" i="21"/>
  <c r="I42" i="21"/>
  <c r="G30" i="22"/>
  <c r="I25" i="22" s="1"/>
  <c r="J19" i="22"/>
  <c r="I19" i="22"/>
  <c r="H19" i="22"/>
  <c r="H10" i="23"/>
  <c r="H39" i="23" s="1"/>
  <c r="J21" i="23"/>
  <c r="H21" i="23"/>
  <c r="J11" i="24"/>
  <c r="I11" i="24"/>
  <c r="J20" i="24"/>
  <c r="I20" i="24"/>
  <c r="H20" i="24"/>
  <c r="I31" i="25"/>
  <c r="D40" i="25"/>
  <c r="I20" i="26"/>
  <c r="G48" i="27"/>
  <c r="J9" i="27"/>
  <c r="J27" i="27"/>
  <c r="J34" i="28"/>
  <c r="I34" i="28"/>
  <c r="F39" i="28"/>
  <c r="J17" i="29"/>
  <c r="I17" i="29"/>
  <c r="I42" i="29"/>
  <c r="H42" i="29"/>
  <c r="H34" i="32"/>
  <c r="J25" i="33"/>
  <c r="I25" i="33"/>
  <c r="J31" i="33"/>
  <c r="J37" i="33"/>
  <c r="I37" i="34"/>
  <c r="J21" i="35"/>
  <c r="I21" i="35"/>
  <c r="H21" i="35"/>
  <c r="H36" i="40"/>
  <c r="H29" i="54"/>
  <c r="J29" i="54"/>
  <c r="I9" i="28"/>
  <c r="H9" i="28"/>
  <c r="I12" i="28"/>
  <c r="I26" i="28"/>
  <c r="H26" i="28"/>
  <c r="J29" i="28"/>
  <c r="I29" i="28"/>
  <c r="G38" i="28"/>
  <c r="C39" i="28" s="1"/>
  <c r="J20" i="29"/>
  <c r="I20" i="29"/>
  <c r="J36" i="29"/>
  <c r="I36" i="29"/>
  <c r="H36" i="29"/>
  <c r="J27" i="30"/>
  <c r="I27" i="30"/>
  <c r="H27" i="30"/>
  <c r="I34" i="30"/>
  <c r="H34" i="30"/>
  <c r="J14" i="32"/>
  <c r="H35" i="32"/>
  <c r="J42" i="32"/>
  <c r="H42" i="32"/>
  <c r="H19" i="33"/>
  <c r="I14" i="34"/>
  <c r="I19" i="34"/>
  <c r="H19" i="34"/>
  <c r="J19" i="34"/>
  <c r="J11" i="37"/>
  <c r="J14" i="37"/>
  <c r="H14" i="37"/>
  <c r="H44" i="37" s="1"/>
  <c r="J21" i="38"/>
  <c r="J30" i="38"/>
  <c r="H30" i="38"/>
  <c r="I31" i="41"/>
  <c r="J15" i="27"/>
  <c r="J33" i="27"/>
  <c r="I33" i="27"/>
  <c r="H12" i="28"/>
  <c r="H29" i="28"/>
  <c r="I32" i="28"/>
  <c r="H20" i="29"/>
  <c r="H43" i="29" s="1"/>
  <c r="I23" i="29"/>
  <c r="J23" i="29"/>
  <c r="D44" i="29"/>
  <c r="D39" i="30"/>
  <c r="J14" i="31"/>
  <c r="H14" i="31"/>
  <c r="J20" i="31"/>
  <c r="H20" i="31"/>
  <c r="J26" i="31"/>
  <c r="H26" i="31"/>
  <c r="I32" i="31"/>
  <c r="H32" i="31"/>
  <c r="E42" i="31"/>
  <c r="J39" i="32"/>
  <c r="J13" i="33"/>
  <c r="H13" i="33"/>
  <c r="I16" i="35"/>
  <c r="H16" i="35"/>
  <c r="J16" i="35"/>
  <c r="J15" i="39"/>
  <c r="H15" i="39"/>
  <c r="J38" i="39"/>
  <c r="H38" i="39"/>
  <c r="I32" i="42"/>
  <c r="J36" i="42"/>
  <c r="J28" i="52"/>
  <c r="H28" i="52"/>
  <c r="J12" i="30"/>
  <c r="I12" i="30"/>
  <c r="G38" i="30"/>
  <c r="I31" i="30"/>
  <c r="H31" i="30"/>
  <c r="H36" i="31"/>
  <c r="J36" i="31"/>
  <c r="J20" i="32"/>
  <c r="J17" i="33"/>
  <c r="I17" i="33"/>
  <c r="H12" i="34"/>
  <c r="J12" i="34"/>
  <c r="J11" i="35"/>
  <c r="I11" i="35"/>
  <c r="F45" i="37"/>
  <c r="J20" i="41"/>
  <c r="H20" i="41"/>
  <c r="H36" i="42"/>
  <c r="J32" i="44"/>
  <c r="I32" i="44"/>
  <c r="H32" i="44"/>
  <c r="J15" i="57"/>
  <c r="I15" i="57"/>
  <c r="H15" i="57"/>
  <c r="J21" i="58"/>
  <c r="H21" i="58"/>
  <c r="J28" i="14"/>
  <c r="I28" i="14"/>
  <c r="G39" i="15"/>
  <c r="D40" i="15" s="1"/>
  <c r="J11" i="15"/>
  <c r="G39" i="16"/>
  <c r="I21" i="16" s="1"/>
  <c r="J9" i="16"/>
  <c r="I9" i="16"/>
  <c r="J18" i="16"/>
  <c r="I18" i="16"/>
  <c r="I29" i="16"/>
  <c r="H29" i="16"/>
  <c r="I38" i="16"/>
  <c r="H38" i="16"/>
  <c r="I9" i="17"/>
  <c r="H9" i="17"/>
  <c r="I18" i="17"/>
  <c r="H18" i="17"/>
  <c r="I27" i="17"/>
  <c r="H27" i="17"/>
  <c r="C45" i="17"/>
  <c r="J28" i="18"/>
  <c r="H28" i="18"/>
  <c r="J9" i="19"/>
  <c r="G21" i="19"/>
  <c r="D22" i="19" s="1"/>
  <c r="I9" i="19"/>
  <c r="J12" i="20"/>
  <c r="I12" i="20"/>
  <c r="J25" i="21"/>
  <c r="J33" i="21"/>
  <c r="H33" i="21"/>
  <c r="J13" i="22"/>
  <c r="I13" i="22"/>
  <c r="H13" i="22"/>
  <c r="H30" i="22" s="1"/>
  <c r="J15" i="23"/>
  <c r="H15" i="23"/>
  <c r="I13" i="24"/>
  <c r="H13" i="24"/>
  <c r="H43" i="24" s="1"/>
  <c r="J25" i="24"/>
  <c r="I25" i="24"/>
  <c r="G43" i="24"/>
  <c r="I39" i="24" s="1"/>
  <c r="J14" i="25"/>
  <c r="I14" i="25"/>
  <c r="H14" i="25"/>
  <c r="J25" i="25"/>
  <c r="I25" i="25"/>
  <c r="I33" i="25"/>
  <c r="I22" i="26"/>
  <c r="J21" i="27"/>
  <c r="I21" i="27"/>
  <c r="C49" i="27"/>
  <c r="I19" i="28"/>
  <c r="I24" i="28"/>
  <c r="H24" i="28"/>
  <c r="D39" i="28"/>
  <c r="J11" i="29"/>
  <c r="I11" i="29"/>
  <c r="H34" i="29"/>
  <c r="J34" i="29"/>
  <c r="I34" i="29"/>
  <c r="F44" i="29"/>
  <c r="H12" i="30"/>
  <c r="H38" i="30" s="1"/>
  <c r="J32" i="30"/>
  <c r="I32" i="30"/>
  <c r="H32" i="30"/>
  <c r="J36" i="30"/>
  <c r="I36" i="30"/>
  <c r="H36" i="30"/>
  <c r="H41" i="31"/>
  <c r="J34" i="31"/>
  <c r="I34" i="31"/>
  <c r="I40" i="31"/>
  <c r="G41" i="31"/>
  <c r="I20" i="31" s="1"/>
  <c r="H20" i="32"/>
  <c r="H45" i="32" s="1"/>
  <c r="G45" i="32"/>
  <c r="I32" i="32" s="1"/>
  <c r="J11" i="33"/>
  <c r="G44" i="33"/>
  <c r="I21" i="33" s="1"/>
  <c r="H11" i="33"/>
  <c r="H44" i="33" s="1"/>
  <c r="H17" i="33"/>
  <c r="I12" i="34"/>
  <c r="I28" i="34"/>
  <c r="H28" i="34"/>
  <c r="J28" i="34"/>
  <c r="H11" i="35"/>
  <c r="H40" i="35" s="1"/>
  <c r="G35" i="36"/>
  <c r="I33" i="36" s="1"/>
  <c r="J16" i="36"/>
  <c r="I16" i="36"/>
  <c r="E36" i="36"/>
  <c r="G44" i="37"/>
  <c r="I14" i="37" s="1"/>
  <c r="J30" i="42"/>
  <c r="H30" i="42"/>
  <c r="H23" i="51"/>
  <c r="J28" i="45"/>
  <c r="H28" i="45"/>
  <c r="J34" i="48"/>
  <c r="H34" i="48"/>
  <c r="J37" i="48"/>
  <c r="I37" i="48"/>
  <c r="H37" i="48"/>
  <c r="H14" i="49"/>
  <c r="J14" i="49"/>
  <c r="I14" i="49"/>
  <c r="G40" i="49"/>
  <c r="H17" i="51"/>
  <c r="J17" i="51"/>
  <c r="I11" i="55"/>
  <c r="J11" i="55"/>
  <c r="H11" i="55"/>
  <c r="G44" i="55"/>
  <c r="H35" i="56"/>
  <c r="I29" i="60"/>
  <c r="H29" i="60"/>
  <c r="J29" i="60"/>
  <c r="I41" i="73"/>
  <c r="I28" i="73"/>
  <c r="I19" i="73"/>
  <c r="I10" i="73"/>
  <c r="I39" i="73"/>
  <c r="I33" i="73"/>
  <c r="I24" i="73"/>
  <c r="I15" i="73"/>
  <c r="I37" i="73"/>
  <c r="I34" i="73"/>
  <c r="I32" i="73"/>
  <c r="I25" i="73"/>
  <c r="I23" i="73"/>
  <c r="I36" i="73"/>
  <c r="I16" i="73"/>
  <c r="I14" i="73"/>
  <c r="I38" i="73"/>
  <c r="I30" i="73"/>
  <c r="I12" i="73"/>
  <c r="I21" i="73"/>
  <c r="G38" i="18"/>
  <c r="I22" i="18" s="1"/>
  <c r="G37" i="26"/>
  <c r="D38" i="26" s="1"/>
  <c r="I40" i="29"/>
  <c r="I23" i="30"/>
  <c r="H23" i="30"/>
  <c r="I29" i="30"/>
  <c r="H29" i="30"/>
  <c r="E39" i="30"/>
  <c r="J10" i="31"/>
  <c r="I10" i="31"/>
  <c r="J16" i="31"/>
  <c r="I16" i="31"/>
  <c r="J22" i="31"/>
  <c r="I22" i="31"/>
  <c r="J28" i="31"/>
  <c r="I28" i="31"/>
  <c r="J42" i="33"/>
  <c r="D45" i="33"/>
  <c r="C39" i="34"/>
  <c r="I14" i="35"/>
  <c r="J35" i="35"/>
  <c r="I35" i="35"/>
  <c r="J31" i="36"/>
  <c r="I31" i="36"/>
  <c r="J17" i="37"/>
  <c r="I17" i="37"/>
  <c r="J24" i="39"/>
  <c r="H12" i="40"/>
  <c r="J12" i="40"/>
  <c r="J16" i="40"/>
  <c r="H16" i="40"/>
  <c r="I27" i="40"/>
  <c r="J17" i="41"/>
  <c r="I17" i="41"/>
  <c r="H17" i="41"/>
  <c r="J29" i="41"/>
  <c r="I29" i="41"/>
  <c r="J24" i="42"/>
  <c r="I44" i="42"/>
  <c r="H44" i="42"/>
  <c r="J29" i="44"/>
  <c r="I29" i="44"/>
  <c r="H29" i="44"/>
  <c r="J10" i="48"/>
  <c r="I10" i="48"/>
  <c r="G48" i="48"/>
  <c r="I34" i="48" s="1"/>
  <c r="H10" i="48"/>
  <c r="C49" i="48"/>
  <c r="I39" i="49"/>
  <c r="H39" i="49"/>
  <c r="J21" i="50"/>
  <c r="H21" i="50"/>
  <c r="I19" i="52"/>
  <c r="J19" i="52"/>
  <c r="H19" i="52"/>
  <c r="H37" i="52"/>
  <c r="J35" i="56"/>
  <c r="C46" i="56"/>
  <c r="J29" i="59"/>
  <c r="H29" i="59"/>
  <c r="H29" i="29"/>
  <c r="H38" i="29"/>
  <c r="H40" i="29"/>
  <c r="J9" i="30"/>
  <c r="I9" i="30"/>
  <c r="J15" i="30"/>
  <c r="I15" i="30"/>
  <c r="J21" i="30"/>
  <c r="I21" i="30"/>
  <c r="J23" i="30"/>
  <c r="H10" i="31"/>
  <c r="H16" i="31"/>
  <c r="H22" i="31"/>
  <c r="H28" i="31"/>
  <c r="C42" i="31"/>
  <c r="J11" i="32"/>
  <c r="J17" i="32"/>
  <c r="J23" i="32"/>
  <c r="I23" i="32"/>
  <c r="J29" i="32"/>
  <c r="H42" i="33"/>
  <c r="I22" i="34"/>
  <c r="H22" i="34"/>
  <c r="I31" i="34"/>
  <c r="H31" i="34"/>
  <c r="I12" i="35"/>
  <c r="H14" i="35"/>
  <c r="I19" i="35"/>
  <c r="J24" i="35"/>
  <c r="I24" i="35"/>
  <c r="I33" i="35"/>
  <c r="H35" i="35"/>
  <c r="D41" i="35"/>
  <c r="I10" i="36"/>
  <c r="H10" i="36"/>
  <c r="H35" i="36" s="1"/>
  <c r="J23" i="36"/>
  <c r="I23" i="36"/>
  <c r="H23" i="36"/>
  <c r="H31" i="36"/>
  <c r="H17" i="37"/>
  <c r="J20" i="37"/>
  <c r="I20" i="37"/>
  <c r="C45" i="37"/>
  <c r="H24" i="39"/>
  <c r="J36" i="39"/>
  <c r="H36" i="39"/>
  <c r="J25" i="40"/>
  <c r="I25" i="40"/>
  <c r="J18" i="41"/>
  <c r="I18" i="41"/>
  <c r="H18" i="41"/>
  <c r="H29" i="41"/>
  <c r="J18" i="42"/>
  <c r="H24" i="42"/>
  <c r="H46" i="42" s="1"/>
  <c r="J41" i="42"/>
  <c r="H41" i="42"/>
  <c r="C40" i="43"/>
  <c r="J9" i="44"/>
  <c r="I9" i="44"/>
  <c r="H9" i="44"/>
  <c r="G48" i="44"/>
  <c r="J30" i="44"/>
  <c r="I30" i="44"/>
  <c r="H30" i="44"/>
  <c r="H35" i="45"/>
  <c r="D49" i="48"/>
  <c r="I33" i="49"/>
  <c r="J16" i="50"/>
  <c r="I16" i="50"/>
  <c r="H16" i="50"/>
  <c r="H41" i="50"/>
  <c r="J41" i="50"/>
  <c r="J10" i="52"/>
  <c r="J21" i="56"/>
  <c r="J33" i="56"/>
  <c r="H33" i="56"/>
  <c r="I33" i="31"/>
  <c r="H33" i="31"/>
  <c r="I39" i="31"/>
  <c r="H39" i="31"/>
  <c r="D42" i="31"/>
  <c r="I36" i="32"/>
  <c r="H36" i="32"/>
  <c r="J16" i="33"/>
  <c r="H24" i="33"/>
  <c r="I30" i="33"/>
  <c r="H30" i="33"/>
  <c r="I36" i="33"/>
  <c r="H36" i="33"/>
  <c r="J11" i="34"/>
  <c r="I11" i="34"/>
  <c r="E39" i="34"/>
  <c r="I29" i="35"/>
  <c r="H29" i="35"/>
  <c r="J38" i="35"/>
  <c r="I38" i="35"/>
  <c r="E41" i="35"/>
  <c r="J18" i="36"/>
  <c r="I18" i="36"/>
  <c r="H18" i="36"/>
  <c r="I21" i="36"/>
  <c r="I26" i="36"/>
  <c r="H26" i="36"/>
  <c r="I29" i="36"/>
  <c r="C36" i="36"/>
  <c r="J23" i="37"/>
  <c r="I23" i="37"/>
  <c r="I28" i="37"/>
  <c r="H28" i="37"/>
  <c r="J31" i="37"/>
  <c r="I31" i="37"/>
  <c r="I39" i="37"/>
  <c r="H39" i="37"/>
  <c r="J42" i="37"/>
  <c r="I42" i="37"/>
  <c r="D45" i="37"/>
  <c r="J11" i="38"/>
  <c r="J14" i="40"/>
  <c r="I14" i="40"/>
  <c r="C40" i="40"/>
  <c r="J15" i="41"/>
  <c r="J12" i="42"/>
  <c r="I12" i="42"/>
  <c r="G46" i="42"/>
  <c r="I36" i="42" s="1"/>
  <c r="H42" i="42"/>
  <c r="J27" i="44"/>
  <c r="I27" i="44"/>
  <c r="C49" i="44"/>
  <c r="I18" i="48"/>
  <c r="J25" i="48"/>
  <c r="I25" i="48"/>
  <c r="H25" i="48"/>
  <c r="I46" i="48"/>
  <c r="H26" i="49"/>
  <c r="I26" i="49"/>
  <c r="I29" i="51"/>
  <c r="J29" i="51"/>
  <c r="H29" i="51"/>
  <c r="H37" i="51"/>
  <c r="J31" i="53"/>
  <c r="H31" i="53"/>
  <c r="J11" i="59"/>
  <c r="H11" i="59"/>
  <c r="I26" i="29"/>
  <c r="H35" i="29"/>
  <c r="H24" i="30"/>
  <c r="I26" i="30"/>
  <c r="H26" i="30"/>
  <c r="J13" i="31"/>
  <c r="I13" i="31"/>
  <c r="J19" i="31"/>
  <c r="I19" i="31"/>
  <c r="J25" i="31"/>
  <c r="I25" i="31"/>
  <c r="J31" i="31"/>
  <c r="I31" i="31"/>
  <c r="J33" i="31"/>
  <c r="J39" i="31"/>
  <c r="H41" i="32"/>
  <c r="H16" i="33"/>
  <c r="J24" i="33"/>
  <c r="J30" i="33"/>
  <c r="J36" i="33"/>
  <c r="I43" i="33"/>
  <c r="I9" i="34"/>
  <c r="H11" i="34"/>
  <c r="H38" i="34" s="1"/>
  <c r="I16" i="34"/>
  <c r="H16" i="34"/>
  <c r="I25" i="34"/>
  <c r="H25" i="34"/>
  <c r="I34" i="34"/>
  <c r="H34" i="34"/>
  <c r="J29" i="35"/>
  <c r="I36" i="35"/>
  <c r="H38" i="35"/>
  <c r="I13" i="36"/>
  <c r="H13" i="36"/>
  <c r="H21" i="36"/>
  <c r="H29" i="36"/>
  <c r="D36" i="36"/>
  <c r="H23" i="37"/>
  <c r="H31" i="37"/>
  <c r="J34" i="37"/>
  <c r="I34" i="37"/>
  <c r="H42" i="37"/>
  <c r="E45" i="37"/>
  <c r="G44" i="38"/>
  <c r="C45" i="38" s="1"/>
  <c r="H11" i="38"/>
  <c r="J14" i="38"/>
  <c r="H14" i="40"/>
  <c r="H21" i="40"/>
  <c r="I21" i="40"/>
  <c r="H15" i="41"/>
  <c r="H12" i="42"/>
  <c r="J39" i="42"/>
  <c r="I39" i="42"/>
  <c r="J14" i="44"/>
  <c r="I14" i="44"/>
  <c r="H14" i="44"/>
  <c r="H27" i="44"/>
  <c r="J14" i="45"/>
  <c r="H39" i="50"/>
  <c r="F45" i="50"/>
  <c r="J24" i="53"/>
  <c r="I24" i="53"/>
  <c r="H24" i="53"/>
  <c r="G40" i="53"/>
  <c r="I27" i="58"/>
  <c r="J27" i="58"/>
  <c r="H27" i="58"/>
  <c r="H41" i="60"/>
  <c r="H21" i="61"/>
  <c r="J21" i="61"/>
  <c r="I36" i="38"/>
  <c r="I40" i="38"/>
  <c r="J10" i="40"/>
  <c r="H10" i="40"/>
  <c r="H39" i="40" s="1"/>
  <c r="J19" i="40"/>
  <c r="H19" i="40"/>
  <c r="J23" i="41"/>
  <c r="H23" i="41"/>
  <c r="J34" i="41"/>
  <c r="I34" i="41"/>
  <c r="H34" i="41"/>
  <c r="J39" i="41"/>
  <c r="H39" i="41"/>
  <c r="E47" i="42"/>
  <c r="J13" i="43"/>
  <c r="J20" i="43"/>
  <c r="I20" i="43"/>
  <c r="H20" i="43"/>
  <c r="J30" i="43"/>
  <c r="H30" i="43"/>
  <c r="I38" i="43"/>
  <c r="I12" i="44"/>
  <c r="J17" i="44"/>
  <c r="I17" i="44"/>
  <c r="H17" i="44"/>
  <c r="J35" i="44"/>
  <c r="I35" i="44"/>
  <c r="H35" i="44"/>
  <c r="D49" i="44"/>
  <c r="J19" i="45"/>
  <c r="H19" i="45"/>
  <c r="H40" i="45"/>
  <c r="G43" i="46"/>
  <c r="E44" i="46" s="1"/>
  <c r="J9" i="46"/>
  <c r="J15" i="46"/>
  <c r="I17" i="46"/>
  <c r="J21" i="46"/>
  <c r="J27" i="46"/>
  <c r="I29" i="46"/>
  <c r="J33" i="46"/>
  <c r="I39" i="46"/>
  <c r="J10" i="47"/>
  <c r="I10" i="47"/>
  <c r="H10" i="47"/>
  <c r="J13" i="47"/>
  <c r="H13" i="47"/>
  <c r="H48" i="47" s="1"/>
  <c r="J16" i="47"/>
  <c r="I16" i="47"/>
  <c r="H16" i="47"/>
  <c r="J19" i="47"/>
  <c r="H19" i="47"/>
  <c r="J22" i="47"/>
  <c r="I22" i="47"/>
  <c r="H22" i="47"/>
  <c r="J25" i="47"/>
  <c r="H25" i="47"/>
  <c r="J28" i="47"/>
  <c r="I28" i="47"/>
  <c r="H28" i="47"/>
  <c r="J31" i="47"/>
  <c r="H31" i="47"/>
  <c r="E49" i="47"/>
  <c r="E49" i="48"/>
  <c r="J14" i="50"/>
  <c r="J28" i="50"/>
  <c r="I28" i="50"/>
  <c r="H28" i="50"/>
  <c r="J37" i="53"/>
  <c r="I37" i="53"/>
  <c r="H37" i="53"/>
  <c r="H19" i="54"/>
  <c r="J19" i="54"/>
  <c r="J28" i="55"/>
  <c r="H28" i="55"/>
  <c r="I28" i="55"/>
  <c r="J13" i="57"/>
  <c r="J35" i="62"/>
  <c r="H35" i="62"/>
  <c r="H16" i="69"/>
  <c r="J16" i="69"/>
  <c r="H18" i="38"/>
  <c r="I20" i="38"/>
  <c r="H27" i="38"/>
  <c r="I29" i="38"/>
  <c r="H36" i="38"/>
  <c r="H12" i="39"/>
  <c r="H42" i="39" s="1"/>
  <c r="H21" i="39"/>
  <c r="H30" i="39"/>
  <c r="G42" i="39"/>
  <c r="D43" i="39" s="1"/>
  <c r="I10" i="40"/>
  <c r="H17" i="40"/>
  <c r="I19" i="40"/>
  <c r="J22" i="40"/>
  <c r="I24" i="40"/>
  <c r="J28" i="40"/>
  <c r="I28" i="40"/>
  <c r="I30" i="40"/>
  <c r="H21" i="41"/>
  <c r="J26" i="41"/>
  <c r="I26" i="41"/>
  <c r="I28" i="41"/>
  <c r="H32" i="41"/>
  <c r="H37" i="41"/>
  <c r="H42" i="41"/>
  <c r="J9" i="42"/>
  <c r="I9" i="42"/>
  <c r="I11" i="42"/>
  <c r="J15" i="42"/>
  <c r="J21" i="42"/>
  <c r="I21" i="42"/>
  <c r="I23" i="42"/>
  <c r="J27" i="42"/>
  <c r="J33" i="42"/>
  <c r="I33" i="42"/>
  <c r="I35" i="42"/>
  <c r="H13" i="43"/>
  <c r="I23" i="43"/>
  <c r="H23" i="43"/>
  <c r="J28" i="43"/>
  <c r="J33" i="43"/>
  <c r="H33" i="43"/>
  <c r="H12" i="44"/>
  <c r="H15" i="44"/>
  <c r="J20" i="44"/>
  <c r="I20" i="44"/>
  <c r="H20" i="44"/>
  <c r="H33" i="44"/>
  <c r="J38" i="44"/>
  <c r="I38" i="44"/>
  <c r="H38" i="44"/>
  <c r="J46" i="44"/>
  <c r="I46" i="44"/>
  <c r="H46" i="44"/>
  <c r="J17" i="45"/>
  <c r="J22" i="45"/>
  <c r="H22" i="45"/>
  <c r="H33" i="45"/>
  <c r="J38" i="45"/>
  <c r="H9" i="46"/>
  <c r="H43" i="46" s="1"/>
  <c r="H15" i="46"/>
  <c r="H21" i="46"/>
  <c r="H27" i="46"/>
  <c r="H33" i="46"/>
  <c r="H39" i="46"/>
  <c r="I36" i="47"/>
  <c r="J36" i="47"/>
  <c r="F49" i="47"/>
  <c r="J14" i="48"/>
  <c r="I14" i="48"/>
  <c r="H14" i="48"/>
  <c r="H19" i="48"/>
  <c r="J19" i="48"/>
  <c r="J23" i="48"/>
  <c r="I23" i="48"/>
  <c r="I31" i="48"/>
  <c r="I42" i="48"/>
  <c r="J42" i="48"/>
  <c r="H42" i="48"/>
  <c r="F49" i="48"/>
  <c r="I12" i="49"/>
  <c r="J12" i="49"/>
  <c r="H12" i="49"/>
  <c r="I18" i="49"/>
  <c r="H18" i="49"/>
  <c r="H10" i="50"/>
  <c r="H44" i="50" s="1"/>
  <c r="G44" i="50"/>
  <c r="H14" i="50"/>
  <c r="J31" i="50"/>
  <c r="I31" i="50"/>
  <c r="I40" i="50"/>
  <c r="J43" i="50"/>
  <c r="J10" i="51"/>
  <c r="H10" i="51"/>
  <c r="J15" i="52"/>
  <c r="I24" i="52"/>
  <c r="H24" i="52"/>
  <c r="H39" i="52" s="1"/>
  <c r="J22" i="53"/>
  <c r="I22" i="53"/>
  <c r="H22" i="53"/>
  <c r="I29" i="53"/>
  <c r="H29" i="53"/>
  <c r="F41" i="53"/>
  <c r="J13" i="55"/>
  <c r="H13" i="55"/>
  <c r="I13" i="55"/>
  <c r="H13" i="57"/>
  <c r="J26" i="57"/>
  <c r="I26" i="57"/>
  <c r="H26" i="57"/>
  <c r="J23" i="62"/>
  <c r="I15" i="38"/>
  <c r="I24" i="38"/>
  <c r="I33" i="38"/>
  <c r="J13" i="40"/>
  <c r="H13" i="40"/>
  <c r="J33" i="40"/>
  <c r="I33" i="40"/>
  <c r="G43" i="41"/>
  <c r="F44" i="41" s="1"/>
  <c r="J9" i="41"/>
  <c r="J11" i="41"/>
  <c r="I11" i="41"/>
  <c r="H11" i="41"/>
  <c r="C44" i="41"/>
  <c r="I18" i="43"/>
  <c r="H18" i="43"/>
  <c r="H39" i="43" s="1"/>
  <c r="J36" i="43"/>
  <c r="H36" i="43"/>
  <c r="J23" i="44"/>
  <c r="I23" i="44"/>
  <c r="H23" i="44"/>
  <c r="J41" i="44"/>
  <c r="I41" i="44"/>
  <c r="H41" i="44"/>
  <c r="I44" i="44"/>
  <c r="G41" i="45"/>
  <c r="I14" i="45" s="1"/>
  <c r="J9" i="45"/>
  <c r="H11" i="45"/>
  <c r="J25" i="45"/>
  <c r="I27" i="45"/>
  <c r="J31" i="45"/>
  <c r="J47" i="47"/>
  <c r="I47" i="47"/>
  <c r="G48" i="47"/>
  <c r="C49" i="47" s="1"/>
  <c r="I29" i="48"/>
  <c r="H47" i="48"/>
  <c r="J47" i="48"/>
  <c r="I24" i="49"/>
  <c r="H24" i="49"/>
  <c r="I30" i="49"/>
  <c r="I15" i="51"/>
  <c r="J15" i="51"/>
  <c r="H31" i="51"/>
  <c r="J31" i="51"/>
  <c r="J33" i="52"/>
  <c r="H26" i="53"/>
  <c r="H40" i="53" s="1"/>
  <c r="I26" i="53"/>
  <c r="I39" i="53"/>
  <c r="J17" i="54"/>
  <c r="I17" i="54"/>
  <c r="H17" i="54"/>
  <c r="J27" i="54"/>
  <c r="H27" i="54"/>
  <c r="J38" i="54"/>
  <c r="I38" i="54"/>
  <c r="J19" i="55"/>
  <c r="H19" i="55"/>
  <c r="I37" i="55"/>
  <c r="J37" i="55"/>
  <c r="H37" i="55"/>
  <c r="C45" i="55"/>
  <c r="J15" i="62"/>
  <c r="H15" i="62"/>
  <c r="H9" i="38"/>
  <c r="H15" i="38"/>
  <c r="I17" i="38"/>
  <c r="H24" i="38"/>
  <c r="I26" i="38"/>
  <c r="H33" i="38"/>
  <c r="J43" i="38"/>
  <c r="H43" i="38"/>
  <c r="H18" i="39"/>
  <c r="H27" i="39"/>
  <c r="I29" i="39"/>
  <c r="J35" i="39"/>
  <c r="H35" i="39"/>
  <c r="H11" i="40"/>
  <c r="I13" i="40"/>
  <c r="H20" i="40"/>
  <c r="H33" i="40"/>
  <c r="I38" i="40"/>
  <c r="G39" i="40"/>
  <c r="I36" i="40" s="1"/>
  <c r="H9" i="41"/>
  <c r="J14" i="41"/>
  <c r="I14" i="41"/>
  <c r="H14" i="41"/>
  <c r="J38" i="42"/>
  <c r="H38" i="42"/>
  <c r="J10" i="43"/>
  <c r="H34" i="43"/>
  <c r="I11" i="44"/>
  <c r="H21" i="44"/>
  <c r="J26" i="44"/>
  <c r="I26" i="44"/>
  <c r="H26" i="44"/>
  <c r="H39" i="44"/>
  <c r="H44" i="44"/>
  <c r="H47" i="44"/>
  <c r="H9" i="45"/>
  <c r="H25" i="45"/>
  <c r="H31" i="45"/>
  <c r="J12" i="46"/>
  <c r="I12" i="46"/>
  <c r="I14" i="46"/>
  <c r="J18" i="46"/>
  <c r="J24" i="46"/>
  <c r="I24" i="46"/>
  <c r="I26" i="46"/>
  <c r="J30" i="46"/>
  <c r="J36" i="46"/>
  <c r="I36" i="46"/>
  <c r="I38" i="46"/>
  <c r="J41" i="46"/>
  <c r="J42" i="47"/>
  <c r="I42" i="47"/>
  <c r="H42" i="47"/>
  <c r="H47" i="47"/>
  <c r="I12" i="48"/>
  <c r="H12" i="48"/>
  <c r="I47" i="48"/>
  <c r="I16" i="49"/>
  <c r="H16" i="49"/>
  <c r="H40" i="49" s="1"/>
  <c r="J20" i="49"/>
  <c r="I20" i="49"/>
  <c r="E41" i="49"/>
  <c r="H12" i="50"/>
  <c r="J12" i="50"/>
  <c r="I25" i="50"/>
  <c r="I36" i="50"/>
  <c r="J36" i="50"/>
  <c r="H36" i="50"/>
  <c r="H15" i="51"/>
  <c r="H33" i="52"/>
  <c r="I27" i="53"/>
  <c r="H39" i="53"/>
  <c r="H38" i="54"/>
  <c r="I19" i="55"/>
  <c r="G45" i="56"/>
  <c r="I21" i="56" s="1"/>
  <c r="H23" i="56"/>
  <c r="I10" i="62"/>
  <c r="H10" i="62"/>
  <c r="I36" i="64"/>
  <c r="I33" i="64"/>
  <c r="I30" i="64"/>
  <c r="I27" i="64"/>
  <c r="I24" i="64"/>
  <c r="I21" i="64"/>
  <c r="I18" i="64"/>
  <c r="I15" i="64"/>
  <c r="I12" i="64"/>
  <c r="I9" i="64"/>
  <c r="I26" i="64"/>
  <c r="I23" i="64"/>
  <c r="I32" i="64"/>
  <c r="I14" i="64"/>
  <c r="I35" i="64"/>
  <c r="I29" i="64"/>
  <c r="I20" i="64"/>
  <c r="F39" i="64"/>
  <c r="I17" i="64"/>
  <c r="I11" i="64"/>
  <c r="I39" i="48"/>
  <c r="I22" i="49"/>
  <c r="I36" i="49"/>
  <c r="I33" i="50"/>
  <c r="I35" i="53"/>
  <c r="I11" i="54"/>
  <c r="G40" i="54"/>
  <c r="I29" i="54" s="1"/>
  <c r="H11" i="54"/>
  <c r="H40" i="54" s="1"/>
  <c r="I20" i="55"/>
  <c r="J22" i="55"/>
  <c r="H22" i="55"/>
  <c r="I14" i="56"/>
  <c r="H14" i="56"/>
  <c r="J14" i="56"/>
  <c r="H26" i="56"/>
  <c r="H45" i="56" s="1"/>
  <c r="J26" i="56"/>
  <c r="I38" i="56"/>
  <c r="H38" i="56"/>
  <c r="J38" i="56"/>
  <c r="I25" i="58"/>
  <c r="J28" i="58"/>
  <c r="I28" i="58"/>
  <c r="H28" i="58"/>
  <c r="H38" i="58"/>
  <c r="J15" i="59"/>
  <c r="J23" i="59"/>
  <c r="H23" i="59"/>
  <c r="J9" i="60"/>
  <c r="I9" i="60"/>
  <c r="G44" i="60"/>
  <c r="I23" i="60" s="1"/>
  <c r="H23" i="60"/>
  <c r="H18" i="63"/>
  <c r="J18" i="63"/>
  <c r="G39" i="43"/>
  <c r="F40" i="43" s="1"/>
  <c r="I36" i="48"/>
  <c r="I34" i="49"/>
  <c r="C41" i="49"/>
  <c r="D41" i="53"/>
  <c r="I25" i="54"/>
  <c r="H9" i="55"/>
  <c r="J9" i="55"/>
  <c r="I29" i="55"/>
  <c r="J31" i="55"/>
  <c r="H31" i="55"/>
  <c r="I12" i="56"/>
  <c r="H12" i="56"/>
  <c r="H17" i="56"/>
  <c r="I29" i="56"/>
  <c r="H29" i="56"/>
  <c r="I41" i="56"/>
  <c r="H41" i="56"/>
  <c r="J9" i="57"/>
  <c r="G27" i="57"/>
  <c r="I13" i="57" s="1"/>
  <c r="I9" i="57"/>
  <c r="I19" i="58"/>
  <c r="H19" i="58"/>
  <c r="C40" i="58"/>
  <c r="H14" i="61"/>
  <c r="J43" i="62"/>
  <c r="J29" i="65"/>
  <c r="H29" i="65"/>
  <c r="I32" i="65"/>
  <c r="J32" i="65"/>
  <c r="H32" i="65"/>
  <c r="J24" i="71"/>
  <c r="H24" i="71"/>
  <c r="I44" i="47"/>
  <c r="I46" i="47"/>
  <c r="H9" i="48"/>
  <c r="J16" i="48"/>
  <c r="H22" i="48"/>
  <c r="J27" i="48"/>
  <c r="I33" i="48"/>
  <c r="H36" i="48"/>
  <c r="J39" i="48"/>
  <c r="I9" i="49"/>
  <c r="I17" i="49"/>
  <c r="I32" i="49"/>
  <c r="H34" i="49"/>
  <c r="J36" i="49"/>
  <c r="H13" i="50"/>
  <c r="I27" i="50"/>
  <c r="H30" i="50"/>
  <c r="J33" i="50"/>
  <c r="H42" i="50"/>
  <c r="G38" i="51"/>
  <c r="I25" i="51" s="1"/>
  <c r="J35" i="51"/>
  <c r="I9" i="52"/>
  <c r="G39" i="52"/>
  <c r="D40" i="52" s="1"/>
  <c r="J9" i="52"/>
  <c r="J12" i="52"/>
  <c r="I27" i="52"/>
  <c r="J27" i="52"/>
  <c r="J30" i="52"/>
  <c r="I14" i="53"/>
  <c r="I17" i="53"/>
  <c r="I12" i="54"/>
  <c r="J14" i="54"/>
  <c r="H14" i="54"/>
  <c r="H25" i="54"/>
  <c r="I28" i="54"/>
  <c r="J35" i="54"/>
  <c r="I9" i="55"/>
  <c r="H18" i="55"/>
  <c r="J18" i="55"/>
  <c r="J20" i="55"/>
  <c r="H29" i="55"/>
  <c r="I31" i="55"/>
  <c r="H15" i="56"/>
  <c r="J17" i="56"/>
  <c r="H27" i="56"/>
  <c r="J29" i="56"/>
  <c r="H39" i="56"/>
  <c r="J42" i="56"/>
  <c r="H42" i="56"/>
  <c r="J44" i="56"/>
  <c r="H44" i="56"/>
  <c r="H9" i="57"/>
  <c r="H27" i="57" s="1"/>
  <c r="J16" i="57"/>
  <c r="I20" i="57"/>
  <c r="E28" i="57"/>
  <c r="H17" i="60"/>
  <c r="I35" i="60"/>
  <c r="H35" i="60"/>
  <c r="J14" i="61"/>
  <c r="I30" i="61"/>
  <c r="H30" i="61"/>
  <c r="J30" i="61"/>
  <c r="I17" i="62"/>
  <c r="H17" i="62"/>
  <c r="J17" i="62"/>
  <c r="H43" i="62"/>
  <c r="J19" i="64"/>
  <c r="I19" i="64"/>
  <c r="H19" i="64"/>
  <c r="J25" i="64"/>
  <c r="I25" i="64"/>
  <c r="H25" i="64"/>
  <c r="J28" i="64"/>
  <c r="I28" i="64"/>
  <c r="H28" i="64"/>
  <c r="I30" i="48"/>
  <c r="I29" i="49"/>
  <c r="I24" i="50"/>
  <c r="D45" i="50"/>
  <c r="I11" i="53"/>
  <c r="I15" i="53"/>
  <c r="H28" i="53"/>
  <c r="J28" i="53"/>
  <c r="I34" i="53"/>
  <c r="H26" i="54"/>
  <c r="J10" i="55"/>
  <c r="H10" i="55"/>
  <c r="H27" i="55"/>
  <c r="J27" i="55"/>
  <c r="I42" i="55"/>
  <c r="E45" i="55"/>
  <c r="I20" i="56"/>
  <c r="H20" i="56"/>
  <c r="J20" i="56"/>
  <c r="H32" i="56"/>
  <c r="J32" i="56"/>
  <c r="J10" i="57"/>
  <c r="H10" i="57"/>
  <c r="J12" i="57"/>
  <c r="I12" i="57"/>
  <c r="H12" i="57"/>
  <c r="H15" i="58"/>
  <c r="J15" i="58"/>
  <c r="I23" i="58"/>
  <c r="H23" i="58"/>
  <c r="J38" i="61"/>
  <c r="I38" i="61"/>
  <c r="D42" i="61"/>
  <c r="J30" i="62"/>
  <c r="H30" i="62"/>
  <c r="H30" i="63"/>
  <c r="J30" i="63"/>
  <c r="J33" i="63"/>
  <c r="H33" i="63"/>
  <c r="I17" i="65"/>
  <c r="H17" i="65"/>
  <c r="D40" i="58"/>
  <c r="J10" i="60"/>
  <c r="I15" i="61"/>
  <c r="J17" i="61"/>
  <c r="I17" i="61"/>
  <c r="H17" i="61"/>
  <c r="H39" i="61"/>
  <c r="J36" i="62"/>
  <c r="I36" i="62"/>
  <c r="H21" i="63"/>
  <c r="J21" i="63"/>
  <c r="J21" i="65"/>
  <c r="H21" i="65"/>
  <c r="H31" i="70"/>
  <c r="J13" i="71"/>
  <c r="I13" i="71"/>
  <c r="H13" i="71"/>
  <c r="J17" i="72"/>
  <c r="H17" i="72"/>
  <c r="H21" i="72"/>
  <c r="I21" i="72"/>
  <c r="J21" i="72"/>
  <c r="H40" i="73"/>
  <c r="J40" i="73"/>
  <c r="I40" i="73"/>
  <c r="I38" i="52"/>
  <c r="I21" i="53"/>
  <c r="I37" i="54"/>
  <c r="I33" i="55"/>
  <c r="H33" i="55"/>
  <c r="J39" i="55"/>
  <c r="I39" i="55"/>
  <c r="F45" i="55"/>
  <c r="I13" i="58"/>
  <c r="I30" i="58"/>
  <c r="J30" i="58"/>
  <c r="H18" i="59"/>
  <c r="J24" i="59"/>
  <c r="J34" i="59"/>
  <c r="H10" i="60"/>
  <c r="H44" i="60" s="1"/>
  <c r="H15" i="61"/>
  <c r="H24" i="61"/>
  <c r="J26" i="61"/>
  <c r="I26" i="61"/>
  <c r="H26" i="61"/>
  <c r="H40" i="61"/>
  <c r="I18" i="62"/>
  <c r="H18" i="62"/>
  <c r="J26" i="62"/>
  <c r="J32" i="62"/>
  <c r="I32" i="62"/>
  <c r="H36" i="62"/>
  <c r="H34" i="63"/>
  <c r="J34" i="63"/>
  <c r="J36" i="63"/>
  <c r="H36" i="63"/>
  <c r="I37" i="64"/>
  <c r="H37" i="64"/>
  <c r="H35" i="67"/>
  <c r="H33" i="72"/>
  <c r="J33" i="72"/>
  <c r="J41" i="72"/>
  <c r="H41" i="72"/>
  <c r="G39" i="58"/>
  <c r="I21" i="58" s="1"/>
  <c r="I37" i="58"/>
  <c r="H37" i="58"/>
  <c r="J14" i="59"/>
  <c r="J20" i="59"/>
  <c r="F45" i="60"/>
  <c r="J20" i="61"/>
  <c r="I20" i="61"/>
  <c r="J35" i="61"/>
  <c r="I35" i="61"/>
  <c r="H35" i="61"/>
  <c r="I9" i="62"/>
  <c r="H9" i="62"/>
  <c r="G49" i="62"/>
  <c r="I30" i="62" s="1"/>
  <c r="J39" i="63"/>
  <c r="H39" i="63"/>
  <c r="J10" i="64"/>
  <c r="I10" i="64"/>
  <c r="H10" i="64"/>
  <c r="J40" i="65"/>
  <c r="H40" i="65"/>
  <c r="I40" i="65"/>
  <c r="C46" i="67"/>
  <c r="H12" i="68"/>
  <c r="J22" i="68"/>
  <c r="H22" i="68"/>
  <c r="G38" i="68"/>
  <c r="I12" i="68" s="1"/>
  <c r="I22" i="54"/>
  <c r="J36" i="55"/>
  <c r="I36" i="55"/>
  <c r="I24" i="57"/>
  <c r="H9" i="58"/>
  <c r="H39" i="58" s="1"/>
  <c r="I14" i="58"/>
  <c r="H14" i="58"/>
  <c r="H35" i="58"/>
  <c r="J37" i="58"/>
  <c r="G37" i="59"/>
  <c r="I15" i="59" s="1"/>
  <c r="H14" i="59"/>
  <c r="H37" i="59" s="1"/>
  <c r="H20" i="59"/>
  <c r="I43" i="60"/>
  <c r="G41" i="61"/>
  <c r="I21" i="61" s="1"/>
  <c r="J9" i="61"/>
  <c r="I9" i="61"/>
  <c r="I11" i="61"/>
  <c r="H11" i="61"/>
  <c r="H41" i="61" s="1"/>
  <c r="J11" i="61"/>
  <c r="H20" i="61"/>
  <c r="J29" i="61"/>
  <c r="I29" i="61"/>
  <c r="J9" i="62"/>
  <c r="J27" i="62"/>
  <c r="I27" i="62"/>
  <c r="I27" i="63"/>
  <c r="H27" i="63"/>
  <c r="D39" i="64"/>
  <c r="H34" i="66"/>
  <c r="J34" i="66"/>
  <c r="I37" i="68"/>
  <c r="H37" i="68"/>
  <c r="H34" i="69"/>
  <c r="J34" i="69"/>
  <c r="H43" i="63"/>
  <c r="J22" i="64"/>
  <c r="I22" i="64"/>
  <c r="H22" i="64"/>
  <c r="C39" i="64"/>
  <c r="D43" i="65"/>
  <c r="J11" i="66"/>
  <c r="J24" i="66"/>
  <c r="H24" i="66"/>
  <c r="I17" i="67"/>
  <c r="J17" i="67"/>
  <c r="H17" i="67"/>
  <c r="J21" i="69"/>
  <c r="J18" i="71"/>
  <c r="H18" i="71"/>
  <c r="J29" i="71"/>
  <c r="H29" i="71"/>
  <c r="J32" i="71"/>
  <c r="H32" i="71"/>
  <c r="D37" i="71"/>
  <c r="J27" i="73"/>
  <c r="I27" i="73"/>
  <c r="H27" i="73"/>
  <c r="I44" i="73"/>
  <c r="H44" i="73"/>
  <c r="J38" i="78"/>
  <c r="I38" i="78"/>
  <c r="H38" i="78"/>
  <c r="H25" i="80"/>
  <c r="H33" i="80"/>
  <c r="J18" i="67"/>
  <c r="H18" i="67"/>
  <c r="H27" i="67"/>
  <c r="I26" i="68"/>
  <c r="J26" i="68"/>
  <c r="J14" i="69"/>
  <c r="H14" i="69"/>
  <c r="H21" i="69"/>
  <c r="J30" i="69"/>
  <c r="I18" i="71"/>
  <c r="H33" i="71"/>
  <c r="I33" i="71"/>
  <c r="J33" i="71"/>
  <c r="H24" i="72"/>
  <c r="J24" i="72"/>
  <c r="I20" i="58"/>
  <c r="J17" i="59"/>
  <c r="J26" i="59"/>
  <c r="J12" i="60"/>
  <c r="I12" i="60"/>
  <c r="J38" i="60"/>
  <c r="I38" i="60"/>
  <c r="I14" i="62"/>
  <c r="H14" i="62"/>
  <c r="J20" i="62"/>
  <c r="I20" i="62"/>
  <c r="J29" i="62"/>
  <c r="J38" i="62"/>
  <c r="F50" i="62"/>
  <c r="H41" i="63"/>
  <c r="J13" i="64"/>
  <c r="I13" i="64"/>
  <c r="H13" i="64"/>
  <c r="H38" i="64" s="1"/>
  <c r="J31" i="64"/>
  <c r="I31" i="64"/>
  <c r="H31" i="64"/>
  <c r="G42" i="65"/>
  <c r="C43" i="65" s="1"/>
  <c r="J9" i="65"/>
  <c r="I9" i="65"/>
  <c r="I23" i="67"/>
  <c r="J23" i="67"/>
  <c r="J25" i="69"/>
  <c r="H25" i="69"/>
  <c r="G37" i="70"/>
  <c r="F38" i="70" s="1"/>
  <c r="J16" i="71"/>
  <c r="I16" i="71"/>
  <c r="H16" i="71"/>
  <c r="J27" i="71"/>
  <c r="I27" i="71"/>
  <c r="H27" i="71"/>
  <c r="G48" i="72"/>
  <c r="I24" i="72" s="1"/>
  <c r="J10" i="72"/>
  <c r="H18" i="72"/>
  <c r="I18" i="72"/>
  <c r="J18" i="72"/>
  <c r="I25" i="57"/>
  <c r="I18" i="58"/>
  <c r="I36" i="59"/>
  <c r="H36" i="59"/>
  <c r="I20" i="60"/>
  <c r="H20" i="60"/>
  <c r="I26" i="60"/>
  <c r="H26" i="60"/>
  <c r="I32" i="60"/>
  <c r="H32" i="60"/>
  <c r="J23" i="61"/>
  <c r="I23" i="61"/>
  <c r="J32" i="61"/>
  <c r="I32" i="61"/>
  <c r="F42" i="61"/>
  <c r="G46" i="63"/>
  <c r="I21" i="63" s="1"/>
  <c r="H9" i="63"/>
  <c r="H15" i="63"/>
  <c r="I24" i="63"/>
  <c r="H24" i="63"/>
  <c r="E47" i="63"/>
  <c r="J16" i="64"/>
  <c r="I16" i="64"/>
  <c r="H16" i="64"/>
  <c r="J34" i="64"/>
  <c r="I34" i="64"/>
  <c r="H34" i="64"/>
  <c r="J14" i="65"/>
  <c r="I14" i="65"/>
  <c r="H14" i="65"/>
  <c r="H42" i="65" s="1"/>
  <c r="J24" i="65"/>
  <c r="I24" i="65"/>
  <c r="H36" i="66"/>
  <c r="J36" i="66"/>
  <c r="G37" i="66"/>
  <c r="I34" i="66" s="1"/>
  <c r="H31" i="68"/>
  <c r="J31" i="68"/>
  <c r="J34" i="68"/>
  <c r="H34" i="68"/>
  <c r="C39" i="68"/>
  <c r="G45" i="69"/>
  <c r="D46" i="69" s="1"/>
  <c r="H9" i="69"/>
  <c r="J12" i="69"/>
  <c r="H12" i="69"/>
  <c r="H19" i="69"/>
  <c r="J19" i="69"/>
  <c r="H26" i="69"/>
  <c r="I26" i="65"/>
  <c r="E43" i="65"/>
  <c r="I13" i="66"/>
  <c r="I43" i="67"/>
  <c r="H43" i="67"/>
  <c r="D46" i="67"/>
  <c r="I24" i="68"/>
  <c r="H24" i="68"/>
  <c r="I15" i="70"/>
  <c r="J15" i="70"/>
  <c r="I32" i="70"/>
  <c r="J32" i="70"/>
  <c r="H42" i="72"/>
  <c r="J42" i="72"/>
  <c r="J18" i="73"/>
  <c r="I18" i="73"/>
  <c r="I23" i="65"/>
  <c r="I21" i="66"/>
  <c r="H21" i="66"/>
  <c r="I14" i="67"/>
  <c r="H14" i="67"/>
  <c r="I20" i="67"/>
  <c r="J20" i="67"/>
  <c r="I26" i="67"/>
  <c r="J30" i="67"/>
  <c r="I30" i="67"/>
  <c r="I32" i="68"/>
  <c r="H32" i="68"/>
  <c r="J37" i="69"/>
  <c r="J12" i="70"/>
  <c r="H12" i="70"/>
  <c r="J34" i="71"/>
  <c r="I34" i="71"/>
  <c r="J19" i="72"/>
  <c r="I19" i="72"/>
  <c r="J28" i="72"/>
  <c r="I28" i="72"/>
  <c r="H36" i="72"/>
  <c r="J39" i="72"/>
  <c r="I39" i="72"/>
  <c r="H39" i="72"/>
  <c r="J9" i="73"/>
  <c r="I9" i="73"/>
  <c r="J20" i="76"/>
  <c r="H20" i="76"/>
  <c r="J10" i="66"/>
  <c r="I9" i="67"/>
  <c r="I37" i="67"/>
  <c r="J37" i="67"/>
  <c r="F46" i="67"/>
  <c r="J30" i="68"/>
  <c r="I30" i="68"/>
  <c r="H27" i="69"/>
  <c r="H14" i="71"/>
  <c r="J14" i="71"/>
  <c r="I14" i="71"/>
  <c r="H25" i="71"/>
  <c r="J25" i="71"/>
  <c r="I25" i="71"/>
  <c r="H10" i="74"/>
  <c r="J10" i="74"/>
  <c r="I10" i="74"/>
  <c r="H20" i="65"/>
  <c r="I37" i="65"/>
  <c r="H10" i="66"/>
  <c r="H33" i="66"/>
  <c r="H37" i="66" s="1"/>
  <c r="I35" i="66"/>
  <c r="H9" i="67"/>
  <c r="H45" i="67" s="1"/>
  <c r="H37" i="67"/>
  <c r="I42" i="67"/>
  <c r="G45" i="67"/>
  <c r="I14" i="68"/>
  <c r="H18" i="68"/>
  <c r="H38" i="68" s="1"/>
  <c r="H28" i="68"/>
  <c r="J28" i="68"/>
  <c r="H30" i="68"/>
  <c r="J36" i="68"/>
  <c r="H36" i="68"/>
  <c r="I18" i="69"/>
  <c r="H18" i="69"/>
  <c r="J42" i="69"/>
  <c r="H44" i="69"/>
  <c r="J44" i="69"/>
  <c r="I44" i="69"/>
  <c r="H10" i="70"/>
  <c r="J13" i="70"/>
  <c r="H13" i="70"/>
  <c r="I18" i="70"/>
  <c r="I24" i="70"/>
  <c r="J24" i="70"/>
  <c r="E38" i="70"/>
  <c r="G36" i="71"/>
  <c r="J9" i="71"/>
  <c r="H9" i="71"/>
  <c r="J15" i="71"/>
  <c r="H15" i="71"/>
  <c r="J26" i="71"/>
  <c r="H26" i="71"/>
  <c r="J14" i="72"/>
  <c r="H14" i="72"/>
  <c r="H48" i="72" s="1"/>
  <c r="J23" i="72"/>
  <c r="H23" i="72"/>
  <c r="H29" i="72"/>
  <c r="J29" i="72"/>
  <c r="J13" i="73"/>
  <c r="I13" i="73"/>
  <c r="H13" i="73"/>
  <c r="F46" i="73"/>
  <c r="I32" i="67"/>
  <c r="D39" i="68"/>
  <c r="I21" i="70"/>
  <c r="I30" i="70"/>
  <c r="J12" i="71"/>
  <c r="H12" i="71"/>
  <c r="I21" i="71"/>
  <c r="J23" i="71"/>
  <c r="H23" i="71"/>
  <c r="H27" i="72"/>
  <c r="I27" i="72"/>
  <c r="J32" i="72"/>
  <c r="H32" i="72"/>
  <c r="I37" i="72"/>
  <c r="I44" i="72"/>
  <c r="J22" i="73"/>
  <c r="I22" i="73"/>
  <c r="H22" i="73"/>
  <c r="I22" i="75"/>
  <c r="H22" i="75"/>
  <c r="J22" i="75"/>
  <c r="I11" i="67"/>
  <c r="I29" i="67"/>
  <c r="H32" i="67"/>
  <c r="I9" i="68"/>
  <c r="I19" i="68"/>
  <c r="H21" i="68"/>
  <c r="H11" i="69"/>
  <c r="H20" i="69"/>
  <c r="H39" i="69"/>
  <c r="J9" i="70"/>
  <c r="H9" i="70"/>
  <c r="H21" i="70"/>
  <c r="H30" i="70"/>
  <c r="H10" i="71"/>
  <c r="I12" i="71"/>
  <c r="H21" i="71"/>
  <c r="I23" i="71"/>
  <c r="I30" i="71"/>
  <c r="I35" i="71"/>
  <c r="I20" i="72"/>
  <c r="J27" i="72"/>
  <c r="H30" i="72"/>
  <c r="I32" i="72"/>
  <c r="H37" i="72"/>
  <c r="H44" i="72"/>
  <c r="H11" i="73"/>
  <c r="H45" i="73" s="1"/>
  <c r="J11" i="73"/>
  <c r="I11" i="73"/>
  <c r="J31" i="73"/>
  <c r="I31" i="73"/>
  <c r="H31" i="73"/>
  <c r="I42" i="73"/>
  <c r="C46" i="73"/>
  <c r="H20" i="73"/>
  <c r="J20" i="73"/>
  <c r="I20" i="73"/>
  <c r="J12" i="74"/>
  <c r="H12" i="74"/>
  <c r="E20" i="74"/>
  <c r="I17" i="75"/>
  <c r="I31" i="75"/>
  <c r="H31" i="75"/>
  <c r="H29" i="73"/>
  <c r="J29" i="73"/>
  <c r="I29" i="73"/>
  <c r="E46" i="73"/>
  <c r="I15" i="75"/>
  <c r="J15" i="75"/>
  <c r="G44" i="76"/>
  <c r="C45" i="76" s="1"/>
  <c r="J11" i="76"/>
  <c r="H11" i="76"/>
  <c r="H44" i="76" s="1"/>
  <c r="H26" i="76"/>
  <c r="H29" i="76"/>
  <c r="J29" i="76"/>
  <c r="E37" i="71"/>
  <c r="I25" i="75"/>
  <c r="H25" i="75"/>
  <c r="I32" i="76"/>
  <c r="H32" i="76"/>
  <c r="H35" i="76"/>
  <c r="J11" i="78"/>
  <c r="I11" i="78"/>
  <c r="H11" i="78"/>
  <c r="I43" i="73"/>
  <c r="G19" i="74"/>
  <c r="D20" i="74" s="1"/>
  <c r="I14" i="75"/>
  <c r="H20" i="75"/>
  <c r="J20" i="75"/>
  <c r="H23" i="75"/>
  <c r="J23" i="75"/>
  <c r="I28" i="75"/>
  <c r="H28" i="75"/>
  <c r="I32" i="75"/>
  <c r="H32" i="75"/>
  <c r="C38" i="75"/>
  <c r="H38" i="76"/>
  <c r="J38" i="76"/>
  <c r="I42" i="76"/>
  <c r="H42" i="76"/>
  <c r="J42" i="76"/>
  <c r="J14" i="77"/>
  <c r="H14" i="77"/>
  <c r="I13" i="72"/>
  <c r="I47" i="72"/>
  <c r="I17" i="73"/>
  <c r="I26" i="73"/>
  <c r="I35" i="73"/>
  <c r="H41" i="73"/>
  <c r="H43" i="73"/>
  <c r="D46" i="73"/>
  <c r="H9" i="74"/>
  <c r="H19" i="74" s="1"/>
  <c r="I9" i="75"/>
  <c r="G37" i="75"/>
  <c r="H18" i="75"/>
  <c r="I20" i="75"/>
  <c r="I23" i="75"/>
  <c r="H26" i="75"/>
  <c r="J26" i="75"/>
  <c r="I29" i="75"/>
  <c r="I33" i="75"/>
  <c r="J33" i="75"/>
  <c r="I35" i="75"/>
  <c r="J11" i="77"/>
  <c r="H11" i="77"/>
  <c r="H37" i="77" s="1"/>
  <c r="C20" i="74"/>
  <c r="I11" i="75"/>
  <c r="I23" i="79"/>
  <c r="I32" i="79"/>
  <c r="I12" i="75"/>
  <c r="I30" i="75"/>
  <c r="H30" i="75"/>
  <c r="E38" i="75"/>
  <c r="I17" i="76"/>
  <c r="H41" i="76"/>
  <c r="J36" i="77"/>
  <c r="H36" i="77"/>
  <c r="I22" i="78"/>
  <c r="I26" i="79"/>
  <c r="J39" i="79"/>
  <c r="H39" i="79"/>
  <c r="J15" i="80"/>
  <c r="H15" i="80"/>
  <c r="I15" i="79"/>
  <c r="I24" i="79"/>
  <c r="G38" i="80"/>
  <c r="I33" i="80" s="1"/>
  <c r="J12" i="80"/>
  <c r="H12" i="80"/>
  <c r="H38" i="80" s="1"/>
  <c r="G40" i="78"/>
  <c r="I31" i="78" s="1"/>
  <c r="I9" i="78"/>
  <c r="H9" i="78"/>
  <c r="I17" i="78"/>
  <c r="H17" i="78"/>
  <c r="I30" i="78"/>
  <c r="D41" i="78"/>
  <c r="I11" i="79"/>
  <c r="H34" i="79"/>
  <c r="I37" i="79"/>
  <c r="F43" i="79"/>
  <c r="J17" i="77"/>
  <c r="H17" i="77"/>
  <c r="J31" i="77"/>
  <c r="H31" i="77"/>
  <c r="J14" i="78"/>
  <c r="I14" i="78"/>
  <c r="H14" i="78"/>
  <c r="I18" i="78"/>
  <c r="I37" i="78"/>
  <c r="E41" i="78"/>
  <c r="I9" i="79"/>
  <c r="I25" i="76"/>
  <c r="I40" i="76"/>
  <c r="J43" i="76"/>
  <c r="J9" i="77"/>
  <c r="J12" i="77"/>
  <c r="J15" i="77"/>
  <c r="J32" i="77"/>
  <c r="J12" i="78"/>
  <c r="J15" i="78"/>
  <c r="J40" i="79"/>
  <c r="J10" i="80"/>
  <c r="J13" i="80"/>
  <c r="G37" i="77"/>
  <c r="C38" i="77" s="1"/>
  <c r="G42" i="79"/>
  <c r="I12" i="79" s="1"/>
  <c r="H21" i="77"/>
  <c r="H24" i="77"/>
  <c r="H27" i="77"/>
  <c r="H30" i="77"/>
  <c r="H10" i="78"/>
  <c r="H18" i="78"/>
  <c r="H23" i="78"/>
  <c r="H28" i="78"/>
  <c r="H31" i="78"/>
  <c r="H34" i="78"/>
  <c r="H37" i="78"/>
  <c r="H9" i="79"/>
  <c r="H12" i="79"/>
  <c r="H15" i="79"/>
  <c r="H18" i="79"/>
  <c r="H21" i="79"/>
  <c r="H24" i="79"/>
  <c r="H27" i="79"/>
  <c r="H30" i="79"/>
  <c r="H35" i="79"/>
  <c r="H21" i="80"/>
  <c r="H26" i="80"/>
  <c r="H29" i="80"/>
  <c r="H32" i="80"/>
  <c r="H34" i="80"/>
  <c r="I23" i="80" l="1"/>
  <c r="I12" i="80"/>
  <c r="I18" i="80"/>
  <c r="I25" i="80"/>
  <c r="I15" i="80"/>
  <c r="I34" i="80"/>
  <c r="F39" i="80"/>
  <c r="I32" i="80"/>
  <c r="C39" i="80"/>
  <c r="I29" i="80"/>
  <c r="E39" i="80"/>
  <c r="I21" i="80"/>
  <c r="I39" i="69"/>
  <c r="I20" i="76"/>
  <c r="I34" i="76"/>
  <c r="I35" i="79"/>
  <c r="I28" i="78"/>
  <c r="I10" i="78"/>
  <c r="I17" i="77"/>
  <c r="I34" i="79"/>
  <c r="I25" i="78"/>
  <c r="D38" i="77"/>
  <c r="I23" i="76"/>
  <c r="I34" i="78"/>
  <c r="I36" i="78"/>
  <c r="I21" i="77"/>
  <c r="F41" i="78"/>
  <c r="I11" i="77"/>
  <c r="I21" i="75"/>
  <c r="I26" i="75"/>
  <c r="I16" i="75"/>
  <c r="I10" i="75"/>
  <c r="I36" i="75"/>
  <c r="I34" i="75"/>
  <c r="I27" i="75"/>
  <c r="I19" i="75"/>
  <c r="I24" i="75"/>
  <c r="I13" i="75"/>
  <c r="I14" i="77"/>
  <c r="I18" i="75"/>
  <c r="I26" i="80"/>
  <c r="I16" i="74"/>
  <c r="D38" i="75"/>
  <c r="I12" i="74"/>
  <c r="I30" i="72"/>
  <c r="I11" i="70"/>
  <c r="I21" i="68"/>
  <c r="I31" i="71"/>
  <c r="I20" i="71"/>
  <c r="I22" i="71"/>
  <c r="I28" i="71"/>
  <c r="I17" i="71"/>
  <c r="I11" i="71"/>
  <c r="I19" i="71"/>
  <c r="I10" i="71"/>
  <c r="I9" i="71"/>
  <c r="I15" i="71"/>
  <c r="I26" i="71"/>
  <c r="I13" i="70"/>
  <c r="I42" i="69"/>
  <c r="I36" i="68"/>
  <c r="I22" i="67"/>
  <c r="I41" i="67"/>
  <c r="I25" i="67"/>
  <c r="I39" i="67"/>
  <c r="I34" i="67"/>
  <c r="I28" i="67"/>
  <c r="I24" i="67"/>
  <c r="I16" i="67"/>
  <c r="I12" i="67"/>
  <c r="I36" i="67"/>
  <c r="I10" i="67"/>
  <c r="I38" i="67"/>
  <c r="I21" i="67"/>
  <c r="I19" i="67"/>
  <c r="E46" i="67"/>
  <c r="I44" i="67"/>
  <c r="I40" i="67"/>
  <c r="I33" i="67"/>
  <c r="I31" i="67"/>
  <c r="I15" i="67"/>
  <c r="I13" i="67"/>
  <c r="I18" i="68"/>
  <c r="I10" i="66"/>
  <c r="F38" i="75"/>
  <c r="I36" i="72"/>
  <c r="F37" i="71"/>
  <c r="I37" i="69"/>
  <c r="C38" i="66"/>
  <c r="F49" i="72"/>
  <c r="I27" i="70"/>
  <c r="I26" i="69"/>
  <c r="I12" i="69"/>
  <c r="I15" i="63"/>
  <c r="C49" i="72"/>
  <c r="I10" i="72"/>
  <c r="D47" i="63"/>
  <c r="I29" i="62"/>
  <c r="I12" i="62"/>
  <c r="F39" i="68"/>
  <c r="I18" i="67"/>
  <c r="I21" i="79"/>
  <c r="I24" i="66"/>
  <c r="I35" i="59"/>
  <c r="I32" i="54"/>
  <c r="C50" i="62"/>
  <c r="I14" i="59"/>
  <c r="I35" i="67"/>
  <c r="I34" i="59"/>
  <c r="I17" i="72"/>
  <c r="C38" i="59"/>
  <c r="I33" i="63"/>
  <c r="I15" i="60"/>
  <c r="I32" i="56"/>
  <c r="I34" i="52"/>
  <c r="I26" i="51"/>
  <c r="I29" i="65"/>
  <c r="H44" i="55"/>
  <c r="I23" i="59"/>
  <c r="I35" i="54"/>
  <c r="I12" i="52"/>
  <c r="I23" i="56"/>
  <c r="C40" i="52"/>
  <c r="I41" i="46"/>
  <c r="I30" i="46"/>
  <c r="I18" i="46"/>
  <c r="I16" i="43"/>
  <c r="I37" i="39"/>
  <c r="I27" i="54"/>
  <c r="I36" i="43"/>
  <c r="F45" i="38"/>
  <c r="E39" i="51"/>
  <c r="I42" i="50"/>
  <c r="I35" i="50"/>
  <c r="I22" i="50"/>
  <c r="I15" i="50"/>
  <c r="I13" i="50"/>
  <c r="I11" i="50"/>
  <c r="I38" i="50"/>
  <c r="I20" i="50"/>
  <c r="I23" i="50"/>
  <c r="I18" i="50"/>
  <c r="I26" i="50"/>
  <c r="I29" i="50"/>
  <c r="I17" i="50"/>
  <c r="I37" i="50"/>
  <c r="I19" i="50"/>
  <c r="I9" i="50"/>
  <c r="I41" i="50"/>
  <c r="I12" i="50"/>
  <c r="I34" i="50"/>
  <c r="I32" i="50"/>
  <c r="I17" i="45"/>
  <c r="I28" i="43"/>
  <c r="F47" i="42"/>
  <c r="C41" i="54"/>
  <c r="I13" i="43"/>
  <c r="D40" i="40"/>
  <c r="I21" i="39"/>
  <c r="F44" i="46"/>
  <c r="I11" i="59"/>
  <c r="I15" i="41"/>
  <c r="I16" i="33"/>
  <c r="I35" i="45"/>
  <c r="H48" i="44"/>
  <c r="C46" i="32"/>
  <c r="I37" i="52"/>
  <c r="I21" i="50"/>
  <c r="I20" i="42"/>
  <c r="I12" i="40"/>
  <c r="C37" i="71"/>
  <c r="I43" i="55"/>
  <c r="I41" i="55"/>
  <c r="I26" i="55"/>
  <c r="I17" i="55"/>
  <c r="I18" i="55"/>
  <c r="I14" i="55"/>
  <c r="I12" i="55"/>
  <c r="I35" i="55"/>
  <c r="D45" i="55"/>
  <c r="I24" i="55"/>
  <c r="I22" i="55"/>
  <c r="I15" i="55"/>
  <c r="I34" i="55"/>
  <c r="I32" i="55"/>
  <c r="I16" i="55"/>
  <c r="I10" i="55"/>
  <c r="I21" i="55"/>
  <c r="I25" i="55"/>
  <c r="I23" i="55"/>
  <c r="I27" i="55"/>
  <c r="I30" i="55"/>
  <c r="I40" i="55"/>
  <c r="I38" i="55"/>
  <c r="F42" i="45"/>
  <c r="I23" i="51"/>
  <c r="I11" i="33"/>
  <c r="C38" i="26"/>
  <c r="I33" i="21"/>
  <c r="H44" i="17"/>
  <c r="I20" i="41"/>
  <c r="I20" i="32"/>
  <c r="D47" i="42"/>
  <c r="I30" i="38"/>
  <c r="I11" i="37"/>
  <c r="I34" i="32"/>
  <c r="I42" i="27"/>
  <c r="I47" i="27"/>
  <c r="I45" i="27"/>
  <c r="I40" i="27"/>
  <c r="I38" i="27"/>
  <c r="I35" i="27"/>
  <c r="I32" i="27"/>
  <c r="I29" i="27"/>
  <c r="I26" i="27"/>
  <c r="I23" i="27"/>
  <c r="I20" i="27"/>
  <c r="I17" i="27"/>
  <c r="I14" i="27"/>
  <c r="I11" i="27"/>
  <c r="I44" i="27"/>
  <c r="I31" i="27"/>
  <c r="I13" i="27"/>
  <c r="I46" i="27"/>
  <c r="I25" i="27"/>
  <c r="I37" i="27"/>
  <c r="I19" i="27"/>
  <c r="I34" i="27"/>
  <c r="I28" i="27"/>
  <c r="I22" i="27"/>
  <c r="I16" i="27"/>
  <c r="I10" i="27"/>
  <c r="I41" i="27"/>
  <c r="E49" i="27"/>
  <c r="I39" i="27"/>
  <c r="I20" i="19"/>
  <c r="I29" i="26"/>
  <c r="I13" i="16"/>
  <c r="I26" i="32"/>
  <c r="I33" i="26"/>
  <c r="E44" i="24"/>
  <c r="I12" i="23"/>
  <c r="I33" i="24"/>
  <c r="I35" i="16"/>
  <c r="I18" i="4"/>
  <c r="I12" i="2"/>
  <c r="I33" i="33"/>
  <c r="I28" i="20"/>
  <c r="I25" i="20"/>
  <c r="I38" i="20"/>
  <c r="I31" i="20"/>
  <c r="I23" i="20"/>
  <c r="I20" i="20"/>
  <c r="I17" i="20"/>
  <c r="I14" i="20"/>
  <c r="I11" i="20"/>
  <c r="I27" i="20"/>
  <c r="I22" i="20"/>
  <c r="E43" i="20"/>
  <c r="I40" i="20"/>
  <c r="I10" i="20"/>
  <c r="I37" i="20"/>
  <c r="I33" i="20"/>
  <c r="I30" i="20"/>
  <c r="I19" i="20"/>
  <c r="F43" i="20"/>
  <c r="I24" i="20"/>
  <c r="I16" i="20"/>
  <c r="I13" i="20"/>
  <c r="I35" i="20"/>
  <c r="I13" i="14"/>
  <c r="I19" i="9"/>
  <c r="I28" i="35"/>
  <c r="I20" i="35"/>
  <c r="I15" i="35"/>
  <c r="I17" i="35"/>
  <c r="I31" i="35"/>
  <c r="I22" i="35"/>
  <c r="I10" i="35"/>
  <c r="I26" i="35"/>
  <c r="I37" i="35"/>
  <c r="I30" i="35"/>
  <c r="I9" i="35"/>
  <c r="I34" i="35"/>
  <c r="I23" i="35"/>
  <c r="I25" i="35"/>
  <c r="I27" i="35"/>
  <c r="I13" i="35"/>
  <c r="C41" i="35"/>
  <c r="I39" i="35"/>
  <c r="I18" i="35"/>
  <c r="C47" i="21"/>
  <c r="I31" i="15"/>
  <c r="D40" i="16"/>
  <c r="H40" i="78"/>
  <c r="I20" i="77"/>
  <c r="H36" i="71"/>
  <c r="I31" i="76"/>
  <c r="I27" i="79"/>
  <c r="I23" i="78"/>
  <c r="I29" i="79"/>
  <c r="I34" i="77"/>
  <c r="I14" i="76"/>
  <c r="I37" i="80"/>
  <c r="I24" i="80"/>
  <c r="I19" i="80"/>
  <c r="I14" i="80"/>
  <c r="I11" i="80"/>
  <c r="I35" i="80"/>
  <c r="I30" i="80"/>
  <c r="I27" i="80"/>
  <c r="I22" i="80"/>
  <c r="I17" i="80"/>
  <c r="I9" i="80"/>
  <c r="I13" i="80"/>
  <c r="I16" i="80"/>
  <c r="I10" i="80"/>
  <c r="I31" i="80"/>
  <c r="I27" i="78"/>
  <c r="I38" i="76"/>
  <c r="I35" i="76"/>
  <c r="I26" i="76"/>
  <c r="H37" i="70"/>
  <c r="I18" i="66"/>
  <c r="I39" i="65"/>
  <c r="I20" i="65"/>
  <c r="I42" i="72"/>
  <c r="I23" i="69"/>
  <c r="I34" i="68"/>
  <c r="H46" i="63"/>
  <c r="I36" i="70"/>
  <c r="I34" i="70"/>
  <c r="I29" i="70"/>
  <c r="I26" i="70"/>
  <c r="I23" i="70"/>
  <c r="I20" i="70"/>
  <c r="I17" i="70"/>
  <c r="I28" i="70"/>
  <c r="I19" i="70"/>
  <c r="D38" i="70"/>
  <c r="I12" i="70"/>
  <c r="I25" i="70"/>
  <c r="I9" i="70"/>
  <c r="C38" i="70"/>
  <c r="I14" i="70"/>
  <c r="I10" i="70"/>
  <c r="I22" i="70"/>
  <c r="I16" i="70"/>
  <c r="I35" i="70"/>
  <c r="I33" i="70"/>
  <c r="I17" i="59"/>
  <c r="I30" i="69"/>
  <c r="I28" i="80"/>
  <c r="I11" i="66"/>
  <c r="I34" i="69"/>
  <c r="I44" i="62"/>
  <c r="I16" i="62"/>
  <c r="I34" i="62"/>
  <c r="I25" i="62"/>
  <c r="I42" i="62"/>
  <c r="I40" i="62"/>
  <c r="I24" i="62"/>
  <c r="I22" i="62"/>
  <c r="I48" i="62"/>
  <c r="I46" i="62"/>
  <c r="I28" i="62"/>
  <c r="I13" i="62"/>
  <c r="I11" i="62"/>
  <c r="I41" i="62"/>
  <c r="I39" i="62"/>
  <c r="I45" i="62"/>
  <c r="I47" i="62"/>
  <c r="I33" i="62"/>
  <c r="I31" i="62"/>
  <c r="I19" i="62"/>
  <c r="I21" i="62"/>
  <c r="I37" i="62"/>
  <c r="I41" i="72"/>
  <c r="I36" i="51"/>
  <c r="C46" i="69"/>
  <c r="I22" i="51"/>
  <c r="H48" i="48"/>
  <c r="I43" i="62"/>
  <c r="F41" i="54"/>
  <c r="I35" i="51"/>
  <c r="I40" i="56"/>
  <c r="I36" i="56"/>
  <c r="I34" i="56"/>
  <c r="I30" i="56"/>
  <c r="I28" i="56"/>
  <c r="I24" i="56"/>
  <c r="I22" i="56"/>
  <c r="I18" i="56"/>
  <c r="I16" i="56"/>
  <c r="I10" i="56"/>
  <c r="F46" i="56"/>
  <c r="I42" i="56"/>
  <c r="I39" i="56"/>
  <c r="I27" i="56"/>
  <c r="I15" i="56"/>
  <c r="I31" i="56"/>
  <c r="I19" i="56"/>
  <c r="I43" i="56"/>
  <c r="I9" i="56"/>
  <c r="I25" i="56"/>
  <c r="I11" i="56"/>
  <c r="I13" i="56"/>
  <c r="I37" i="56"/>
  <c r="H41" i="45"/>
  <c r="I12" i="43"/>
  <c r="I11" i="39"/>
  <c r="I15" i="62"/>
  <c r="I31" i="45"/>
  <c r="I11" i="45"/>
  <c r="I23" i="39"/>
  <c r="I19" i="54"/>
  <c r="I40" i="46"/>
  <c r="I42" i="46"/>
  <c r="I37" i="46"/>
  <c r="I31" i="46"/>
  <c r="I25" i="46"/>
  <c r="I19" i="46"/>
  <c r="I13" i="46"/>
  <c r="I22" i="46"/>
  <c r="I28" i="46"/>
  <c r="I10" i="46"/>
  <c r="I34" i="46"/>
  <c r="I16" i="46"/>
  <c r="I25" i="43"/>
  <c r="I12" i="39"/>
  <c r="I30" i="45"/>
  <c r="I41" i="32"/>
  <c r="I16" i="45"/>
  <c r="I42" i="42"/>
  <c r="I24" i="45"/>
  <c r="I40" i="39"/>
  <c r="I29" i="32"/>
  <c r="I11" i="32"/>
  <c r="I29" i="59"/>
  <c r="I37" i="45"/>
  <c r="I38" i="33"/>
  <c r="I34" i="33"/>
  <c r="I32" i="33"/>
  <c r="I28" i="33"/>
  <c r="I26" i="33"/>
  <c r="I22" i="33"/>
  <c r="I20" i="33"/>
  <c r="I18" i="33"/>
  <c r="I14" i="33"/>
  <c r="I40" i="33"/>
  <c r="I9" i="33"/>
  <c r="I35" i="33"/>
  <c r="I29" i="33"/>
  <c r="I23" i="33"/>
  <c r="I15" i="33"/>
  <c r="I41" i="33"/>
  <c r="I10" i="33"/>
  <c r="E45" i="33"/>
  <c r="I12" i="33"/>
  <c r="I30" i="15"/>
  <c r="I27" i="15"/>
  <c r="I15" i="15"/>
  <c r="I34" i="15"/>
  <c r="I25" i="15"/>
  <c r="I18" i="15"/>
  <c r="I13" i="15"/>
  <c r="I35" i="15"/>
  <c r="I32" i="15"/>
  <c r="I20" i="15"/>
  <c r="F40" i="15"/>
  <c r="I24" i="15"/>
  <c r="I22" i="15"/>
  <c r="I17" i="15"/>
  <c r="I14" i="15"/>
  <c r="I9" i="15"/>
  <c r="I37" i="15"/>
  <c r="I29" i="15"/>
  <c r="I19" i="15"/>
  <c r="I26" i="15"/>
  <c r="I33" i="15"/>
  <c r="I23" i="15"/>
  <c r="I10" i="15"/>
  <c r="I19" i="33"/>
  <c r="I35" i="32"/>
  <c r="I31" i="33"/>
  <c r="I21" i="23"/>
  <c r="I16" i="18"/>
  <c r="I38" i="15"/>
  <c r="I12" i="15"/>
  <c r="I44" i="21"/>
  <c r="I39" i="20"/>
  <c r="I25" i="16"/>
  <c r="I19" i="14"/>
  <c r="I30" i="9"/>
  <c r="I33" i="4"/>
  <c r="I15" i="4"/>
  <c r="I34" i="2"/>
  <c r="I36" i="27"/>
  <c r="I24" i="27"/>
  <c r="I12" i="27"/>
  <c r="I15" i="16"/>
  <c r="I16" i="15"/>
  <c r="I9" i="14"/>
  <c r="H47" i="10"/>
  <c r="I16" i="9"/>
  <c r="H42" i="4"/>
  <c r="I28" i="15"/>
  <c r="I27" i="23"/>
  <c r="D43" i="20"/>
  <c r="I25" i="18"/>
  <c r="I21" i="15"/>
  <c r="C43" i="4"/>
  <c r="E37" i="9"/>
  <c r="I35" i="77"/>
  <c r="I33" i="77"/>
  <c r="I16" i="77"/>
  <c r="I13" i="77"/>
  <c r="I10" i="77"/>
  <c r="I28" i="77"/>
  <c r="I25" i="77"/>
  <c r="I22" i="77"/>
  <c r="I19" i="77"/>
  <c r="I23" i="77"/>
  <c r="I9" i="77"/>
  <c r="I15" i="77"/>
  <c r="E38" i="77"/>
  <c r="I32" i="77"/>
  <c r="I18" i="77"/>
  <c r="I12" i="77"/>
  <c r="I27" i="77"/>
  <c r="I29" i="77"/>
  <c r="I24" i="77"/>
  <c r="I36" i="77"/>
  <c r="I39" i="76"/>
  <c r="I33" i="76"/>
  <c r="I43" i="76"/>
  <c r="I36" i="76"/>
  <c r="I12" i="76"/>
  <c r="D45" i="76"/>
  <c r="I30" i="76"/>
  <c r="I21" i="76"/>
  <c r="I27" i="76"/>
  <c r="I15" i="76"/>
  <c r="I24" i="76"/>
  <c r="I9" i="76"/>
  <c r="I18" i="76"/>
  <c r="I36" i="69"/>
  <c r="H42" i="79"/>
  <c r="I41" i="79"/>
  <c r="I38" i="79"/>
  <c r="I33" i="79"/>
  <c r="I36" i="79"/>
  <c r="I31" i="79"/>
  <c r="I28" i="79"/>
  <c r="I25" i="79"/>
  <c r="I22" i="79"/>
  <c r="I19" i="79"/>
  <c r="I16" i="79"/>
  <c r="I13" i="79"/>
  <c r="I10" i="79"/>
  <c r="D43" i="79"/>
  <c r="I40" i="79"/>
  <c r="I28" i="76"/>
  <c r="I18" i="79"/>
  <c r="I31" i="77"/>
  <c r="I20" i="79"/>
  <c r="I30" i="77"/>
  <c r="E43" i="79"/>
  <c r="I39" i="79"/>
  <c r="I41" i="76"/>
  <c r="C43" i="79"/>
  <c r="I16" i="76"/>
  <c r="I10" i="76"/>
  <c r="I19" i="76"/>
  <c r="F20" i="74"/>
  <c r="I9" i="74"/>
  <c r="I18" i="74"/>
  <c r="I14" i="74"/>
  <c r="I11" i="74"/>
  <c r="I17" i="74"/>
  <c r="I15" i="74"/>
  <c r="I13" i="74"/>
  <c r="I27" i="69"/>
  <c r="I33" i="69"/>
  <c r="I19" i="69"/>
  <c r="H45" i="69"/>
  <c r="I45" i="63"/>
  <c r="I29" i="63"/>
  <c r="I26" i="63"/>
  <c r="I23" i="63"/>
  <c r="I20" i="63"/>
  <c r="I17" i="63"/>
  <c r="I14" i="63"/>
  <c r="I44" i="63"/>
  <c r="I28" i="63"/>
  <c r="I19" i="63"/>
  <c r="I38" i="63"/>
  <c r="I32" i="63"/>
  <c r="I12" i="63"/>
  <c r="I10" i="63"/>
  <c r="I37" i="63"/>
  <c r="I22" i="63"/>
  <c r="I34" i="63"/>
  <c r="I42" i="63"/>
  <c r="I31" i="63"/>
  <c r="I16" i="63"/>
  <c r="I11" i="63"/>
  <c r="I9" i="63"/>
  <c r="I35" i="63"/>
  <c r="I13" i="63"/>
  <c r="I40" i="63"/>
  <c r="I25" i="63"/>
  <c r="I41" i="63"/>
  <c r="D38" i="66"/>
  <c r="I22" i="76"/>
  <c r="E39" i="68"/>
  <c r="I16" i="68"/>
  <c r="I25" i="68"/>
  <c r="I11" i="68"/>
  <c r="I35" i="68"/>
  <c r="I27" i="68"/>
  <c r="I20" i="68"/>
  <c r="I13" i="68"/>
  <c r="I29" i="68"/>
  <c r="I17" i="68"/>
  <c r="I15" i="68"/>
  <c r="I33" i="68"/>
  <c r="I10" i="68"/>
  <c r="I28" i="68"/>
  <c r="I31" i="68"/>
  <c r="I23" i="68"/>
  <c r="H49" i="62"/>
  <c r="I33" i="72"/>
  <c r="I24" i="59"/>
  <c r="I21" i="65"/>
  <c r="I32" i="52"/>
  <c r="I14" i="52"/>
  <c r="I23" i="52"/>
  <c r="I35" i="52"/>
  <c r="I26" i="52"/>
  <c r="I17" i="52"/>
  <c r="I31" i="52"/>
  <c r="I29" i="52"/>
  <c r="I22" i="52"/>
  <c r="I20" i="52"/>
  <c r="I13" i="52"/>
  <c r="I11" i="52"/>
  <c r="F40" i="52"/>
  <c r="F39" i="51"/>
  <c r="I28" i="51"/>
  <c r="I24" i="51"/>
  <c r="I20" i="51"/>
  <c r="I18" i="51"/>
  <c r="I16" i="51"/>
  <c r="I14" i="51"/>
  <c r="I12" i="51"/>
  <c r="D39" i="51"/>
  <c r="I33" i="51"/>
  <c r="I21" i="51"/>
  <c r="I19" i="51"/>
  <c r="I27" i="51"/>
  <c r="I9" i="51"/>
  <c r="I32" i="51"/>
  <c r="I34" i="51"/>
  <c r="I13" i="51"/>
  <c r="I11" i="51"/>
  <c r="I31" i="43"/>
  <c r="I21" i="43"/>
  <c r="I9" i="43"/>
  <c r="I11" i="43"/>
  <c r="I35" i="43"/>
  <c r="I27" i="43"/>
  <c r="I17" i="43"/>
  <c r="I19" i="43"/>
  <c r="I14" i="43"/>
  <c r="I22" i="43"/>
  <c r="I29" i="43"/>
  <c r="I24" i="43"/>
  <c r="I32" i="43"/>
  <c r="I37" i="43"/>
  <c r="I34" i="43"/>
  <c r="I42" i="60"/>
  <c r="I40" i="60"/>
  <c r="I36" i="60"/>
  <c r="I34" i="60"/>
  <c r="I30" i="60"/>
  <c r="I28" i="60"/>
  <c r="I24" i="60"/>
  <c r="I22" i="60"/>
  <c r="I18" i="60"/>
  <c r="I16" i="60"/>
  <c r="I14" i="60"/>
  <c r="D45" i="60"/>
  <c r="I37" i="60"/>
  <c r="I21" i="60"/>
  <c r="I19" i="60"/>
  <c r="I39" i="60"/>
  <c r="I27" i="60"/>
  <c r="I25" i="60"/>
  <c r="I13" i="60"/>
  <c r="E45" i="60"/>
  <c r="I11" i="60"/>
  <c r="I33" i="60"/>
  <c r="I31" i="60"/>
  <c r="I18" i="54"/>
  <c r="I21" i="54"/>
  <c r="I39" i="54"/>
  <c r="I33" i="54"/>
  <c r="I16" i="54"/>
  <c r="I14" i="54"/>
  <c r="I30" i="54"/>
  <c r="I13" i="54"/>
  <c r="I9" i="54"/>
  <c r="I24" i="54"/>
  <c r="I15" i="54"/>
  <c r="I36" i="54"/>
  <c r="I23" i="54"/>
  <c r="I34" i="54"/>
  <c r="I31" i="54"/>
  <c r="D41" i="54"/>
  <c r="I10" i="54"/>
  <c r="I25" i="52"/>
  <c r="I10" i="43"/>
  <c r="H38" i="51"/>
  <c r="I33" i="45"/>
  <c r="I13" i="45"/>
  <c r="E50" i="62"/>
  <c r="D46" i="56"/>
  <c r="I27" i="46"/>
  <c r="I15" i="46"/>
  <c r="C39" i="51"/>
  <c r="E40" i="43"/>
  <c r="I31" i="38"/>
  <c r="I22" i="38"/>
  <c r="I42" i="38"/>
  <c r="I13" i="38"/>
  <c r="I10" i="38"/>
  <c r="I34" i="38"/>
  <c r="I25" i="38"/>
  <c r="I16" i="38"/>
  <c r="E45" i="38"/>
  <c r="I37" i="38"/>
  <c r="I28" i="38"/>
  <c r="I43" i="38"/>
  <c r="D45" i="38"/>
  <c r="I19" i="38"/>
  <c r="I12" i="38"/>
  <c r="I9" i="38"/>
  <c r="I39" i="38"/>
  <c r="I45" i="42"/>
  <c r="I40" i="42"/>
  <c r="I37" i="42"/>
  <c r="I31" i="42"/>
  <c r="I25" i="42"/>
  <c r="I19" i="42"/>
  <c r="I13" i="42"/>
  <c r="I10" i="42"/>
  <c r="I16" i="42"/>
  <c r="I22" i="42"/>
  <c r="I28" i="42"/>
  <c r="I34" i="42"/>
  <c r="I10" i="52"/>
  <c r="I18" i="42"/>
  <c r="I35" i="26"/>
  <c r="I28" i="26"/>
  <c r="I25" i="26"/>
  <c r="I23" i="26"/>
  <c r="I21" i="26"/>
  <c r="I19" i="26"/>
  <c r="I17" i="26"/>
  <c r="I12" i="26"/>
  <c r="I15" i="26"/>
  <c r="I30" i="26"/>
  <c r="I27" i="26"/>
  <c r="E38" i="26"/>
  <c r="I14" i="26"/>
  <c r="I11" i="26"/>
  <c r="F38" i="26"/>
  <c r="I32" i="26"/>
  <c r="I16" i="26"/>
  <c r="I9" i="26"/>
  <c r="I34" i="26"/>
  <c r="I38" i="49"/>
  <c r="I27" i="49"/>
  <c r="I25" i="49"/>
  <c r="I19" i="49"/>
  <c r="I11" i="49"/>
  <c r="D41" i="49"/>
  <c r="I28" i="49"/>
  <c r="I31" i="49"/>
  <c r="I35" i="49"/>
  <c r="I10" i="49"/>
  <c r="I37" i="49"/>
  <c r="I15" i="49"/>
  <c r="I23" i="49"/>
  <c r="I21" i="49"/>
  <c r="I13" i="49"/>
  <c r="I30" i="42"/>
  <c r="I38" i="24"/>
  <c r="I36" i="24"/>
  <c r="I34" i="24"/>
  <c r="I29" i="24"/>
  <c r="I24" i="24"/>
  <c r="I22" i="24"/>
  <c r="I17" i="24"/>
  <c r="I41" i="24"/>
  <c r="I32" i="24"/>
  <c r="I15" i="24"/>
  <c r="I10" i="24"/>
  <c r="I40" i="24"/>
  <c r="I31" i="24"/>
  <c r="I14" i="24"/>
  <c r="I12" i="24"/>
  <c r="I9" i="24"/>
  <c r="F44" i="24"/>
  <c r="I28" i="24"/>
  <c r="I21" i="24"/>
  <c r="I19" i="24"/>
  <c r="I26" i="24"/>
  <c r="I42" i="24"/>
  <c r="C40" i="23"/>
  <c r="I25" i="21"/>
  <c r="I19" i="19"/>
  <c r="I17" i="19"/>
  <c r="I14" i="19"/>
  <c r="I11" i="19"/>
  <c r="F22" i="19"/>
  <c r="E22" i="19"/>
  <c r="I16" i="19"/>
  <c r="I18" i="19"/>
  <c r="I13" i="19"/>
  <c r="I10" i="19"/>
  <c r="I34" i="14"/>
  <c r="C45" i="33"/>
  <c r="F42" i="31"/>
  <c r="I37" i="30"/>
  <c r="I35" i="30"/>
  <c r="I30" i="30"/>
  <c r="I19" i="30"/>
  <c r="I17" i="30"/>
  <c r="I13" i="30"/>
  <c r="I11" i="30"/>
  <c r="I25" i="30"/>
  <c r="I28" i="30"/>
  <c r="I22" i="30"/>
  <c r="I20" i="30"/>
  <c r="I16" i="30"/>
  <c r="I14" i="30"/>
  <c r="I24" i="30"/>
  <c r="F39" i="30"/>
  <c r="I33" i="30"/>
  <c r="I10" i="30"/>
  <c r="C39" i="30"/>
  <c r="I28" i="52"/>
  <c r="I13" i="33"/>
  <c r="C47" i="42"/>
  <c r="I21" i="38"/>
  <c r="D46" i="32"/>
  <c r="I27" i="27"/>
  <c r="I24" i="22"/>
  <c r="I21" i="22"/>
  <c r="I18" i="22"/>
  <c r="I15" i="22"/>
  <c r="I12" i="22"/>
  <c r="I27" i="22"/>
  <c r="I10" i="22"/>
  <c r="I23" i="22"/>
  <c r="I11" i="22"/>
  <c r="I17" i="22"/>
  <c r="I9" i="22"/>
  <c r="I14" i="22"/>
  <c r="C31" i="22"/>
  <c r="I29" i="22"/>
  <c r="I26" i="22"/>
  <c r="I20" i="22"/>
  <c r="D39" i="80"/>
  <c r="I26" i="26"/>
  <c r="I35" i="23"/>
  <c r="I22" i="21"/>
  <c r="C39" i="18"/>
  <c r="C36" i="14"/>
  <c r="I37" i="24"/>
  <c r="E31" i="22"/>
  <c r="I16" i="21"/>
  <c r="I37" i="18"/>
  <c r="I16" i="14"/>
  <c r="I13" i="26"/>
  <c r="I27" i="24"/>
  <c r="I27" i="9"/>
  <c r="I30" i="4"/>
  <c r="I18" i="30"/>
  <c r="I29" i="20"/>
  <c r="I15" i="20"/>
  <c r="C22" i="19"/>
  <c r="E40" i="16"/>
  <c r="I13" i="9"/>
  <c r="I37" i="2"/>
  <c r="I39" i="8"/>
  <c r="I36" i="8"/>
  <c r="I33" i="8"/>
  <c r="I30" i="8"/>
  <c r="I27" i="8"/>
  <c r="I24" i="8"/>
  <c r="I21" i="8"/>
  <c r="I18" i="8"/>
  <c r="I15" i="8"/>
  <c r="I12" i="8"/>
  <c r="I9" i="8"/>
  <c r="I14" i="8"/>
  <c r="I38" i="8"/>
  <c r="I23" i="8"/>
  <c r="I17" i="8"/>
  <c r="I11" i="8"/>
  <c r="I40" i="8"/>
  <c r="I35" i="8"/>
  <c r="I32" i="8"/>
  <c r="I29" i="8"/>
  <c r="I26" i="8"/>
  <c r="I20" i="8"/>
  <c r="I31" i="26"/>
  <c r="H35" i="14"/>
  <c r="H49" i="13"/>
  <c r="I22" i="14"/>
  <c r="C37" i="9"/>
  <c r="E42" i="8"/>
  <c r="F37" i="9"/>
  <c r="I29" i="69"/>
  <c r="I32" i="69"/>
  <c r="I20" i="69"/>
  <c r="I15" i="69"/>
  <c r="I13" i="69"/>
  <c r="I41" i="69"/>
  <c r="I35" i="69"/>
  <c r="I31" i="69"/>
  <c r="I24" i="69"/>
  <c r="I22" i="69"/>
  <c r="I17" i="69"/>
  <c r="I43" i="69"/>
  <c r="I10" i="69"/>
  <c r="I11" i="69"/>
  <c r="E46" i="69"/>
  <c r="I40" i="69"/>
  <c r="I38" i="69"/>
  <c r="I28" i="69"/>
  <c r="I33" i="59"/>
  <c r="I31" i="59"/>
  <c r="I22" i="59"/>
  <c r="I13" i="59"/>
  <c r="I32" i="59"/>
  <c r="I30" i="59"/>
  <c r="I28" i="59"/>
  <c r="I12" i="59"/>
  <c r="I10" i="59"/>
  <c r="I18" i="59"/>
  <c r="I16" i="59"/>
  <c r="I21" i="59"/>
  <c r="I19" i="59"/>
  <c r="F38" i="59"/>
  <c r="E38" i="59"/>
  <c r="I27" i="59"/>
  <c r="I25" i="59"/>
  <c r="I9" i="59"/>
  <c r="I29" i="45"/>
  <c r="I20" i="45"/>
  <c r="I36" i="45"/>
  <c r="I15" i="45"/>
  <c r="I32" i="45"/>
  <c r="I26" i="45"/>
  <c r="I10" i="45"/>
  <c r="I18" i="45"/>
  <c r="I21" i="45"/>
  <c r="D42" i="45"/>
  <c r="I39" i="45"/>
  <c r="I34" i="45"/>
  <c r="I23" i="45"/>
  <c r="I12" i="45"/>
  <c r="I9" i="45"/>
  <c r="I39" i="39"/>
  <c r="I25" i="39"/>
  <c r="I16" i="39"/>
  <c r="I41" i="39"/>
  <c r="I28" i="39"/>
  <c r="I19" i="39"/>
  <c r="I10" i="39"/>
  <c r="F43" i="39"/>
  <c r="I31" i="39"/>
  <c r="I22" i="39"/>
  <c r="I9" i="39"/>
  <c r="I35" i="39"/>
  <c r="I13" i="39"/>
  <c r="I14" i="39"/>
  <c r="I40" i="45"/>
  <c r="I36" i="39"/>
  <c r="E43" i="39"/>
  <c r="I36" i="18"/>
  <c r="I33" i="18"/>
  <c r="I30" i="18"/>
  <c r="I27" i="18"/>
  <c r="I24" i="18"/>
  <c r="I21" i="18"/>
  <c r="I18" i="18"/>
  <c r="I15" i="18"/>
  <c r="I13" i="18"/>
  <c r="I10" i="18"/>
  <c r="I20" i="18"/>
  <c r="E39" i="18"/>
  <c r="I26" i="18"/>
  <c r="I32" i="18"/>
  <c r="I29" i="18"/>
  <c r="F39" i="18"/>
  <c r="I23" i="18"/>
  <c r="I17" i="18"/>
  <c r="I12" i="18"/>
  <c r="I35" i="18"/>
  <c r="I14" i="18"/>
  <c r="I9" i="18"/>
  <c r="I28" i="45"/>
  <c r="I40" i="32"/>
  <c r="I38" i="32"/>
  <c r="I33" i="32"/>
  <c r="I31" i="32"/>
  <c r="I27" i="32"/>
  <c r="I25" i="32"/>
  <c r="I21" i="32"/>
  <c r="I19" i="32"/>
  <c r="I15" i="32"/>
  <c r="I13" i="32"/>
  <c r="I9" i="32"/>
  <c r="I43" i="32"/>
  <c r="I30" i="32"/>
  <c r="I28" i="32"/>
  <c r="I12" i="32"/>
  <c r="I10" i="32"/>
  <c r="I24" i="32"/>
  <c r="I22" i="32"/>
  <c r="I18" i="32"/>
  <c r="I16" i="32"/>
  <c r="I37" i="32"/>
  <c r="I15" i="39"/>
  <c r="I14" i="32"/>
  <c r="I11" i="18"/>
  <c r="I43" i="21"/>
  <c r="I41" i="21"/>
  <c r="I38" i="21"/>
  <c r="I35" i="21"/>
  <c r="I32" i="21"/>
  <c r="I18" i="21"/>
  <c r="I15" i="21"/>
  <c r="I12" i="21"/>
  <c r="I10" i="21"/>
  <c r="I27" i="21"/>
  <c r="I24" i="21"/>
  <c r="I21" i="21"/>
  <c r="I14" i="21"/>
  <c r="I31" i="21"/>
  <c r="I23" i="21"/>
  <c r="I34" i="21"/>
  <c r="F47" i="21"/>
  <c r="I45" i="21"/>
  <c r="I40" i="21"/>
  <c r="I29" i="21"/>
  <c r="I26" i="21"/>
  <c r="I20" i="21"/>
  <c r="I17" i="21"/>
  <c r="I37" i="21"/>
  <c r="I34" i="23"/>
  <c r="I32" i="23"/>
  <c r="I29" i="23"/>
  <c r="I26" i="23"/>
  <c r="I23" i="23"/>
  <c r="I20" i="23"/>
  <c r="I17" i="23"/>
  <c r="I14" i="23"/>
  <c r="I9" i="23"/>
  <c r="I37" i="23"/>
  <c r="I36" i="23"/>
  <c r="I25" i="23"/>
  <c r="I31" i="23"/>
  <c r="I13" i="23"/>
  <c r="F40" i="23"/>
  <c r="I28" i="23"/>
  <c r="I22" i="23"/>
  <c r="I11" i="23"/>
  <c r="I19" i="23"/>
  <c r="I16" i="23"/>
  <c r="I36" i="2"/>
  <c r="I28" i="2"/>
  <c r="I21" i="2"/>
  <c r="I11" i="2"/>
  <c r="I26" i="2"/>
  <c r="I24" i="2"/>
  <c r="I31" i="2"/>
  <c r="I19" i="2"/>
  <c r="I14" i="2"/>
  <c r="I9" i="2"/>
  <c r="I35" i="2"/>
  <c r="I25" i="2"/>
  <c r="I23" i="2"/>
  <c r="I20" i="2"/>
  <c r="I18" i="2"/>
  <c r="I33" i="2"/>
  <c r="I30" i="2"/>
  <c r="I10" i="2"/>
  <c r="I13" i="2"/>
  <c r="F39" i="2"/>
  <c r="I16" i="2"/>
  <c r="I19" i="18"/>
  <c r="H40" i="12"/>
  <c r="I32" i="4"/>
  <c r="I29" i="4"/>
  <c r="I26" i="4"/>
  <c r="I23" i="4"/>
  <c r="I20" i="4"/>
  <c r="I17" i="4"/>
  <c r="I14" i="4"/>
  <c r="I11" i="4"/>
  <c r="I37" i="4"/>
  <c r="I40" i="4"/>
  <c r="I35" i="4"/>
  <c r="I39" i="4"/>
  <c r="I34" i="4"/>
  <c r="I19" i="4"/>
  <c r="I13" i="4"/>
  <c r="I25" i="4"/>
  <c r="I36" i="4"/>
  <c r="I31" i="4"/>
  <c r="I28" i="4"/>
  <c r="I22" i="4"/>
  <c r="I16" i="4"/>
  <c r="I10" i="4"/>
  <c r="I26" i="39"/>
  <c r="D40" i="23"/>
  <c r="I30" i="14"/>
  <c r="I10" i="14"/>
  <c r="F36" i="14"/>
  <c r="I32" i="14"/>
  <c r="I23" i="14"/>
  <c r="I21" i="14"/>
  <c r="I17" i="14"/>
  <c r="I15" i="14"/>
  <c r="I24" i="14"/>
  <c r="I11" i="14"/>
  <c r="I27" i="14"/>
  <c r="I33" i="14"/>
  <c r="I20" i="14"/>
  <c r="I18" i="14"/>
  <c r="I14" i="14"/>
  <c r="E43" i="4"/>
  <c r="I38" i="62"/>
  <c r="I29" i="71"/>
  <c r="I14" i="69"/>
  <c r="I27" i="67"/>
  <c r="I36" i="80"/>
  <c r="I20" i="80"/>
  <c r="I32" i="71"/>
  <c r="I21" i="69"/>
  <c r="I43" i="63"/>
  <c r="D50" i="62"/>
  <c r="I37" i="61"/>
  <c r="I28" i="61"/>
  <c r="I19" i="61"/>
  <c r="I13" i="61"/>
  <c r="I33" i="61"/>
  <c r="I31" i="61"/>
  <c r="I18" i="61"/>
  <c r="C42" i="61"/>
  <c r="I24" i="61"/>
  <c r="I22" i="61"/>
  <c r="I10" i="61"/>
  <c r="I34" i="61"/>
  <c r="I12" i="61"/>
  <c r="I25" i="61"/>
  <c r="I27" i="61"/>
  <c r="E42" i="61"/>
  <c r="I16" i="61"/>
  <c r="I36" i="61"/>
  <c r="I22" i="68"/>
  <c r="I39" i="63"/>
  <c r="I20" i="59"/>
  <c r="I36" i="58"/>
  <c r="I34" i="58"/>
  <c r="I32" i="58"/>
  <c r="I10" i="58"/>
  <c r="E40" i="58"/>
  <c r="I24" i="58"/>
  <c r="I11" i="58"/>
  <c r="I26" i="58"/>
  <c r="I17" i="58"/>
  <c r="I33" i="58"/>
  <c r="I31" i="58"/>
  <c r="I29" i="58"/>
  <c r="I9" i="58"/>
  <c r="I22" i="58"/>
  <c r="I35" i="58"/>
  <c r="I16" i="58"/>
  <c r="F40" i="58"/>
  <c r="I15" i="58"/>
  <c r="I12" i="58"/>
  <c r="I36" i="63"/>
  <c r="I40" i="61"/>
  <c r="I21" i="52"/>
  <c r="F47" i="63"/>
  <c r="I10" i="60"/>
  <c r="C47" i="63"/>
  <c r="I30" i="63"/>
  <c r="I26" i="54"/>
  <c r="I18" i="52"/>
  <c r="I14" i="61"/>
  <c r="I22" i="57"/>
  <c r="I14" i="57"/>
  <c r="I18" i="57"/>
  <c r="I16" i="57"/>
  <c r="I11" i="57"/>
  <c r="I17" i="57"/>
  <c r="I19" i="57"/>
  <c r="F28" i="57"/>
  <c r="I23" i="57"/>
  <c r="I21" i="57"/>
  <c r="I10" i="57"/>
  <c r="D28" i="57"/>
  <c r="I30" i="50"/>
  <c r="C28" i="57"/>
  <c r="I26" i="56"/>
  <c r="C45" i="60"/>
  <c r="C45" i="50"/>
  <c r="H43" i="41"/>
  <c r="I41" i="38"/>
  <c r="I33" i="52"/>
  <c r="I37" i="47"/>
  <c r="I30" i="47"/>
  <c r="I27" i="47"/>
  <c r="I24" i="47"/>
  <c r="I21" i="47"/>
  <c r="I18" i="47"/>
  <c r="I15" i="47"/>
  <c r="I12" i="47"/>
  <c r="I9" i="47"/>
  <c r="I35" i="47"/>
  <c r="D49" i="47"/>
  <c r="I40" i="47"/>
  <c r="I38" i="47"/>
  <c r="I33" i="47"/>
  <c r="I39" i="47"/>
  <c r="I32" i="47"/>
  <c r="I29" i="47"/>
  <c r="I26" i="47"/>
  <c r="I23" i="47"/>
  <c r="I20" i="47"/>
  <c r="I17" i="47"/>
  <c r="I14" i="47"/>
  <c r="I11" i="47"/>
  <c r="I41" i="47"/>
  <c r="I34" i="47"/>
  <c r="I45" i="47"/>
  <c r="I43" i="47"/>
  <c r="I25" i="45"/>
  <c r="I43" i="42"/>
  <c r="I40" i="41"/>
  <c r="I35" i="41"/>
  <c r="I24" i="41"/>
  <c r="I19" i="41"/>
  <c r="I37" i="41"/>
  <c r="I32" i="41"/>
  <c r="I30" i="41"/>
  <c r="I21" i="41"/>
  <c r="I16" i="41"/>
  <c r="I13" i="41"/>
  <c r="I10" i="41"/>
  <c r="I33" i="41"/>
  <c r="I27" i="41"/>
  <c r="I22" i="41"/>
  <c r="I41" i="41"/>
  <c r="I38" i="41"/>
  <c r="I12" i="41"/>
  <c r="I9" i="41"/>
  <c r="I27" i="39"/>
  <c r="I23" i="62"/>
  <c r="E46" i="56"/>
  <c r="I10" i="51"/>
  <c r="C42" i="45"/>
  <c r="I22" i="45"/>
  <c r="I33" i="43"/>
  <c r="I29" i="42"/>
  <c r="I17" i="42"/>
  <c r="I22" i="40"/>
  <c r="I34" i="39"/>
  <c r="I35" i="62"/>
  <c r="I14" i="50"/>
  <c r="I31" i="47"/>
  <c r="I25" i="47"/>
  <c r="I19" i="47"/>
  <c r="I13" i="47"/>
  <c r="I35" i="46"/>
  <c r="I23" i="46"/>
  <c r="I11" i="46"/>
  <c r="I39" i="41"/>
  <c r="I23" i="41"/>
  <c r="I27" i="38"/>
  <c r="I41" i="60"/>
  <c r="I30" i="53"/>
  <c r="I13" i="53"/>
  <c r="I38" i="53"/>
  <c r="I36" i="53"/>
  <c r="I32" i="53"/>
  <c r="I25" i="53"/>
  <c r="I19" i="53"/>
  <c r="I12" i="53"/>
  <c r="I33" i="53"/>
  <c r="I18" i="53"/>
  <c r="I16" i="53"/>
  <c r="I10" i="53"/>
  <c r="E41" i="53"/>
  <c r="I20" i="53"/>
  <c r="C41" i="53"/>
  <c r="I9" i="53"/>
  <c r="I28" i="53"/>
  <c r="I23" i="53"/>
  <c r="I23" i="38"/>
  <c r="I31" i="53"/>
  <c r="E45" i="50"/>
  <c r="I33" i="56"/>
  <c r="I14" i="42"/>
  <c r="C44" i="46"/>
  <c r="I24" i="42"/>
  <c r="I42" i="33"/>
  <c r="E40" i="52"/>
  <c r="E44" i="41"/>
  <c r="I30" i="36"/>
  <c r="I25" i="36"/>
  <c r="I22" i="36"/>
  <c r="I20" i="36"/>
  <c r="I12" i="36"/>
  <c r="I9" i="36"/>
  <c r="I28" i="36"/>
  <c r="I15" i="36"/>
  <c r="I32" i="36"/>
  <c r="I34" i="36"/>
  <c r="I17" i="36"/>
  <c r="I14" i="36"/>
  <c r="I19" i="36"/>
  <c r="I27" i="36"/>
  <c r="I24" i="36"/>
  <c r="I11" i="36"/>
  <c r="I15" i="23"/>
  <c r="D47" i="21"/>
  <c r="I9" i="21"/>
  <c r="I37" i="16"/>
  <c r="I34" i="16"/>
  <c r="I31" i="16"/>
  <c r="I28" i="16"/>
  <c r="I33" i="16"/>
  <c r="I11" i="16"/>
  <c r="I36" i="16"/>
  <c r="I27" i="16"/>
  <c r="I14" i="16"/>
  <c r="I20" i="16"/>
  <c r="I16" i="16"/>
  <c r="I30" i="16"/>
  <c r="I10" i="16"/>
  <c r="I26" i="16"/>
  <c r="I17" i="16"/>
  <c r="I23" i="16"/>
  <c r="I19" i="16"/>
  <c r="D44" i="41"/>
  <c r="I38" i="39"/>
  <c r="E46" i="32"/>
  <c r="I42" i="32"/>
  <c r="I33" i="28"/>
  <c r="I23" i="28"/>
  <c r="I20" i="28"/>
  <c r="I18" i="28"/>
  <c r="I13" i="28"/>
  <c r="I36" i="28"/>
  <c r="I31" i="28"/>
  <c r="I28" i="28"/>
  <c r="I16" i="28"/>
  <c r="I11" i="28"/>
  <c r="I30" i="28"/>
  <c r="I37" i="28"/>
  <c r="I15" i="28"/>
  <c r="I17" i="28"/>
  <c r="I25" i="28"/>
  <c r="I22" i="28"/>
  <c r="I27" i="28"/>
  <c r="I10" i="28"/>
  <c r="I35" i="28"/>
  <c r="H38" i="28"/>
  <c r="I9" i="27"/>
  <c r="C44" i="24"/>
  <c r="I10" i="23"/>
  <c r="I34" i="18"/>
  <c r="I12" i="16"/>
  <c r="I36" i="26"/>
  <c r="I18" i="23"/>
  <c r="I12" i="14"/>
  <c r="I30" i="24"/>
  <c r="I38" i="23"/>
  <c r="I44" i="32"/>
  <c r="F36" i="36"/>
  <c r="D44" i="24"/>
  <c r="D31" i="22"/>
  <c r="I36" i="21"/>
  <c r="I36" i="20"/>
  <c r="F40" i="16"/>
  <c r="I24" i="4"/>
  <c r="I17" i="2"/>
  <c r="E39" i="28"/>
  <c r="I30" i="27"/>
  <c r="I18" i="27"/>
  <c r="H42" i="20"/>
  <c r="I31" i="18"/>
  <c r="I24" i="16"/>
  <c r="I25" i="14"/>
  <c r="H40" i="7"/>
  <c r="I38" i="4"/>
  <c r="I32" i="2"/>
  <c r="C43" i="20"/>
  <c r="I24" i="23"/>
  <c r="E40" i="15"/>
  <c r="I31" i="14"/>
  <c r="I45" i="5"/>
  <c r="I40" i="5"/>
  <c r="I37" i="5"/>
  <c r="I34" i="5"/>
  <c r="I31" i="5"/>
  <c r="I28" i="5"/>
  <c r="I25" i="5"/>
  <c r="I22" i="5"/>
  <c r="I20" i="5"/>
  <c r="I17" i="5"/>
  <c r="I14" i="5"/>
  <c r="I12" i="5"/>
  <c r="I43" i="5"/>
  <c r="I10" i="5"/>
  <c r="I39" i="5"/>
  <c r="I36" i="5"/>
  <c r="I33" i="5"/>
  <c r="I30" i="5"/>
  <c r="I27" i="5"/>
  <c r="I9" i="5"/>
  <c r="I42" i="5"/>
  <c r="I16" i="5"/>
  <c r="I47" i="5"/>
  <c r="I24" i="5"/>
  <c r="I19" i="5"/>
  <c r="I24" i="26"/>
  <c r="D43" i="4"/>
  <c r="E39" i="2"/>
  <c r="C39" i="2"/>
  <c r="I29" i="2"/>
  <c r="C42" i="8"/>
  <c r="F38" i="77"/>
  <c r="I9" i="69"/>
  <c r="I26" i="77"/>
  <c r="I37" i="76"/>
  <c r="I26" i="78"/>
  <c r="I16" i="78"/>
  <c r="I13" i="78"/>
  <c r="I35" i="78"/>
  <c r="I32" i="78"/>
  <c r="I29" i="78"/>
  <c r="I24" i="78"/>
  <c r="I21" i="78"/>
  <c r="I19" i="78"/>
  <c r="I20" i="78"/>
  <c r="I39" i="78"/>
  <c r="I12" i="78"/>
  <c r="I15" i="78"/>
  <c r="F45" i="76"/>
  <c r="C41" i="78"/>
  <c r="I17" i="79"/>
  <c r="I14" i="79"/>
  <c r="H37" i="75"/>
  <c r="E45" i="76"/>
  <c r="I29" i="76"/>
  <c r="I11" i="76"/>
  <c r="I13" i="76"/>
  <c r="F46" i="69"/>
  <c r="F38" i="66"/>
  <c r="I25" i="66"/>
  <c r="I23" i="66"/>
  <c r="E38" i="66"/>
  <c r="I19" i="66"/>
  <c r="I17" i="66"/>
  <c r="I32" i="66"/>
  <c r="I30" i="66"/>
  <c r="I28" i="66"/>
  <c r="I26" i="66"/>
  <c r="I15" i="66"/>
  <c r="I9" i="66"/>
  <c r="I16" i="66"/>
  <c r="I12" i="66"/>
  <c r="I31" i="66"/>
  <c r="I27" i="66"/>
  <c r="I33" i="66"/>
  <c r="I14" i="66"/>
  <c r="I29" i="66"/>
  <c r="I36" i="66"/>
  <c r="I22" i="66"/>
  <c r="I20" i="66"/>
  <c r="I45" i="72"/>
  <c r="I34" i="72"/>
  <c r="I25" i="72"/>
  <c r="I16" i="72"/>
  <c r="I11" i="72"/>
  <c r="I46" i="72"/>
  <c r="I12" i="72"/>
  <c r="I22" i="72"/>
  <c r="E49" i="72"/>
  <c r="I43" i="72"/>
  <c r="I40" i="72"/>
  <c r="I31" i="72"/>
  <c r="D49" i="72"/>
  <c r="I9" i="72"/>
  <c r="I15" i="72"/>
  <c r="I38" i="72"/>
  <c r="I35" i="72"/>
  <c r="I14" i="72"/>
  <c r="I26" i="72"/>
  <c r="I23" i="72"/>
  <c r="I29" i="72"/>
  <c r="I25" i="69"/>
  <c r="I41" i="65"/>
  <c r="I33" i="65"/>
  <c r="I28" i="65"/>
  <c r="I18" i="65"/>
  <c r="I13" i="65"/>
  <c r="I31" i="65"/>
  <c r="I16" i="65"/>
  <c r="I11" i="65"/>
  <c r="I38" i="65"/>
  <c r="I36" i="65"/>
  <c r="I34" i="65"/>
  <c r="I19" i="65"/>
  <c r="F43" i="65"/>
  <c r="I35" i="65"/>
  <c r="I30" i="65"/>
  <c r="I27" i="65"/>
  <c r="I12" i="65"/>
  <c r="I10" i="65"/>
  <c r="I22" i="65"/>
  <c r="I25" i="65"/>
  <c r="I15" i="65"/>
  <c r="I26" i="59"/>
  <c r="I30" i="79"/>
  <c r="I33" i="78"/>
  <c r="I26" i="62"/>
  <c r="D38" i="59"/>
  <c r="I31" i="70"/>
  <c r="I39" i="61"/>
  <c r="I17" i="60"/>
  <c r="I44" i="56"/>
  <c r="I20" i="54"/>
  <c r="I36" i="52"/>
  <c r="I16" i="52"/>
  <c r="I30" i="51"/>
  <c r="I24" i="71"/>
  <c r="I17" i="56"/>
  <c r="I18" i="63"/>
  <c r="I38" i="58"/>
  <c r="E41" i="54"/>
  <c r="I30" i="52"/>
  <c r="D44" i="46"/>
  <c r="I32" i="46"/>
  <c r="I20" i="46"/>
  <c r="I26" i="43"/>
  <c r="I38" i="42"/>
  <c r="I37" i="40"/>
  <c r="I26" i="40"/>
  <c r="I17" i="40"/>
  <c r="I15" i="40"/>
  <c r="I32" i="40"/>
  <c r="I34" i="40"/>
  <c r="I23" i="40"/>
  <c r="I20" i="40"/>
  <c r="I9" i="40"/>
  <c r="F40" i="40"/>
  <c r="I31" i="40"/>
  <c r="I29" i="40"/>
  <c r="E40" i="40"/>
  <c r="I18" i="40"/>
  <c r="I11" i="40"/>
  <c r="C43" i="39"/>
  <c r="I20" i="39"/>
  <c r="I35" i="38"/>
  <c r="H44" i="38"/>
  <c r="I31" i="51"/>
  <c r="I35" i="40"/>
  <c r="I18" i="39"/>
  <c r="I15" i="52"/>
  <c r="I43" i="50"/>
  <c r="I10" i="50"/>
  <c r="I38" i="45"/>
  <c r="I27" i="42"/>
  <c r="I15" i="42"/>
  <c r="I42" i="41"/>
  <c r="I32" i="39"/>
  <c r="I38" i="38"/>
  <c r="I16" i="69"/>
  <c r="I33" i="46"/>
  <c r="I21" i="46"/>
  <c r="I9" i="46"/>
  <c r="I19" i="45"/>
  <c r="I30" i="43"/>
  <c r="I15" i="43"/>
  <c r="I30" i="39"/>
  <c r="I18" i="38"/>
  <c r="I39" i="50"/>
  <c r="I14" i="38"/>
  <c r="I37" i="51"/>
  <c r="D40" i="43"/>
  <c r="I36" i="41"/>
  <c r="I11" i="38"/>
  <c r="F45" i="33"/>
  <c r="I24" i="33"/>
  <c r="I36" i="44"/>
  <c r="I31" i="44"/>
  <c r="I18" i="44"/>
  <c r="I13" i="44"/>
  <c r="I33" i="44"/>
  <c r="I28" i="44"/>
  <c r="I15" i="44"/>
  <c r="I10" i="44"/>
  <c r="I43" i="44"/>
  <c r="I25" i="44"/>
  <c r="I40" i="44"/>
  <c r="I22" i="44"/>
  <c r="I45" i="44"/>
  <c r="F49" i="44"/>
  <c r="I47" i="44"/>
  <c r="I37" i="44"/>
  <c r="I34" i="44"/>
  <c r="E49" i="44"/>
  <c r="I19" i="44"/>
  <c r="I16" i="44"/>
  <c r="I42" i="44"/>
  <c r="I39" i="44"/>
  <c r="I24" i="44"/>
  <c r="I21" i="44"/>
  <c r="I41" i="42"/>
  <c r="I16" i="40"/>
  <c r="I33" i="39"/>
  <c r="I17" i="32"/>
  <c r="I41" i="48"/>
  <c r="I24" i="48"/>
  <c r="I22" i="48"/>
  <c r="I20" i="48"/>
  <c r="I11" i="48"/>
  <c r="I9" i="48"/>
  <c r="I44" i="48"/>
  <c r="I27" i="48"/>
  <c r="I16" i="48"/>
  <c r="I32" i="48"/>
  <c r="I21" i="48"/>
  <c r="I40" i="48"/>
  <c r="I38" i="48"/>
  <c r="I17" i="48"/>
  <c r="I26" i="48"/>
  <c r="I19" i="48"/>
  <c r="I35" i="48"/>
  <c r="I28" i="48"/>
  <c r="I13" i="48"/>
  <c r="I15" i="48"/>
  <c r="I45" i="48"/>
  <c r="I43" i="48"/>
  <c r="I25" i="41"/>
  <c r="I24" i="39"/>
  <c r="I35" i="56"/>
  <c r="I17" i="51"/>
  <c r="I27" i="37"/>
  <c r="I10" i="37"/>
  <c r="I41" i="37"/>
  <c r="I36" i="37"/>
  <c r="I33" i="37"/>
  <c r="I30" i="37"/>
  <c r="I25" i="37"/>
  <c r="I22" i="37"/>
  <c r="I19" i="37"/>
  <c r="I16" i="37"/>
  <c r="I13" i="37"/>
  <c r="I18" i="37"/>
  <c r="I15" i="37"/>
  <c r="I38" i="37"/>
  <c r="I12" i="37"/>
  <c r="I9" i="37"/>
  <c r="I35" i="37"/>
  <c r="I43" i="37"/>
  <c r="I40" i="37"/>
  <c r="I24" i="37"/>
  <c r="I21" i="37"/>
  <c r="I32" i="37"/>
  <c r="I29" i="37"/>
  <c r="I26" i="37"/>
  <c r="I37" i="31"/>
  <c r="I35" i="31"/>
  <c r="I30" i="31"/>
  <c r="I24" i="31"/>
  <c r="I18" i="31"/>
  <c r="I12" i="31"/>
  <c r="I38" i="31"/>
  <c r="I27" i="31"/>
  <c r="I21" i="31"/>
  <c r="I15" i="31"/>
  <c r="I29" i="31"/>
  <c r="I23" i="31"/>
  <c r="I17" i="31"/>
  <c r="I11" i="31"/>
  <c r="I9" i="31"/>
  <c r="I16" i="24"/>
  <c r="I28" i="18"/>
  <c r="I11" i="15"/>
  <c r="F41" i="49"/>
  <c r="F46" i="32"/>
  <c r="I36" i="31"/>
  <c r="E42" i="45"/>
  <c r="I39" i="32"/>
  <c r="I26" i="31"/>
  <c r="I14" i="31"/>
  <c r="I15" i="27"/>
  <c r="I17" i="39"/>
  <c r="I37" i="33"/>
  <c r="I23" i="24"/>
  <c r="E40" i="23"/>
  <c r="I39" i="21"/>
  <c r="I28" i="21"/>
  <c r="I11" i="21"/>
  <c r="I19" i="21"/>
  <c r="I13" i="21"/>
  <c r="I18" i="26"/>
  <c r="I36" i="15"/>
  <c r="E47" i="21"/>
  <c r="I34" i="9"/>
  <c r="I29" i="9"/>
  <c r="I26" i="9"/>
  <c r="I23" i="9"/>
  <c r="I12" i="9"/>
  <c r="I32" i="9"/>
  <c r="I21" i="9"/>
  <c r="I18" i="9"/>
  <c r="I15" i="9"/>
  <c r="I14" i="9"/>
  <c r="I33" i="9"/>
  <c r="I31" i="9"/>
  <c r="I9" i="9"/>
  <c r="I28" i="9"/>
  <c r="I25" i="9"/>
  <c r="I22" i="9"/>
  <c r="I11" i="9"/>
  <c r="I20" i="9"/>
  <c r="I17" i="9"/>
  <c r="I21" i="4"/>
  <c r="H41" i="8"/>
  <c r="F49" i="27"/>
  <c r="I16" i="22"/>
  <c r="I32" i="20"/>
  <c r="I26" i="20"/>
  <c r="I9" i="20"/>
  <c r="I33" i="23"/>
  <c r="D39" i="18"/>
  <c r="D37" i="9"/>
  <c r="I41" i="4"/>
  <c r="D49" i="5"/>
  <c r="I27" i="2"/>
  <c r="D39" i="2"/>
  <c r="F43" i="4"/>
</calcChain>
</file>

<file path=xl/sharedStrings.xml><?xml version="1.0" encoding="utf-8"?>
<sst xmlns="http://schemas.openxmlformats.org/spreadsheetml/2006/main" count="10032" uniqueCount="357">
  <si>
    <t>PRODUTTORE</t>
  </si>
  <si>
    <t>COMUNE DI AMARO</t>
  </si>
  <si>
    <t>PERIODO</t>
  </si>
  <si>
    <t>01/01/2024 - 31/10/2024</t>
  </si>
  <si>
    <t>ABITANTI</t>
  </si>
  <si>
    <t>KG/PERIODO</t>
  </si>
  <si>
    <t>GRUPPO RIFIUTI</t>
  </si>
  <si>
    <t>RIFIUTO</t>
  </si>
  <si>
    <t>DOMICILIARE</t>
  </si>
  <si>
    <t>STRADALE</t>
  </si>
  <si>
    <t>CDR</t>
  </si>
  <si>
    <t>ALTRO</t>
  </si>
  <si>
    <t>TOTALE</t>
  </si>
  <si>
    <t>KG/AB/PERIODO</t>
  </si>
  <si>
    <t>% TOTALE</t>
  </si>
  <si>
    <t>% SU 2023</t>
  </si>
  <si>
    <t>Rifiuti urbani differenziati</t>
  </si>
  <si>
    <t>080318 - Toner</t>
  </si>
  <si>
    <t>150101 - imballaggi in carta e cartone</t>
  </si>
  <si>
    <t>150106 - Multimateriale Plastica + lattine</t>
  </si>
  <si>
    <t>150107 - Imballaggi in vetro</t>
  </si>
  <si>
    <t>150111 - * Bombolette spray</t>
  </si>
  <si>
    <t>160103 - Pneumatici</t>
  </si>
  <si>
    <t>170904 - Inerti</t>
  </si>
  <si>
    <t>200101 - Carta e cartone</t>
  </si>
  <si>
    <t>200102 - Lastre di vetro</t>
  </si>
  <si>
    <t>200108 - Umido</t>
  </si>
  <si>
    <t>200110 - Abbigliamento</t>
  </si>
  <si>
    <t>200111 - Prodotti tessili</t>
  </si>
  <si>
    <t>200123 - * RAEE R1 (Frigoriferi)</t>
  </si>
  <si>
    <t>200125 - Oli vegetali</t>
  </si>
  <si>
    <t>200126 - * Oli pericolosi</t>
  </si>
  <si>
    <t>200127 - * Pitture e vernici pericolose</t>
  </si>
  <si>
    <t>200132 - Medicinali scaduti</t>
  </si>
  <si>
    <t>200133 - * Batterie al piombo</t>
  </si>
  <si>
    <t>200133 - * Pile portatili</t>
  </si>
  <si>
    <t>200135 - * RAEE R3 (TV e monitor)</t>
  </si>
  <si>
    <t>200136 - RAEE R2 (Lavatrici)</t>
  </si>
  <si>
    <t>200138 - Legno</t>
  </si>
  <si>
    <t>200139 - Plastiche dure</t>
  </si>
  <si>
    <t>200140 - Metallo</t>
  </si>
  <si>
    <t>200201 - Verde</t>
  </si>
  <si>
    <t>200121 - * RAEE R5 (Lampade fluorescenti)</t>
  </si>
  <si>
    <t>200136 - RAEE R4 (Piccoli elettrodomestici)</t>
  </si>
  <si>
    <t>Rifiuti urbani non differenziati</t>
  </si>
  <si>
    <t>200301 - R.S.U. Secco residuo</t>
  </si>
  <si>
    <t>200307 - Ingombranti</t>
  </si>
  <si>
    <t>200303 - Residui della pulizia stradale</t>
  </si>
  <si>
    <t>Altri rifiuti urbani</t>
  </si>
  <si>
    <t>170603 - * Altri materiali isolanti</t>
  </si>
  <si>
    <t>170802 - Mater. da costruz. a base di gesso</t>
  </si>
  <si>
    <t>160216 - Toner</t>
  </si>
  <si>
    <t>* rifiuti pericolosi</t>
  </si>
  <si>
    <t>GRUPPO RIFIUTI (kg/periodo)</t>
  </si>
  <si>
    <t>RIFIUTI URBANI DIFFERENZIATI</t>
  </si>
  <si>
    <t>RIFIUTI URBANI NON DIFFERENZIATI</t>
  </si>
  <si>
    <t>ALTRI RIFIUTI URBANI</t>
  </si>
  <si>
    <t>PERCENTUALE RACCOLTA DIFFERENZIATA</t>
  </si>
  <si>
    <t>PERCENTUALE RACCOLTA DIFFERENZIATA (ARPA)</t>
  </si>
  <si>
    <t>2023 A&amp;T 2000</t>
  </si>
  <si>
    <t>LEGENDA</t>
  </si>
  <si>
    <t>'2023</t>
  </si>
  <si>
    <t>% RD calcolata secondo le linee guida ARPA</t>
  </si>
  <si>
    <t>% RD del Comune 
nell'anno 2024</t>
  </si>
  <si>
    <t>% RD del Comune 
nell'anno 2023</t>
  </si>
  <si>
    <t>% RD media del bacino 
di A&amp;T2000 nell'anno 2023</t>
  </si>
  <si>
    <t>PERCENTUALE RACCOLTA DIFFERENZIATA (A&amp;T 2000)</t>
  </si>
  <si>
    <t>% RD calcolata al netto degli scarti dei rifiuti raccolti</t>
  </si>
  <si>
    <t>DIFFERENZIALI PRINCIPALI PARAMETRI (kg/ab anno)</t>
  </si>
  <si>
    <t>COMUNE DI AMARO**</t>
  </si>
  <si>
    <t>A&amp;T 2000 **</t>
  </si>
  <si>
    <t>TARIC **</t>
  </si>
  <si>
    <t>PROIEZIONE ***</t>
  </si>
  <si>
    <t>SECCO RESIDUO</t>
  </si>
  <si>
    <t>ORGANICO</t>
  </si>
  <si>
    <t>RIF. DIFF.</t>
  </si>
  <si>
    <t>RIF. NON DIFF.</t>
  </si>
  <si>
    <t>COMUNE DI ________**</t>
  </si>
  <si>
    <t>media degli ultimi 5 anni del Comune diAMARO</t>
  </si>
  <si>
    <t>media degli ultimi 5 anni di tutti i Comuni del bacino di A&amp;T 2000</t>
  </si>
  <si>
    <t>media degli ultimi 5 anni dei Comuni dove si applica la TARIC</t>
  </si>
  <si>
    <t>Proiezione dei dati parziali sull'anno in corso</t>
  </si>
  <si>
    <t>COMUNE DI AMPEZZO</t>
  </si>
  <si>
    <t>COMUNE DI AMPEZZO**</t>
  </si>
  <si>
    <t>media degli ultimi 5 anni del Comune diAMPEZZO</t>
  </si>
  <si>
    <t>COMUNE DI ARTA TERME</t>
  </si>
  <si>
    <t>170604 - Materiali isolanti</t>
  </si>
  <si>
    <t>COMUNE DI ARTA TERME**</t>
  </si>
  <si>
    <t>media degli ultimi 5 anni del Comune diARTA TERME</t>
  </si>
  <si>
    <t>COMUNE DI ARTEGNA</t>
  </si>
  <si>
    <t>150102 - Imballaggi in plastica</t>
  </si>
  <si>
    <t>COMUNE DI ARTEGNA**</t>
  </si>
  <si>
    <t>media degli ultimi 5 anni del Comune diARTEGNA</t>
  </si>
  <si>
    <t>COMUNE DI BASILIANO</t>
  </si>
  <si>
    <t>170204 - Vetro, plastica e legno pericolosi</t>
  </si>
  <si>
    <t>150110 - * Imballaggi per pitture e vernici</t>
  </si>
  <si>
    <t>160304 - Rifiuti inorganici</t>
  </si>
  <si>
    <t>160504 - Bombolette spray</t>
  </si>
  <si>
    <t>170301 - Miscele bituminose contenenti catrame di carbone</t>
  </si>
  <si>
    <t>170101 - Cemento</t>
  </si>
  <si>
    <t>COMUNE DI BASILIANO**</t>
  </si>
  <si>
    <t>media degli ultimi 5 anni del Comune diBASILIANO</t>
  </si>
  <si>
    <t>COMUNE DI BERTIOLO</t>
  </si>
  <si>
    <t>COMUNE DI BERTIOLO**</t>
  </si>
  <si>
    <t>media degli ultimi 5 anni del Comune diBERTIOLO</t>
  </si>
  <si>
    <t>COMUNE DI BORDANO</t>
  </si>
  <si>
    <t>COMUNE DI BORDANO**</t>
  </si>
  <si>
    <t>media degli ultimi 5 anni del Comune diBORDANO</t>
  </si>
  <si>
    <t>COMUNE DI BUTTRIO</t>
  </si>
  <si>
    <t>COMUNE DI BUTTRIO**</t>
  </si>
  <si>
    <t>media degli ultimi 5 anni del Comune diBUTTRIO</t>
  </si>
  <si>
    <t>COMUNE DI CAMINO AL TAGLIAMENTO</t>
  </si>
  <si>
    <t>COMUNE DI CAMINO AL TAGLIAMENTO**</t>
  </si>
  <si>
    <t>media degli ultimi 5 anni del Comune diCAMINO AL TAGLIAMENTO</t>
  </si>
  <si>
    <t>COMUNE DI CAMPOFORMIDO</t>
  </si>
  <si>
    <t>200306 - Pulizia fognature</t>
  </si>
  <si>
    <t>170201 - LEgno</t>
  </si>
  <si>
    <t>COMUNE DI CAMPOFORMIDO**</t>
  </si>
  <si>
    <t>media degli ultimi 5 anni del Comune diCAMPOFORMIDO</t>
  </si>
  <si>
    <t>COMUNE DI CAVAZZO CARNICO</t>
  </si>
  <si>
    <t>200304 - fanghi</t>
  </si>
  <si>
    <t>COMUNE DI CAVAZZO CARNICO**</t>
  </si>
  <si>
    <t>media degli ultimi 5 anni del Comune diCAVAZZO CARNICO</t>
  </si>
  <si>
    <t>COMUNE DI CERCIVENTO</t>
  </si>
  <si>
    <t>COMUNE DI CERCIVENTO**</t>
  </si>
  <si>
    <t>media degli ultimi 5 anni del Comune diCERCIVENTO</t>
  </si>
  <si>
    <t>COMUNE DI CODROIPO</t>
  </si>
  <si>
    <t>170503 - Terre e rocce, contenenti sostanze pericolose</t>
  </si>
  <si>
    <t>160708 - rifiuti contenenti olio</t>
  </si>
  <si>
    <t>160305 - * Rifiuti organici pericolosi</t>
  </si>
  <si>
    <t>COMUNE DI CODROIPO**</t>
  </si>
  <si>
    <t>media degli ultimi 5 anni del Comune diCODROIPO</t>
  </si>
  <si>
    <t>COMUNE DI COLLOREDO DI MONTE ALBANO</t>
  </si>
  <si>
    <t>150104 - Imballaggi metallici (lattine)</t>
  </si>
  <si>
    <t>COMUNE DI COLLOREDO DI MONTE ALBANO**</t>
  </si>
  <si>
    <t>media degli ultimi 5 anni del Comune diCOLLOREDO DI MONTE ALBANO</t>
  </si>
  <si>
    <t>COMUNE DI COMEGLIANS</t>
  </si>
  <si>
    <t>COMUNE DI COMEGLIANS**</t>
  </si>
  <si>
    <t>media degli ultimi 5 anni del Comune diCOMEGLIANS</t>
  </si>
  <si>
    <t>COMUNE DI CORNO DI ROSAZZO</t>
  </si>
  <si>
    <t>COMUNE DI CORNO DI ROSAZZO**</t>
  </si>
  <si>
    <t>media degli ultimi 5 anni del Comune diCORNO DI ROSAZZO</t>
  </si>
  <si>
    <t>COMUNE DI COSEANO</t>
  </si>
  <si>
    <t>200203 - Altri rifiuti non compostabili</t>
  </si>
  <si>
    <t>200134 - * Pile portatili</t>
  </si>
  <si>
    <t>170903 - * Altri rifiuti inerti</t>
  </si>
  <si>
    <t>COMUNE DI COSEANO**</t>
  </si>
  <si>
    <t>media degli ultimi 5 anni del Comune diCOSEANO</t>
  </si>
  <si>
    <t>COMUNE DI DIGNANO</t>
  </si>
  <si>
    <t>COMUNE DI DIGNANO**</t>
  </si>
  <si>
    <t>media degli ultimi 5 anni del Comune diDIGNANO</t>
  </si>
  <si>
    <t>COMUNE DI DOGNA</t>
  </si>
  <si>
    <t>COMUNE DI DOGNA**</t>
  </si>
  <si>
    <t>media degli ultimi 5 anni del Comune diDOGNA</t>
  </si>
  <si>
    <t>COMUNE DI ENEMONZO</t>
  </si>
  <si>
    <t>190802 - Rifiuti dell'eliminazione della sabbia</t>
  </si>
  <si>
    <t>COMUNE DI ENEMONZO**</t>
  </si>
  <si>
    <t>media degli ultimi 5 anni del Comune diENEMONZO</t>
  </si>
  <si>
    <t>COMUNE DI FAGAGNA</t>
  </si>
  <si>
    <t>170107 - Inerti</t>
  </si>
  <si>
    <t>200137 - legno, contenente sostanze pericolose</t>
  </si>
  <si>
    <t>170203 - Plastica</t>
  </si>
  <si>
    <t>COMUNE DI FAGAGNA**</t>
  </si>
  <si>
    <t>media degli ultimi 5 anni del Comune diFAGAGNA</t>
  </si>
  <si>
    <t>COMUNE DI FLAIBANO</t>
  </si>
  <si>
    <t>COMUNE DI FLAIBANO**</t>
  </si>
  <si>
    <t>media degli ultimi 5 anni del Comune diFLAIBANO</t>
  </si>
  <si>
    <t>COMUNE DI FORGARIA NEL FRIULI</t>
  </si>
  <si>
    <t>170405 - Ferro e acciaio</t>
  </si>
  <si>
    <t>COMUNE DI FORGARIA NEL FRIULI**</t>
  </si>
  <si>
    <t>media degli ultimi 5 anni del Comune diFORGARIA NEL FRIULI</t>
  </si>
  <si>
    <t>COMUNE DI FORNI AVOLTRI</t>
  </si>
  <si>
    <t>130205 - scarti olio minerale</t>
  </si>
  <si>
    <t xml:space="preserve">160211 - Apparecchiature fuori uso, contenenti clorofluorocarburi, HCFC, HFC   </t>
  </si>
  <si>
    <t>160104 - Veicoli fuori uso</t>
  </si>
  <si>
    <t>COMUNE DI FORNI AVOLTRI**</t>
  </si>
  <si>
    <t>media degli ultimi 5 anni del Comune diFORNI AVOLTRI</t>
  </si>
  <si>
    <t>COMUNE DI FORNI DI SOPRA</t>
  </si>
  <si>
    <t>COMUNE DI FORNI DI SOPRA**</t>
  </si>
  <si>
    <t>media degli ultimi 5 anni del Comune diFORNI DI SOPRA</t>
  </si>
  <si>
    <t>COMUNE DI FORNI DI SOTTO</t>
  </si>
  <si>
    <t>COMUNE DI FORNI DI SOTTO**</t>
  </si>
  <si>
    <t>media degli ultimi 5 anni del Comune diFORNI DI SOTTO</t>
  </si>
  <si>
    <t>COMUNE DI GEMONA DEL FRIULI</t>
  </si>
  <si>
    <t>170406 - Stagno</t>
  </si>
  <si>
    <t>COMUNE DI GEMONA DEL FRIULI**</t>
  </si>
  <si>
    <t>media degli ultimi 5 anni del Comune diGEMONA DEL FRIULI</t>
  </si>
  <si>
    <t>COMUNE DI LAUCO</t>
  </si>
  <si>
    <t>COMUNE DI LAUCO**</t>
  </si>
  <si>
    <t>media degli ultimi 5 anni del Comune diLAUCO</t>
  </si>
  <si>
    <t>COMUNE DI LESTIZZA</t>
  </si>
  <si>
    <t>COMUNE DI LESTIZZA**</t>
  </si>
  <si>
    <t>media degli ultimi 5 anni del Comune diLESTIZZA</t>
  </si>
  <si>
    <t>COMUNE DI LUSEVERA</t>
  </si>
  <si>
    <t xml:space="preserve">170605 - Materiali costruzione con amianto       </t>
  </si>
  <si>
    <t>COMUNE DI LUSEVERA**</t>
  </si>
  <si>
    <t>media degli ultimi 5 anni del Comune diLUSEVERA</t>
  </si>
  <si>
    <t>COMUNE DI MAGNANO IN RIVIERA</t>
  </si>
  <si>
    <t>160213 - apparecchiature fuori uso, contenenti componenti pericolosi (2) diversi da quelli di cui alle voci 16 02 09 e 16 02 12</t>
  </si>
  <si>
    <t>COMUNE DI MAGNANO IN RIVIERA**</t>
  </si>
  <si>
    <t>media degli ultimi 5 anni del Comune diMAGNANO IN RIVIERA</t>
  </si>
  <si>
    <t>COMUNE DI MAJANO</t>
  </si>
  <si>
    <t>200129 - Detergenti contenenti sostanze pericolose</t>
  </si>
  <si>
    <t>COMUNE DI MAJANO**</t>
  </si>
  <si>
    <t>media degli ultimi 5 anni del Comune diMAJANO</t>
  </si>
  <si>
    <t>COMUNE DI MARTIGNACCO</t>
  </si>
  <si>
    <t>COMUNE DI MARTIGNACCO**</t>
  </si>
  <si>
    <t>media degli ultimi 5 anni del Comune diMARTIGNACCO</t>
  </si>
  <si>
    <t>COMUNE DI MOGGIO UDINESE</t>
  </si>
  <si>
    <t>COMUNE DI MOGGIO UDINESE**</t>
  </si>
  <si>
    <t>media degli ultimi 5 anni del Comune diMOGGIO UDINESE</t>
  </si>
  <si>
    <t>COMUNE DI MOIMACCO</t>
  </si>
  <si>
    <t>COMUNE DI MOIMACCO**</t>
  </si>
  <si>
    <t>media degli ultimi 5 anni del Comune diMOIMACCO</t>
  </si>
  <si>
    <t>COMUNE DI MONTENARS</t>
  </si>
  <si>
    <t>COMUNE DI MONTENARS**</t>
  </si>
  <si>
    <t>media degli ultimi 5 anni del Comune diMONTENARS</t>
  </si>
  <si>
    <t>COMUNE DI MORTEGLIANO</t>
  </si>
  <si>
    <t>150203 - assorbenti,mat.filtranti,stracci</t>
  </si>
  <si>
    <t>170504 - Terre e rocce</t>
  </si>
  <si>
    <t>COMUNE DI MORTEGLIANO**</t>
  </si>
  <si>
    <t>media degli ultimi 5 anni del Comune diMORTEGLIANO</t>
  </si>
  <si>
    <t>COMUNE DI MORUZZO</t>
  </si>
  <si>
    <t xml:space="preserve">160214 - APPARECCHIATURE FUORI USO, DIVERSE      </t>
  </si>
  <si>
    <t>COMUNE DI MORUZZO**</t>
  </si>
  <si>
    <t>media degli ultimi 5 anni del Comune diMORUZZO</t>
  </si>
  <si>
    <t>COMUNE DI NIMIS</t>
  </si>
  <si>
    <t>130802 - Olio minerale</t>
  </si>
  <si>
    <t>COMUNE DI NIMIS**</t>
  </si>
  <si>
    <t>media degli ultimi 5 anni del Comune diNIMIS</t>
  </si>
  <si>
    <t>COMUNE DI OSOPPO</t>
  </si>
  <si>
    <t>COMUNE DI OSOPPO**</t>
  </si>
  <si>
    <t>media degli ultimi 5 anni del Comune diOSOPPO</t>
  </si>
  <si>
    <t>COMUNE DI OVARO</t>
  </si>
  <si>
    <t>COMUNE DI OVARO**</t>
  </si>
  <si>
    <t>media degli ultimi 5 anni del Comune diOVARO</t>
  </si>
  <si>
    <t>COMUNE DI PAGNACCO</t>
  </si>
  <si>
    <t>COMUNE DI PAGNACCO**</t>
  </si>
  <si>
    <t>media degli ultimi 5 anni del Comune diPAGNACCO</t>
  </si>
  <si>
    <t>COMUNE DI PALUZZA</t>
  </si>
  <si>
    <t>COMUNE DI PALUZZA**</t>
  </si>
  <si>
    <t>media degli ultimi 5 anni del Comune diPALUZZA</t>
  </si>
  <si>
    <t>COMUNE DI PASIAN DI PRATO</t>
  </si>
  <si>
    <t>160306 - Rifiuti organici diversi da quelli di cui alla voce 160305</t>
  </si>
  <si>
    <t>COMUNE DI PASIAN DI PRATO**</t>
  </si>
  <si>
    <t>media degli ultimi 5 anni del Comune diPASIAN DI PRATO</t>
  </si>
  <si>
    <t>COMUNE DI PAULARO</t>
  </si>
  <si>
    <t>COMUNE DI PAULARO**</t>
  </si>
  <si>
    <t>media degli ultimi 5 anni del Comune diPAULARO</t>
  </si>
  <si>
    <t>COMUNE DI PAVIA DI UDINE</t>
  </si>
  <si>
    <t>COMUNE DI PAVIA DI UDINE**</t>
  </si>
  <si>
    <t>media degli ultimi 5 anni del Comune diPAVIA DI UDINE</t>
  </si>
  <si>
    <t>COMUNE DI POZZUOLO DEL FRIULI</t>
  </si>
  <si>
    <t>COMUNE DI POZZUOLO DEL FRIULI**</t>
  </si>
  <si>
    <t>media degli ultimi 5 anni del Comune diPOZZUOLO DEL FRIULI</t>
  </si>
  <si>
    <t>COMUNE DI PRADAMANO</t>
  </si>
  <si>
    <t>COMUNE DI PRADAMANO**</t>
  </si>
  <si>
    <t>media degli ultimi 5 anni del Comune diPRADAMANO</t>
  </si>
  <si>
    <t>COMUNE DI PRATO CARNICO</t>
  </si>
  <si>
    <t>COMUNE DI PRATO CARNICO**</t>
  </si>
  <si>
    <t>media degli ultimi 5 anni del Comune diPRATO CARNICO</t>
  </si>
  <si>
    <t>COMUNE DI PREMARIACCO</t>
  </si>
  <si>
    <t>170302 - Miscele bituminose</t>
  </si>
  <si>
    <t>COMUNE DI PREMARIACCO**</t>
  </si>
  <si>
    <t>media degli ultimi 5 anni del Comune diPREMARIACCO</t>
  </si>
  <si>
    <t>COMUNE DI PREONE</t>
  </si>
  <si>
    <t>COMUNE DI PREONE**</t>
  </si>
  <si>
    <t>media degli ultimi 5 anni del Comune diPREONE</t>
  </si>
  <si>
    <t>COMUNE DI RAGOGNA</t>
  </si>
  <si>
    <t>COMUNE DI RAGOGNA**</t>
  </si>
  <si>
    <t>media degli ultimi 5 anni del Comune diRAGOGNA</t>
  </si>
  <si>
    <t>COMUNE DI RAVASCLETTO</t>
  </si>
  <si>
    <t>COMUNE DI RAVASCLETTO**</t>
  </si>
  <si>
    <t>media degli ultimi 5 anni del Comune diRAVASCLETTO</t>
  </si>
  <si>
    <t>COMUNE DI RAVEO</t>
  </si>
  <si>
    <t>COMUNE DI RAVEO**</t>
  </si>
  <si>
    <t>media degli ultimi 5 anni del Comune diRAVEO</t>
  </si>
  <si>
    <t>COMUNE DI REANA DEL ROJALE</t>
  </si>
  <si>
    <t>COMUNE DI REANA DEL ROJALE**</t>
  </si>
  <si>
    <t>media degli ultimi 5 anni del Comune diREANA DEL ROJALE</t>
  </si>
  <si>
    <t>COMUNE DI REMANZACCO</t>
  </si>
  <si>
    <t>COMUNE DI REMANZACCO**</t>
  </si>
  <si>
    <t>media degli ultimi 5 anni del Comune diREMANZACCO</t>
  </si>
  <si>
    <t>COMUNE DI RESIUTTA</t>
  </si>
  <si>
    <t>COMUNE DI RESIUTTA**</t>
  </si>
  <si>
    <t>media degli ultimi 5 anni del Comune diRESIUTTA</t>
  </si>
  <si>
    <t>COMUNE DI RIGOLATO</t>
  </si>
  <si>
    <t>COMUNE DI RIGOLATO**</t>
  </si>
  <si>
    <t>media degli ultimi 5 anni del Comune diRIGOLATO</t>
  </si>
  <si>
    <t>COMUNE DI RIVE D'ARCANO</t>
  </si>
  <si>
    <t>COMUNE DI RIVE D'ARCANO**</t>
  </si>
  <si>
    <t>media degli ultimi 5 anni del Comune diRIVE D'ARCANO</t>
  </si>
  <si>
    <t>COMUNE DI RIVIGNANO TEOR</t>
  </si>
  <si>
    <t>COMUNE DI RIVIGNANO TEOR**</t>
  </si>
  <si>
    <t>media degli ultimi 5 anni del Comune diRIVIGNANO TEOR</t>
  </si>
  <si>
    <t>COMUNE DI SAN DANIELE DEL FRIULI</t>
  </si>
  <si>
    <t>COMUNE DI SAN DANIELE DEL FRIULI**</t>
  </si>
  <si>
    <t>media degli ultimi 5 anni del Comune diSAN DANIELE DEL FRIULI</t>
  </si>
  <si>
    <t>COMUNE DI SAN DORLIGO DELLA VALLE**</t>
  </si>
  <si>
    <t>media degli ultimi 5 anni del Comune diSAN DORLIGO DELLA VALLE</t>
  </si>
  <si>
    <t>COMUNE DI SAN GIOVANNI AL NATISONE</t>
  </si>
  <si>
    <t>161002 - soluzioni acquose di scarto, diverse da quelle di cui alla voce 16 10 01</t>
  </si>
  <si>
    <t>160505 - Gas in contenitori a pressione</t>
  </si>
  <si>
    <t>COMUNE DI SAN GIOVANNI AL NATISONE**</t>
  </si>
  <si>
    <t>media degli ultimi 5 anni del Comune diSAN GIOVANNI AL NATISONE</t>
  </si>
  <si>
    <t>COMUNE DI SAN VITO DI FAGAGNA</t>
  </si>
  <si>
    <t>COMUNE DI SAN VITO DI FAGAGNA**</t>
  </si>
  <si>
    <t>media degli ultimi 5 anni del Comune diSAN VITO DI FAGAGNA</t>
  </si>
  <si>
    <t>COMUNE DI SAPPADA</t>
  </si>
  <si>
    <t>COMUNE DI SAPPADA**</t>
  </si>
  <si>
    <t>media degli ultimi 5 anni del Comune diSAPPADA</t>
  </si>
  <si>
    <t>COMUNE DI SAURIS</t>
  </si>
  <si>
    <t>COMUNE DI SAURIS**</t>
  </si>
  <si>
    <t>media degli ultimi 5 anni del Comune diSAURIS</t>
  </si>
  <si>
    <t>COMUNE DI SEDEGLIANO</t>
  </si>
  <si>
    <t>COMUNE DI SEDEGLIANO**</t>
  </si>
  <si>
    <t>media degli ultimi 5 anni del Comune diSEDEGLIANO</t>
  </si>
  <si>
    <t>COMUNE DI SOCCHIEVE</t>
  </si>
  <si>
    <t>COMUNE DI SOCCHIEVE**</t>
  </si>
  <si>
    <t>media degli ultimi 5 anni del Comune diSOCCHIEVE</t>
  </si>
  <si>
    <t>COMUNE DI SUTRIO</t>
  </si>
  <si>
    <t>COMUNE DI SUTRIO**</t>
  </si>
  <si>
    <t>media degli ultimi 5 anni del Comune diSUTRIO</t>
  </si>
  <si>
    <t>COMUNE DI TAIPANA</t>
  </si>
  <si>
    <t>COMUNE DI TAIPANA**</t>
  </si>
  <si>
    <t>media degli ultimi 5 anni del Comune diTAIPANA</t>
  </si>
  <si>
    <t>COMUNE DI TARCENTO</t>
  </si>
  <si>
    <t>COMUNE DI TARCENTO**</t>
  </si>
  <si>
    <t>media degli ultimi 5 anni del Comune diTARCENTO</t>
  </si>
  <si>
    <t>COMUNE DI TOLMEZZO</t>
  </si>
  <si>
    <t>COMUNE DI TOLMEZZO**</t>
  </si>
  <si>
    <t>media degli ultimi 5 anni del Comune diTOLMEZZO</t>
  </si>
  <si>
    <t>COMUNE DI TRASAGHIS</t>
  </si>
  <si>
    <t>COMUNE DI TRASAGHIS**</t>
  </si>
  <si>
    <t>media degli ultimi 5 anni del Comune diTRASAGHIS</t>
  </si>
  <si>
    <t>COMUNE DI TREPPO GRANDE</t>
  </si>
  <si>
    <t>COMUNE DI TREPPO GRANDE**</t>
  </si>
  <si>
    <t>media degli ultimi 5 anni del Comune diTREPPO GRANDE</t>
  </si>
  <si>
    <t>COMUNE DI TREPPO LIGOSULLO</t>
  </si>
  <si>
    <t>COMUNE DI TREPPO LIGOSULLO**</t>
  </si>
  <si>
    <t>media degli ultimi 5 anni del Comune diTREPPO LIGOSULLO</t>
  </si>
  <si>
    <t>COMUNE DI VARMO</t>
  </si>
  <si>
    <t>COMUNE DI VARMO**</t>
  </si>
  <si>
    <t>media degli ultimi 5 anni del Comune diVARMO</t>
  </si>
  <si>
    <t>COMUNE DI VENZONE</t>
  </si>
  <si>
    <t>COMUNE DI VENZONE**</t>
  </si>
  <si>
    <t>media degli ultimi 5 anni del Comune diVENZONE</t>
  </si>
  <si>
    <t>COMUNE DI VERZEGNIS</t>
  </si>
  <si>
    <t>COMUNE DI VERZEGNIS**</t>
  </si>
  <si>
    <t>media degli ultimi 5 anni del Comune diVERZEGNIS</t>
  </si>
  <si>
    <t>COMUNE DI VILLA SANTINA</t>
  </si>
  <si>
    <t>COMUNE DI VILLA SANTINA**</t>
  </si>
  <si>
    <t>media degli ultimi 5 anni del Comune diVILLA SANTINA</t>
  </si>
  <si>
    <t>COMUNE DI ZUGLIO</t>
  </si>
  <si>
    <t>COMUNE DI ZUGLIO**</t>
  </si>
  <si>
    <t>media degli ultimi 5 anni del Comune diZUGLIO</t>
  </si>
  <si>
    <t>COMUNE DI SAN DORLIGO DELLA VALLE - DOLINA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</si>
</sst>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2" borderId="1" xfId="0" applyFont="1" applyFill="1" applyBorder="1"/>
    <xf numFmtId="3" fontId="0" fillId="0" borderId="1" xfId="0" applyNumberForma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right"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3"/>
  <sheetViews>
    <sheetView tabSelected="1"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1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846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29</v>
      </c>
      <c r="F9" s="10"/>
      <c r="G9" s="10">
        <f t="shared" ref="G9:G41" si="0">SUM(C9:F9)</f>
        <v>29</v>
      </c>
      <c r="H9" s="16">
        <f t="shared" ref="H9:H41" si="1">ROUND(G9/846,2)</f>
        <v>0.03</v>
      </c>
      <c r="I9" s="15">
        <f t="shared" ref="I9:I41" si="2">ROUND(G9/$G$42,3)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3045</v>
      </c>
      <c r="F10" s="10"/>
      <c r="G10" s="10">
        <f t="shared" si="0"/>
        <v>3045</v>
      </c>
      <c r="H10" s="16">
        <f t="shared" si="1"/>
        <v>3.6</v>
      </c>
      <c r="I10" s="15">
        <f t="shared" si="2"/>
        <v>8.0000000000000002E-3</v>
      </c>
      <c r="J10" s="15"/>
    </row>
    <row r="11" spans="1:10" x14ac:dyDescent="0.25">
      <c r="A11" s="1" t="s">
        <v>16</v>
      </c>
      <c r="B11" s="1" t="s">
        <v>19</v>
      </c>
      <c r="C11" s="10">
        <v>30960</v>
      </c>
      <c r="D11" s="10"/>
      <c r="E11" s="10">
        <v>5269</v>
      </c>
      <c r="F11" s="10"/>
      <c r="G11" s="10">
        <f t="shared" si="0"/>
        <v>36229</v>
      </c>
      <c r="H11" s="16">
        <f t="shared" si="1"/>
        <v>42.82</v>
      </c>
      <c r="I11" s="15">
        <f t="shared" si="2"/>
        <v>9.0999999999999998E-2</v>
      </c>
      <c r="J11" s="15">
        <f>ROUND(G11/33183.55-1,2)</f>
        <v>0.09</v>
      </c>
    </row>
    <row r="12" spans="1:10" x14ac:dyDescent="0.25">
      <c r="A12" s="1" t="s">
        <v>16</v>
      </c>
      <c r="B12" s="1" t="s">
        <v>20</v>
      </c>
      <c r="C12" s="10">
        <v>29320</v>
      </c>
      <c r="D12" s="10"/>
      <c r="E12" s="10"/>
      <c r="F12" s="10"/>
      <c r="G12" s="10">
        <f t="shared" si="0"/>
        <v>29320</v>
      </c>
      <c r="H12" s="16">
        <f t="shared" si="1"/>
        <v>34.659999999999997</v>
      </c>
      <c r="I12" s="15">
        <f t="shared" si="2"/>
        <v>7.3999999999999996E-2</v>
      </c>
      <c r="J12" s="15">
        <f>ROUND(G12/32813.77-1,2)</f>
        <v>-0.11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81</v>
      </c>
      <c r="F13" s="10"/>
      <c r="G13" s="10">
        <f t="shared" si="0"/>
        <v>81</v>
      </c>
      <c r="H13" s="16">
        <f t="shared" si="1"/>
        <v>0.1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22</v>
      </c>
      <c r="C14" s="10"/>
      <c r="D14" s="10"/>
      <c r="E14" s="10">
        <v>517</v>
      </c>
      <c r="F14" s="10"/>
      <c r="G14" s="10">
        <f t="shared" si="0"/>
        <v>517</v>
      </c>
      <c r="H14" s="16">
        <f t="shared" si="1"/>
        <v>0.61</v>
      </c>
      <c r="I14" s="15">
        <f t="shared" si="2"/>
        <v>1E-3</v>
      </c>
      <c r="J14" s="15">
        <f>ROUND(G14/312.5-1,2)</f>
        <v>0.65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50564</v>
      </c>
      <c r="F15" s="10"/>
      <c r="G15" s="10">
        <f t="shared" si="0"/>
        <v>50564</v>
      </c>
      <c r="H15" s="16">
        <f t="shared" si="1"/>
        <v>59.77</v>
      </c>
      <c r="I15" s="15">
        <f t="shared" si="2"/>
        <v>0.127</v>
      </c>
      <c r="J15" s="15">
        <f>ROUND(G15/30707.33-1,2)</f>
        <v>0.65</v>
      </c>
    </row>
    <row r="16" spans="1:10" x14ac:dyDescent="0.25">
      <c r="A16" s="1" t="s">
        <v>16</v>
      </c>
      <c r="B16" s="1" t="s">
        <v>24</v>
      </c>
      <c r="C16" s="10">
        <v>36940</v>
      </c>
      <c r="D16" s="10"/>
      <c r="E16" s="10">
        <v>12582</v>
      </c>
      <c r="F16" s="10"/>
      <c r="G16" s="10">
        <f t="shared" si="0"/>
        <v>49522</v>
      </c>
      <c r="H16" s="16">
        <f t="shared" si="1"/>
        <v>58.54</v>
      </c>
      <c r="I16" s="15">
        <f t="shared" si="2"/>
        <v>0.125</v>
      </c>
      <c r="J16" s="15">
        <f>ROUND(G16/38922.77-1,2)</f>
        <v>0.27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2602</v>
      </c>
      <c r="F17" s="10"/>
      <c r="G17" s="10">
        <f t="shared" si="0"/>
        <v>2602</v>
      </c>
      <c r="H17" s="16">
        <f t="shared" si="1"/>
        <v>3.08</v>
      </c>
      <c r="I17" s="15">
        <f t="shared" si="2"/>
        <v>7.0000000000000001E-3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38490</v>
      </c>
      <c r="D18" s="10"/>
      <c r="E18" s="10"/>
      <c r="F18" s="10"/>
      <c r="G18" s="10">
        <f t="shared" si="0"/>
        <v>38490</v>
      </c>
      <c r="H18" s="16">
        <f t="shared" si="1"/>
        <v>45.5</v>
      </c>
      <c r="I18" s="15">
        <f t="shared" si="2"/>
        <v>9.7000000000000003E-2</v>
      </c>
      <c r="J18" s="15">
        <f>ROUND(G18/43700-1,2)</f>
        <v>-0.12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410</v>
      </c>
      <c r="F19" s="10"/>
      <c r="G19" s="10">
        <f t="shared" si="0"/>
        <v>410</v>
      </c>
      <c r="H19" s="16">
        <f t="shared" si="1"/>
        <v>0.48</v>
      </c>
      <c r="I19" s="15">
        <f t="shared" si="2"/>
        <v>1E-3</v>
      </c>
      <c r="J19" s="15">
        <f>ROUND(G19/190-1,2)</f>
        <v>1.1599999999999999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233</v>
      </c>
      <c r="F20" s="10"/>
      <c r="G20" s="10">
        <f t="shared" si="0"/>
        <v>233</v>
      </c>
      <c r="H20" s="16">
        <f t="shared" si="1"/>
        <v>0.28000000000000003</v>
      </c>
      <c r="I20" s="15">
        <f t="shared" si="2"/>
        <v>1E-3</v>
      </c>
      <c r="J20" s="15">
        <f>ROUND(G20/110-1,2)</f>
        <v>1.1200000000000001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431</v>
      </c>
      <c r="F21" s="10"/>
      <c r="G21" s="10">
        <f t="shared" si="0"/>
        <v>431</v>
      </c>
      <c r="H21" s="16">
        <f t="shared" si="1"/>
        <v>0.51</v>
      </c>
      <c r="I21" s="15">
        <f t="shared" si="2"/>
        <v>1E-3</v>
      </c>
      <c r="J21" s="15">
        <f>ROUND(G21/594.03-1,2)</f>
        <v>-0.27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445</v>
      </c>
      <c r="F22" s="10"/>
      <c r="G22" s="10">
        <f t="shared" si="0"/>
        <v>445</v>
      </c>
      <c r="H22" s="16">
        <f t="shared" si="1"/>
        <v>0.53</v>
      </c>
      <c r="I22" s="15">
        <f t="shared" si="2"/>
        <v>1E-3</v>
      </c>
      <c r="J22" s="15">
        <f>ROUND(G22/203.63-1,2)</f>
        <v>1.19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101</v>
      </c>
      <c r="F23" s="10"/>
      <c r="G23" s="10">
        <f t="shared" si="0"/>
        <v>101</v>
      </c>
      <c r="H23" s="16">
        <f t="shared" si="1"/>
        <v>0.12</v>
      </c>
      <c r="I23" s="15">
        <f t="shared" si="2"/>
        <v>0</v>
      </c>
      <c r="J23" s="15">
        <f>ROUND(G23/71.43-1,2)</f>
        <v>0.41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347</v>
      </c>
      <c r="F24" s="10"/>
      <c r="G24" s="10">
        <f t="shared" si="0"/>
        <v>347</v>
      </c>
      <c r="H24" s="16">
        <f t="shared" si="1"/>
        <v>0.41</v>
      </c>
      <c r="I24" s="15">
        <f t="shared" si="2"/>
        <v>1E-3</v>
      </c>
      <c r="J24" s="15">
        <f>ROUND(G24/347.18-1,2)</f>
        <v>0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120</v>
      </c>
      <c r="F25" s="10"/>
      <c r="G25" s="10">
        <f t="shared" si="0"/>
        <v>120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445</v>
      </c>
      <c r="F26" s="10"/>
      <c r="G26" s="10">
        <f t="shared" si="0"/>
        <v>445</v>
      </c>
      <c r="H26" s="16">
        <f t="shared" si="1"/>
        <v>0.53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169</v>
      </c>
      <c r="F27" s="10"/>
      <c r="G27" s="10">
        <f t="shared" si="0"/>
        <v>169</v>
      </c>
      <c r="H27" s="16">
        <f t="shared" si="1"/>
        <v>0.2</v>
      </c>
      <c r="I27" s="15">
        <f t="shared" si="2"/>
        <v>0</v>
      </c>
      <c r="J27" s="15">
        <f>ROUND(G27/141.17-1,2)</f>
        <v>0.2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95</v>
      </c>
      <c r="F28" s="10"/>
      <c r="G28" s="10">
        <f t="shared" si="0"/>
        <v>95</v>
      </c>
      <c r="H28" s="16">
        <f t="shared" si="1"/>
        <v>0.11</v>
      </c>
      <c r="I28" s="15">
        <f t="shared" si="2"/>
        <v>0</v>
      </c>
      <c r="J28" s="15">
        <f>ROUND(G28/203.01-1,2)</f>
        <v>-0.53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1380</v>
      </c>
      <c r="F29" s="10"/>
      <c r="G29" s="10">
        <f t="shared" si="0"/>
        <v>1380</v>
      </c>
      <c r="H29" s="16">
        <f t="shared" si="1"/>
        <v>1.63</v>
      </c>
      <c r="I29" s="15">
        <f t="shared" si="2"/>
        <v>3.0000000000000001E-3</v>
      </c>
      <c r="J29" s="15">
        <f>ROUND(G29/1234.58-1,2)</f>
        <v>0.12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38675</v>
      </c>
      <c r="F30" s="10"/>
      <c r="G30" s="10">
        <f t="shared" si="0"/>
        <v>38675</v>
      </c>
      <c r="H30" s="16">
        <f t="shared" si="1"/>
        <v>45.72</v>
      </c>
      <c r="I30" s="15">
        <f t="shared" si="2"/>
        <v>9.7000000000000003E-2</v>
      </c>
      <c r="J30" s="15">
        <f>ROUND(G30/18145.25-1,2)</f>
        <v>1.1299999999999999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2247</v>
      </c>
      <c r="F31" s="10"/>
      <c r="G31" s="10">
        <f t="shared" si="0"/>
        <v>2247</v>
      </c>
      <c r="H31" s="16">
        <f t="shared" si="1"/>
        <v>2.66</v>
      </c>
      <c r="I31" s="15">
        <f t="shared" si="2"/>
        <v>6.0000000000000001E-3</v>
      </c>
      <c r="J31" s="15">
        <f>ROUND(G31/795.77-1,2)</f>
        <v>1.82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11620</v>
      </c>
      <c r="F32" s="10"/>
      <c r="G32" s="10">
        <f t="shared" si="0"/>
        <v>11620</v>
      </c>
      <c r="H32" s="16">
        <f t="shared" si="1"/>
        <v>13.74</v>
      </c>
      <c r="I32" s="15">
        <f t="shared" si="2"/>
        <v>2.9000000000000001E-2</v>
      </c>
      <c r="J32" s="15">
        <f>ROUND(G32/6022.15-1,2)</f>
        <v>0.93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28187</v>
      </c>
      <c r="F33" s="10"/>
      <c r="G33" s="10">
        <f t="shared" si="0"/>
        <v>28187</v>
      </c>
      <c r="H33" s="16">
        <f t="shared" si="1"/>
        <v>33.32</v>
      </c>
      <c r="I33" s="15">
        <f t="shared" si="2"/>
        <v>7.0999999999999994E-2</v>
      </c>
      <c r="J33" s="15">
        <f>ROUND(G33/13601.43-1,2)</f>
        <v>1.07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ROUND(G34/15.95-1,2)</f>
        <v>-1</v>
      </c>
    </row>
    <row r="35" spans="1:10" x14ac:dyDescent="0.25">
      <c r="A35" s="1" t="s">
        <v>16</v>
      </c>
      <c r="B35" s="1" t="s">
        <v>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72650</v>
      </c>
      <c r="D36" s="10"/>
      <c r="E36" s="10"/>
      <c r="F36" s="10"/>
      <c r="G36" s="10">
        <f t="shared" si="0"/>
        <v>72650</v>
      </c>
      <c r="H36" s="16">
        <f t="shared" si="1"/>
        <v>85.87</v>
      </c>
      <c r="I36" s="15">
        <f t="shared" si="2"/>
        <v>0.183</v>
      </c>
      <c r="J36" s="15">
        <f>ROUND(G36/70610-1,2)</f>
        <v>0.03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29556</v>
      </c>
      <c r="F37" s="10"/>
      <c r="G37" s="10">
        <f t="shared" si="0"/>
        <v>29556</v>
      </c>
      <c r="H37" s="16">
        <f t="shared" si="1"/>
        <v>34.94</v>
      </c>
      <c r="I37" s="15">
        <f t="shared" si="2"/>
        <v>7.3999999999999996E-2</v>
      </c>
      <c r="J37" s="15">
        <f>ROUND(G37/16960.62-1,2)</f>
        <v>0.74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ROUND(G39/15-1,2)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ROUND(G40/210-1,2)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5" t="s">
        <v>12</v>
      </c>
      <c r="B42" s="25"/>
      <c r="C42" s="11">
        <f t="shared" ref="C42:H42" si="3">SUM(C8:C41)</f>
        <v>208360</v>
      </c>
      <c r="D42" s="11">
        <f t="shared" si="3"/>
        <v>0</v>
      </c>
      <c r="E42" s="11">
        <f t="shared" si="3"/>
        <v>189150</v>
      </c>
      <c r="F42" s="11">
        <f t="shared" si="3"/>
        <v>0</v>
      </c>
      <c r="G42" s="11">
        <f t="shared" si="3"/>
        <v>397510</v>
      </c>
      <c r="H42" s="14">
        <f t="shared" si="3"/>
        <v>469.90000000000003</v>
      </c>
      <c r="I42" s="17"/>
      <c r="J42" s="17"/>
    </row>
    <row r="43" spans="1:10" x14ac:dyDescent="0.25">
      <c r="A43" s="25" t="s">
        <v>14</v>
      </c>
      <c r="B43" s="25"/>
      <c r="C43" s="12">
        <f>ROUND(C42/G42,2)</f>
        <v>0.52</v>
      </c>
      <c r="D43" s="12">
        <f>ROUND(D42/G42,2)</f>
        <v>0</v>
      </c>
      <c r="E43" s="12">
        <f>ROUND(E42/G42,2)</f>
        <v>0.48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5" t="s">
        <v>53</v>
      </c>
      <c r="B48" s="25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0" t="s">
        <v>54</v>
      </c>
      <c r="B49" s="20"/>
      <c r="C49" s="10">
        <v>135710</v>
      </c>
      <c r="D49" s="10">
        <v>0</v>
      </c>
      <c r="E49" s="10">
        <v>159594</v>
      </c>
      <c r="F49" s="10">
        <v>0</v>
      </c>
      <c r="G49" s="10">
        <f>SUM(C49:F49)</f>
        <v>295304</v>
      </c>
      <c r="H49" s="16">
        <f>ROUND(G49/846,2)</f>
        <v>349.06</v>
      </c>
      <c r="I49" s="9"/>
      <c r="J49" s="9"/>
    </row>
    <row r="50" spans="1:10" x14ac:dyDescent="0.25">
      <c r="A50" s="20" t="s">
        <v>55</v>
      </c>
      <c r="B50" s="20"/>
      <c r="C50" s="10">
        <v>72650</v>
      </c>
      <c r="D50" s="10">
        <v>0</v>
      </c>
      <c r="E50" s="10">
        <v>29556</v>
      </c>
      <c r="F50" s="10">
        <v>0</v>
      </c>
      <c r="G50" s="10">
        <f>SUM(C50:F50)</f>
        <v>102206</v>
      </c>
      <c r="H50" s="16">
        <f>ROUND(G50/846,2)</f>
        <v>120.81</v>
      </c>
      <c r="I50" s="9"/>
      <c r="J50" s="9"/>
    </row>
    <row r="51" spans="1:10" x14ac:dyDescent="0.25">
      <c r="A51" s="20" t="s">
        <v>56</v>
      </c>
      <c r="B51" s="20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ROUND(G51/846,2)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5" t="s">
        <v>57</v>
      </c>
      <c r="B56" s="25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0" t="s">
        <v>58</v>
      </c>
      <c r="B57" s="20"/>
      <c r="C57" s="15">
        <f>ROUND(0.7811, 4)</f>
        <v>0.78110000000000002</v>
      </c>
      <c r="D57" s="15">
        <f>ROUND(0.7315, 4)</f>
        <v>0.73150000000000004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3" t="s">
        <v>64</v>
      </c>
      <c r="J57" s="23" t="s">
        <v>65</v>
      </c>
    </row>
    <row r="58" spans="1:10" x14ac:dyDescent="0.25">
      <c r="A58" s="20" t="s">
        <v>66</v>
      </c>
      <c r="B58" s="20"/>
      <c r="C58" s="15">
        <f>ROUND(0.7422, 4)</f>
        <v>0.74219999999999997</v>
      </c>
      <c r="D58" s="15">
        <f>ROUND(0.6866, 4)</f>
        <v>0.68659999999999999</v>
      </c>
      <c r="E58" s="15">
        <f>ROUND(0.7608, 4)</f>
        <v>0.76080000000000003</v>
      </c>
      <c r="F58" s="8"/>
      <c r="G58" s="14" t="s">
        <v>67</v>
      </c>
      <c r="H58" s="27"/>
      <c r="I58" s="24"/>
      <c r="J58" s="24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68</v>
      </c>
      <c r="B62" s="25"/>
      <c r="C62" s="14" t="s">
        <v>2</v>
      </c>
      <c r="D62" s="14" t="s">
        <v>69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0" t="s">
        <v>73</v>
      </c>
      <c r="B63" s="20"/>
      <c r="C63" s="16">
        <v>85.87</v>
      </c>
      <c r="D63" s="16">
        <v>83.77</v>
      </c>
      <c r="E63" s="16">
        <v>91.13</v>
      </c>
      <c r="F63" s="16">
        <v>54.95</v>
      </c>
      <c r="G63" s="16">
        <f>12/10*C63</f>
        <v>103.044</v>
      </c>
      <c r="H63" s="8"/>
      <c r="I63" s="9"/>
      <c r="J63" s="9"/>
    </row>
    <row r="64" spans="1:10" x14ac:dyDescent="0.25">
      <c r="A64" s="20" t="s">
        <v>74</v>
      </c>
      <c r="B64" s="20"/>
      <c r="C64" s="16">
        <v>45.5</v>
      </c>
      <c r="D64" s="16">
        <v>50.29</v>
      </c>
      <c r="E64" s="16">
        <v>61.18</v>
      </c>
      <c r="F64" s="16">
        <v>62.89</v>
      </c>
      <c r="G64" s="16">
        <f>12/10*C64</f>
        <v>54.6</v>
      </c>
      <c r="H64" s="8"/>
      <c r="I64" s="9"/>
      <c r="J64" s="9"/>
    </row>
    <row r="65" spans="1:10" x14ac:dyDescent="0.25">
      <c r="A65" s="20" t="s">
        <v>75</v>
      </c>
      <c r="B65" s="20"/>
      <c r="C65" s="16">
        <v>349.06</v>
      </c>
      <c r="D65" s="16">
        <v>309.29000000000002</v>
      </c>
      <c r="E65" s="16">
        <v>287.25</v>
      </c>
      <c r="F65" s="16">
        <v>278.91000000000003</v>
      </c>
      <c r="G65" s="16">
        <f>12/10*C65</f>
        <v>418.87200000000001</v>
      </c>
      <c r="H65" s="8"/>
      <c r="I65" s="9"/>
      <c r="J65" s="9"/>
    </row>
    <row r="66" spans="1:10" x14ac:dyDescent="0.25">
      <c r="A66" s="20" t="s">
        <v>76</v>
      </c>
      <c r="B66" s="20"/>
      <c r="C66" s="16">
        <v>120.81</v>
      </c>
      <c r="D66" s="16">
        <v>107.3</v>
      </c>
      <c r="E66" s="16">
        <v>114.69</v>
      </c>
      <c r="F66" s="16">
        <v>78.319999999999993</v>
      </c>
      <c r="G66" s="16">
        <f>12/10*C66</f>
        <v>144.97200000000001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2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78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894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7" si="0">SUM(C9:F9)</f>
        <v>19</v>
      </c>
      <c r="H9" s="16">
        <f t="shared" ref="H9:H37" si="1">ROUND(G9/894,2)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22620</v>
      </c>
      <c r="D10" s="10"/>
      <c r="E10" s="10">
        <v>4555</v>
      </c>
      <c r="F10" s="10"/>
      <c r="G10" s="10">
        <f t="shared" si="0"/>
        <v>27175</v>
      </c>
      <c r="H10" s="16">
        <f t="shared" si="1"/>
        <v>30.4</v>
      </c>
      <c r="I10" s="15">
        <f t="shared" si="2"/>
        <v>6.8000000000000005E-2</v>
      </c>
      <c r="J10" s="15">
        <f>ROUND(G10/22977.95-1,2)</f>
        <v>0.18</v>
      </c>
    </row>
    <row r="11" spans="1:10" x14ac:dyDescent="0.25">
      <c r="A11" s="1" t="s">
        <v>16</v>
      </c>
      <c r="B11" s="1" t="s">
        <v>20</v>
      </c>
      <c r="C11" s="10">
        <v>36225</v>
      </c>
      <c r="D11" s="10"/>
      <c r="E11" s="10"/>
      <c r="F11" s="10"/>
      <c r="G11" s="10">
        <f t="shared" si="0"/>
        <v>36225</v>
      </c>
      <c r="H11" s="16">
        <f t="shared" si="1"/>
        <v>40.520000000000003</v>
      </c>
      <c r="I11" s="15">
        <f t="shared" si="2"/>
        <v>0.09</v>
      </c>
      <c r="J11" s="15">
        <f>ROUND(G11/34190-1,2)</f>
        <v>0.06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229</v>
      </c>
      <c r="F12" s="10"/>
      <c r="G12" s="10">
        <f t="shared" si="0"/>
        <v>229</v>
      </c>
      <c r="H12" s="16">
        <f t="shared" si="1"/>
        <v>0.26</v>
      </c>
      <c r="I12" s="15">
        <f t="shared" si="2"/>
        <v>1E-3</v>
      </c>
      <c r="J12" s="15">
        <f>ROUND(G12/70-1,2)</f>
        <v>2.27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1990</v>
      </c>
      <c r="F13" s="10"/>
      <c r="G13" s="10">
        <f t="shared" si="0"/>
        <v>1990</v>
      </c>
      <c r="H13" s="16">
        <f t="shared" si="1"/>
        <v>2.23</v>
      </c>
      <c r="I13" s="15">
        <f t="shared" si="2"/>
        <v>5.0000000000000001E-3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54746</v>
      </c>
      <c r="F14" s="10"/>
      <c r="G14" s="10">
        <f t="shared" si="0"/>
        <v>54746</v>
      </c>
      <c r="H14" s="16">
        <f t="shared" si="1"/>
        <v>61.24</v>
      </c>
      <c r="I14" s="15">
        <f t="shared" si="2"/>
        <v>0.13700000000000001</v>
      </c>
      <c r="J14" s="15">
        <f>ROUND(G14/3630.85-1,2)</f>
        <v>14.08</v>
      </c>
    </row>
    <row r="15" spans="1:10" x14ac:dyDescent="0.25">
      <c r="A15" s="1" t="s">
        <v>16</v>
      </c>
      <c r="B15" s="1" t="s">
        <v>24</v>
      </c>
      <c r="C15" s="10">
        <v>26530</v>
      </c>
      <c r="D15" s="10"/>
      <c r="E15" s="10">
        <v>14042</v>
      </c>
      <c r="F15" s="10"/>
      <c r="G15" s="10">
        <f t="shared" si="0"/>
        <v>40572</v>
      </c>
      <c r="H15" s="16">
        <f t="shared" si="1"/>
        <v>45.38</v>
      </c>
      <c r="I15" s="15">
        <f t="shared" si="2"/>
        <v>0.10100000000000001</v>
      </c>
      <c r="J15" s="15">
        <f>ROUND(G15/30609-1,2)</f>
        <v>0.33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2737</v>
      </c>
      <c r="F16" s="10"/>
      <c r="G16" s="10">
        <f t="shared" si="0"/>
        <v>2737</v>
      </c>
      <c r="H16" s="16">
        <f t="shared" si="1"/>
        <v>3.06</v>
      </c>
      <c r="I16" s="15">
        <f t="shared" si="2"/>
        <v>7.0000000000000001E-3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27770</v>
      </c>
      <c r="D17" s="10"/>
      <c r="E17" s="10"/>
      <c r="F17" s="10"/>
      <c r="G17" s="10">
        <f t="shared" si="0"/>
        <v>27770</v>
      </c>
      <c r="H17" s="16">
        <f t="shared" si="1"/>
        <v>31.06</v>
      </c>
      <c r="I17" s="15">
        <f t="shared" si="2"/>
        <v>6.9000000000000006E-2</v>
      </c>
      <c r="J17" s="15">
        <f>ROUND(G17/26950-1,2)</f>
        <v>0.03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649</v>
      </c>
      <c r="F18" s="10"/>
      <c r="G18" s="10">
        <f t="shared" si="0"/>
        <v>649</v>
      </c>
      <c r="H18" s="16">
        <f t="shared" si="1"/>
        <v>0.73</v>
      </c>
      <c r="I18" s="15">
        <f t="shared" si="2"/>
        <v>2E-3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304</v>
      </c>
      <c r="F19" s="10"/>
      <c r="G19" s="10">
        <f t="shared" si="0"/>
        <v>304</v>
      </c>
      <c r="H19" s="16">
        <f t="shared" si="1"/>
        <v>0.34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29</v>
      </c>
      <c r="F20" s="10"/>
      <c r="G20" s="10">
        <f t="shared" si="0"/>
        <v>29</v>
      </c>
      <c r="H20" s="16">
        <f t="shared" si="1"/>
        <v>0.03</v>
      </c>
      <c r="I20" s="15">
        <f t="shared" si="2"/>
        <v>0</v>
      </c>
      <c r="J20" s="15">
        <f>ROUND(G20/7.45-1,2)</f>
        <v>2.89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682</v>
      </c>
      <c r="F21" s="10"/>
      <c r="G21" s="10">
        <f t="shared" si="0"/>
        <v>682</v>
      </c>
      <c r="H21" s="16">
        <f t="shared" si="1"/>
        <v>0.76</v>
      </c>
      <c r="I21" s="15">
        <f t="shared" si="2"/>
        <v>2E-3</v>
      </c>
      <c r="J21" s="15">
        <f>ROUND(G21/476.07-1,2)</f>
        <v>0.43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163</v>
      </c>
      <c r="F22" s="10"/>
      <c r="G22" s="10">
        <f t="shared" si="0"/>
        <v>163</v>
      </c>
      <c r="H22" s="16">
        <f t="shared" si="1"/>
        <v>0.18</v>
      </c>
      <c r="I22" s="15">
        <f t="shared" si="2"/>
        <v>0</v>
      </c>
      <c r="J22" s="15">
        <f>ROUND(G22/125.79-1,2)</f>
        <v>0.3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187</v>
      </c>
      <c r="F23" s="10"/>
      <c r="G23" s="10">
        <f t="shared" si="0"/>
        <v>187</v>
      </c>
      <c r="H23" s="16">
        <f t="shared" si="1"/>
        <v>0.21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1489</v>
      </c>
      <c r="F24" s="10"/>
      <c r="G24" s="10">
        <f t="shared" si="0"/>
        <v>1489</v>
      </c>
      <c r="H24" s="16">
        <f t="shared" si="1"/>
        <v>1.67</v>
      </c>
      <c r="I24" s="15">
        <f t="shared" si="2"/>
        <v>4.0000000000000001E-3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136</v>
      </c>
      <c r="F25" s="10"/>
      <c r="G25" s="10">
        <f t="shared" si="0"/>
        <v>136</v>
      </c>
      <c r="H25" s="16">
        <f t="shared" si="1"/>
        <v>0.15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1226</v>
      </c>
      <c r="F26" s="10"/>
      <c r="G26" s="10">
        <f t="shared" si="0"/>
        <v>1226</v>
      </c>
      <c r="H26" s="16">
        <f t="shared" si="1"/>
        <v>1.37</v>
      </c>
      <c r="I26" s="15">
        <f t="shared" si="2"/>
        <v>3.0000000000000001E-3</v>
      </c>
      <c r="J26" s="15">
        <f>ROUND(G26/208.86-1,2)</f>
        <v>4.87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1212</v>
      </c>
      <c r="F27" s="10"/>
      <c r="G27" s="10">
        <f t="shared" si="0"/>
        <v>1212</v>
      </c>
      <c r="H27" s="16">
        <f t="shared" si="1"/>
        <v>1.36</v>
      </c>
      <c r="I27" s="15">
        <f t="shared" si="2"/>
        <v>3.0000000000000001E-3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51458</v>
      </c>
      <c r="F28" s="10"/>
      <c r="G28" s="10">
        <f t="shared" si="0"/>
        <v>51458</v>
      </c>
      <c r="H28" s="16">
        <f t="shared" si="1"/>
        <v>57.56</v>
      </c>
      <c r="I28" s="15">
        <f t="shared" si="2"/>
        <v>0.128</v>
      </c>
      <c r="J28" s="15">
        <f>ROUND(G28/7140.94-1,2)</f>
        <v>6.21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2420</v>
      </c>
      <c r="F29" s="10"/>
      <c r="G29" s="10">
        <f t="shared" si="0"/>
        <v>2420</v>
      </c>
      <c r="H29" s="16">
        <f t="shared" si="1"/>
        <v>2.71</v>
      </c>
      <c r="I29" s="15">
        <f t="shared" si="2"/>
        <v>6.0000000000000001E-3</v>
      </c>
      <c r="J29" s="15"/>
    </row>
    <row r="30" spans="1:10" x14ac:dyDescent="0.25">
      <c r="A30" s="1" t="s">
        <v>16</v>
      </c>
      <c r="B30" s="1" t="s">
        <v>40</v>
      </c>
      <c r="C30" s="10"/>
      <c r="D30" s="10"/>
      <c r="E30" s="10">
        <v>18895</v>
      </c>
      <c r="F30" s="10"/>
      <c r="G30" s="10">
        <f t="shared" si="0"/>
        <v>18895</v>
      </c>
      <c r="H30" s="16">
        <f t="shared" si="1"/>
        <v>21.14</v>
      </c>
      <c r="I30" s="15">
        <f t="shared" si="2"/>
        <v>4.7E-2</v>
      </c>
      <c r="J30" s="15">
        <f>ROUND(G30/3408.69-1,2)</f>
        <v>4.54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15251</v>
      </c>
      <c r="F31" s="10"/>
      <c r="G31" s="10">
        <f t="shared" si="0"/>
        <v>15251</v>
      </c>
      <c r="H31" s="16">
        <f t="shared" si="1"/>
        <v>17.059999999999999</v>
      </c>
      <c r="I31" s="15">
        <f t="shared" si="2"/>
        <v>3.7999999999999999E-2</v>
      </c>
      <c r="J31" s="15">
        <f>ROUND(G31/332.4-1,2)</f>
        <v>44.88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ROUND(G32/644.56-1,2)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81090</v>
      </c>
      <c r="D34" s="10"/>
      <c r="E34" s="10"/>
      <c r="F34" s="10"/>
      <c r="G34" s="10">
        <f t="shared" si="0"/>
        <v>81090</v>
      </c>
      <c r="H34" s="16">
        <f t="shared" si="1"/>
        <v>90.7</v>
      </c>
      <c r="I34" s="15">
        <f t="shared" si="2"/>
        <v>0.20200000000000001</v>
      </c>
      <c r="J34" s="15">
        <f>ROUND(G34/80590-1,2)</f>
        <v>0.01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33827</v>
      </c>
      <c r="F35" s="10"/>
      <c r="G35" s="10">
        <f t="shared" si="0"/>
        <v>33827</v>
      </c>
      <c r="H35" s="16">
        <f t="shared" si="1"/>
        <v>37.840000000000003</v>
      </c>
      <c r="I35" s="15">
        <f t="shared" si="2"/>
        <v>8.4000000000000005E-2</v>
      </c>
      <c r="J35" s="15">
        <f>ROUND(G35/3603.44-1,2)</f>
        <v>8.39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5" t="s">
        <v>12</v>
      </c>
      <c r="B38" s="25"/>
      <c r="C38" s="11">
        <f t="shared" ref="C38:H38" si="3">SUM(C8:C37)</f>
        <v>194235</v>
      </c>
      <c r="D38" s="11">
        <f t="shared" si="3"/>
        <v>0</v>
      </c>
      <c r="E38" s="11">
        <f t="shared" si="3"/>
        <v>206246</v>
      </c>
      <c r="F38" s="11">
        <f t="shared" si="3"/>
        <v>0</v>
      </c>
      <c r="G38" s="11">
        <f t="shared" si="3"/>
        <v>400481</v>
      </c>
      <c r="H38" s="14">
        <f t="shared" si="3"/>
        <v>447.98</v>
      </c>
      <c r="I38" s="17"/>
      <c r="J38" s="17"/>
    </row>
    <row r="39" spans="1:10" x14ac:dyDescent="0.25">
      <c r="A39" s="25" t="s">
        <v>14</v>
      </c>
      <c r="B39" s="25"/>
      <c r="C39" s="12">
        <f>ROUND(C38/G38,2)</f>
        <v>0.49</v>
      </c>
      <c r="D39" s="12">
        <f>ROUND(D38/G38,2)</f>
        <v>0</v>
      </c>
      <c r="E39" s="12">
        <f>ROUND(E38/G38,2)</f>
        <v>0.51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53</v>
      </c>
      <c r="B44" s="25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0" t="s">
        <v>54</v>
      </c>
      <c r="B45" s="20"/>
      <c r="C45" s="10">
        <v>113145</v>
      </c>
      <c r="D45" s="10">
        <v>0</v>
      </c>
      <c r="E45" s="10">
        <v>172419</v>
      </c>
      <c r="F45" s="10">
        <v>0</v>
      </c>
      <c r="G45" s="10">
        <f>SUM(C45:F45)</f>
        <v>285564</v>
      </c>
      <c r="H45" s="16">
        <f>ROUND(G45/894,2)</f>
        <v>319.42</v>
      </c>
      <c r="I45" s="9"/>
      <c r="J45" s="9"/>
    </row>
    <row r="46" spans="1:10" x14ac:dyDescent="0.25">
      <c r="A46" s="20" t="s">
        <v>55</v>
      </c>
      <c r="B46" s="20"/>
      <c r="C46" s="10">
        <v>81090</v>
      </c>
      <c r="D46" s="10">
        <v>0</v>
      </c>
      <c r="E46" s="10">
        <v>33827</v>
      </c>
      <c r="F46" s="10">
        <v>0</v>
      </c>
      <c r="G46" s="10">
        <f>SUM(C46:F46)</f>
        <v>114917</v>
      </c>
      <c r="H46" s="16">
        <f>ROUND(G46/894,2)</f>
        <v>128.54</v>
      </c>
      <c r="I46" s="9"/>
      <c r="J46" s="9"/>
    </row>
    <row r="47" spans="1:10" x14ac:dyDescent="0.25">
      <c r="A47" s="20" t="s">
        <v>56</v>
      </c>
      <c r="B47" s="20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ROUND(G47/894,2)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57</v>
      </c>
      <c r="B52" s="25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0" t="s">
        <v>58</v>
      </c>
      <c r="B53" s="20"/>
      <c r="C53" s="15">
        <f>ROUND(0.7562, 4)</f>
        <v>0.75619999999999998</v>
      </c>
      <c r="D53" s="15">
        <f>ROUND(0.6032, 4)</f>
        <v>0.60319999999999996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3" t="s">
        <v>64</v>
      </c>
      <c r="J53" s="23" t="s">
        <v>65</v>
      </c>
    </row>
    <row r="54" spans="1:10" x14ac:dyDescent="0.25">
      <c r="A54" s="20" t="s">
        <v>66</v>
      </c>
      <c r="B54" s="20"/>
      <c r="C54" s="15">
        <f>ROUND(0.7268, 4)</f>
        <v>0.7268</v>
      </c>
      <c r="D54" s="15">
        <f>ROUND(0.5621, 4)</f>
        <v>0.56210000000000004</v>
      </c>
      <c r="E54" s="15">
        <f>ROUND(0.7608, 4)</f>
        <v>0.76080000000000003</v>
      </c>
      <c r="F54" s="8"/>
      <c r="G54" s="14" t="s">
        <v>67</v>
      </c>
      <c r="H54" s="27"/>
      <c r="I54" s="24"/>
      <c r="J54" s="24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68</v>
      </c>
      <c r="B58" s="25"/>
      <c r="C58" s="14" t="s">
        <v>2</v>
      </c>
      <c r="D58" s="14" t="s">
        <v>83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0" t="s">
        <v>73</v>
      </c>
      <c r="B59" s="20"/>
      <c r="C59" s="16">
        <v>90.7</v>
      </c>
      <c r="D59" s="16">
        <v>109.38</v>
      </c>
      <c r="E59" s="16">
        <v>91.13</v>
      </c>
      <c r="F59" s="16">
        <v>54.95</v>
      </c>
      <c r="G59" s="16">
        <f>12/10*C59</f>
        <v>108.84</v>
      </c>
      <c r="H59" s="8"/>
      <c r="I59" s="9"/>
      <c r="J59" s="9"/>
    </row>
    <row r="60" spans="1:10" x14ac:dyDescent="0.25">
      <c r="A60" s="20" t="s">
        <v>74</v>
      </c>
      <c r="B60" s="20"/>
      <c r="C60" s="16">
        <v>31.06</v>
      </c>
      <c r="D60" s="16">
        <v>42.47</v>
      </c>
      <c r="E60" s="16">
        <v>61.18</v>
      </c>
      <c r="F60" s="16">
        <v>62.89</v>
      </c>
      <c r="G60" s="16">
        <f>12/10*C60</f>
        <v>37.271999999999998</v>
      </c>
      <c r="H60" s="8"/>
      <c r="I60" s="9"/>
      <c r="J60" s="9"/>
    </row>
    <row r="61" spans="1:10" x14ac:dyDescent="0.25">
      <c r="A61" s="20" t="s">
        <v>75</v>
      </c>
      <c r="B61" s="20"/>
      <c r="C61" s="16">
        <v>319.42</v>
      </c>
      <c r="D61" s="16">
        <v>219.77</v>
      </c>
      <c r="E61" s="16">
        <v>287.25</v>
      </c>
      <c r="F61" s="16">
        <v>278.91000000000003</v>
      </c>
      <c r="G61" s="16">
        <f>12/10*C61</f>
        <v>383.30400000000003</v>
      </c>
      <c r="H61" s="8"/>
      <c r="I61" s="9"/>
      <c r="J61" s="9"/>
    </row>
    <row r="62" spans="1:10" x14ac:dyDescent="0.25">
      <c r="A62" s="20" t="s">
        <v>76</v>
      </c>
      <c r="B62" s="20"/>
      <c r="C62" s="16">
        <v>128.54</v>
      </c>
      <c r="D62" s="16">
        <v>122.57</v>
      </c>
      <c r="E62" s="16">
        <v>114.69</v>
      </c>
      <c r="F62" s="16">
        <v>78.319999999999993</v>
      </c>
      <c r="G62" s="16">
        <f>12/10*C62</f>
        <v>154.24799999999999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2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84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5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2036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91</v>
      </c>
      <c r="F9" s="10"/>
      <c r="G9" s="10">
        <f t="shared" ref="G9:G42" si="0">SUM(C9:F9)</f>
        <v>91</v>
      </c>
      <c r="H9" s="16">
        <f t="shared" ref="H9:H42" si="1">ROUND(G9/2036,2)</f>
        <v>0.04</v>
      </c>
      <c r="I9" s="15">
        <f t="shared" ref="I9:I42" si="2">ROUND(G9/$G$43,3)</f>
        <v>0</v>
      </c>
      <c r="J9" s="15">
        <f>ROUND(G9/45-1,2)</f>
        <v>1.02</v>
      </c>
    </row>
    <row r="10" spans="1:10" x14ac:dyDescent="0.25">
      <c r="A10" s="1" t="s">
        <v>16</v>
      </c>
      <c r="B10" s="1" t="s">
        <v>19</v>
      </c>
      <c r="C10" s="10">
        <v>49140</v>
      </c>
      <c r="D10" s="10"/>
      <c r="E10" s="10">
        <v>11389</v>
      </c>
      <c r="F10" s="10">
        <v>40</v>
      </c>
      <c r="G10" s="10">
        <f t="shared" si="0"/>
        <v>60569</v>
      </c>
      <c r="H10" s="16">
        <f t="shared" si="1"/>
        <v>29.75</v>
      </c>
      <c r="I10" s="15">
        <f t="shared" si="2"/>
        <v>8.6999999999999994E-2</v>
      </c>
      <c r="J10" s="15">
        <f>ROUND(G10/62550.67-1,2)</f>
        <v>-0.03</v>
      </c>
    </row>
    <row r="11" spans="1:10" x14ac:dyDescent="0.25">
      <c r="A11" s="1" t="s">
        <v>16</v>
      </c>
      <c r="B11" s="1" t="s">
        <v>20</v>
      </c>
      <c r="C11" s="10">
        <v>79610</v>
      </c>
      <c r="D11" s="10"/>
      <c r="E11" s="10"/>
      <c r="F11" s="10"/>
      <c r="G11" s="10">
        <f t="shared" si="0"/>
        <v>79610</v>
      </c>
      <c r="H11" s="16">
        <f t="shared" si="1"/>
        <v>39.1</v>
      </c>
      <c r="I11" s="15">
        <f t="shared" si="2"/>
        <v>0.114</v>
      </c>
      <c r="J11" s="15">
        <f>ROUND(G11/81370-1,2)</f>
        <v>-0.02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197</v>
      </c>
      <c r="F12" s="10"/>
      <c r="G12" s="10">
        <f t="shared" si="0"/>
        <v>197</v>
      </c>
      <c r="H12" s="16">
        <f t="shared" si="1"/>
        <v>0.1</v>
      </c>
      <c r="I12" s="15">
        <f t="shared" si="2"/>
        <v>0</v>
      </c>
      <c r="J12" s="15">
        <f>ROUND(G12/431.66-1,2)</f>
        <v>-0.54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1901</v>
      </c>
      <c r="F13" s="10"/>
      <c r="G13" s="10">
        <f t="shared" si="0"/>
        <v>1901</v>
      </c>
      <c r="H13" s="16">
        <f t="shared" si="1"/>
        <v>0.93</v>
      </c>
      <c r="I13" s="15">
        <f t="shared" si="2"/>
        <v>3.0000000000000001E-3</v>
      </c>
      <c r="J13" s="15">
        <f>ROUND(G13/1937.5-1,2)</f>
        <v>-0.02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69909</v>
      </c>
      <c r="F14" s="10"/>
      <c r="G14" s="10">
        <f t="shared" si="0"/>
        <v>69909</v>
      </c>
      <c r="H14" s="16">
        <f t="shared" si="1"/>
        <v>34.340000000000003</v>
      </c>
      <c r="I14" s="15">
        <f t="shared" si="2"/>
        <v>0.1</v>
      </c>
      <c r="J14" s="15">
        <f>ROUND(G14/74364.48-1,2)</f>
        <v>-0.06</v>
      </c>
    </row>
    <row r="15" spans="1:10" x14ac:dyDescent="0.25">
      <c r="A15" s="1" t="s">
        <v>16</v>
      </c>
      <c r="B15" s="1" t="s">
        <v>24</v>
      </c>
      <c r="C15" s="10">
        <v>51430</v>
      </c>
      <c r="D15" s="10"/>
      <c r="E15" s="10">
        <v>19195</v>
      </c>
      <c r="F15" s="10"/>
      <c r="G15" s="10">
        <f t="shared" si="0"/>
        <v>70625</v>
      </c>
      <c r="H15" s="16">
        <f t="shared" si="1"/>
        <v>34.69</v>
      </c>
      <c r="I15" s="15">
        <f t="shared" si="2"/>
        <v>0.10100000000000001</v>
      </c>
      <c r="J15" s="15">
        <f>ROUND(G15/65552.02-1,2)</f>
        <v>0.08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4950</v>
      </c>
      <c r="F16" s="10"/>
      <c r="G16" s="10">
        <f t="shared" si="0"/>
        <v>4950</v>
      </c>
      <c r="H16" s="16">
        <f t="shared" si="1"/>
        <v>2.4300000000000002</v>
      </c>
      <c r="I16" s="15">
        <f t="shared" si="2"/>
        <v>7.0000000000000001E-3</v>
      </c>
      <c r="J16" s="15">
        <f>ROUND(G16/3770-1,2)</f>
        <v>0.31</v>
      </c>
    </row>
    <row r="17" spans="1:10" x14ac:dyDescent="0.25">
      <c r="A17" s="1" t="s">
        <v>16</v>
      </c>
      <c r="B17" s="1" t="s">
        <v>26</v>
      </c>
      <c r="C17" s="10">
        <v>73920</v>
      </c>
      <c r="D17" s="10"/>
      <c r="E17" s="10"/>
      <c r="F17" s="10">
        <v>60</v>
      </c>
      <c r="G17" s="10">
        <f t="shared" si="0"/>
        <v>73980</v>
      </c>
      <c r="H17" s="16">
        <f t="shared" si="1"/>
        <v>36.340000000000003</v>
      </c>
      <c r="I17" s="15">
        <f t="shared" si="2"/>
        <v>0.106</v>
      </c>
      <c r="J17" s="15">
        <f>ROUND(G17/60370-1,2)</f>
        <v>0.23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578</v>
      </c>
      <c r="F18" s="10"/>
      <c r="G18" s="10">
        <f t="shared" si="0"/>
        <v>578</v>
      </c>
      <c r="H18" s="16">
        <f t="shared" si="1"/>
        <v>0.28000000000000003</v>
      </c>
      <c r="I18" s="15">
        <f t="shared" si="2"/>
        <v>1E-3</v>
      </c>
      <c r="J18" s="15">
        <f>ROUND(G18/784-1,2)</f>
        <v>-0.26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387</v>
      </c>
      <c r="F19" s="10"/>
      <c r="G19" s="10">
        <f t="shared" si="0"/>
        <v>387</v>
      </c>
      <c r="H19" s="16">
        <f t="shared" si="1"/>
        <v>0.19</v>
      </c>
      <c r="I19" s="15">
        <f t="shared" si="2"/>
        <v>1E-3</v>
      </c>
      <c r="J19" s="15">
        <f>ROUND(G19/350-1,2)</f>
        <v>0.11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554</v>
      </c>
      <c r="F20" s="10"/>
      <c r="G20" s="10">
        <f t="shared" si="0"/>
        <v>554</v>
      </c>
      <c r="H20" s="16">
        <f t="shared" si="1"/>
        <v>0.27</v>
      </c>
      <c r="I20" s="15">
        <f t="shared" si="2"/>
        <v>1E-3</v>
      </c>
      <c r="J20" s="15">
        <f>ROUND(G20/3114.55-1,2)</f>
        <v>-0.82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720</v>
      </c>
      <c r="F21" s="10"/>
      <c r="G21" s="10">
        <f t="shared" si="0"/>
        <v>720</v>
      </c>
      <c r="H21" s="16">
        <f t="shared" si="1"/>
        <v>0.35</v>
      </c>
      <c r="I21" s="15">
        <f t="shared" si="2"/>
        <v>1E-3</v>
      </c>
      <c r="J21" s="15">
        <f>ROUND(G21/770.64-1,2)</f>
        <v>-7.0000000000000007E-2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1405</v>
      </c>
      <c r="F22" s="10"/>
      <c r="G22" s="10">
        <f t="shared" si="0"/>
        <v>1405</v>
      </c>
      <c r="H22" s="16">
        <f t="shared" si="1"/>
        <v>0.69</v>
      </c>
      <c r="I22" s="15">
        <f t="shared" si="2"/>
        <v>2E-3</v>
      </c>
      <c r="J22" s="15">
        <f>ROUND(G22/2177.97-1,2)</f>
        <v>-0.35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105</v>
      </c>
      <c r="F23" s="10"/>
      <c r="G23" s="10">
        <f t="shared" si="0"/>
        <v>105</v>
      </c>
      <c r="H23" s="16">
        <f t="shared" si="1"/>
        <v>0.05</v>
      </c>
      <c r="I23" s="15">
        <f t="shared" si="2"/>
        <v>0</v>
      </c>
      <c r="J23" s="15">
        <f>ROUND(G23/540-1,2)</f>
        <v>-0.81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48</v>
      </c>
      <c r="F24" s="10"/>
      <c r="G24" s="10">
        <f t="shared" si="0"/>
        <v>48</v>
      </c>
      <c r="H24" s="16">
        <f t="shared" si="1"/>
        <v>0.02</v>
      </c>
      <c r="I24" s="15">
        <f t="shared" si="2"/>
        <v>0</v>
      </c>
      <c r="J24" s="15">
        <f>ROUND(G24/610-1,2)</f>
        <v>-0.92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934</v>
      </c>
      <c r="F25" s="10"/>
      <c r="G25" s="10">
        <f t="shared" si="0"/>
        <v>934</v>
      </c>
      <c r="H25" s="16">
        <f t="shared" si="1"/>
        <v>0.46</v>
      </c>
      <c r="I25" s="15">
        <f t="shared" si="2"/>
        <v>1E-3</v>
      </c>
      <c r="J25" s="15">
        <f>ROUND(G25/725.25-1,2)</f>
        <v>0.28999999999999998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2479</v>
      </c>
      <c r="F26" s="10"/>
      <c r="G26" s="10">
        <f t="shared" si="0"/>
        <v>2479</v>
      </c>
      <c r="H26" s="16">
        <f t="shared" si="1"/>
        <v>1.22</v>
      </c>
      <c r="I26" s="15">
        <f t="shared" si="2"/>
        <v>4.0000000000000001E-3</v>
      </c>
      <c r="J26" s="15">
        <f>ROUND(G26/3439.69-1,2)</f>
        <v>-0.28000000000000003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53235</v>
      </c>
      <c r="F27" s="10"/>
      <c r="G27" s="10">
        <f t="shared" si="0"/>
        <v>53235</v>
      </c>
      <c r="H27" s="16">
        <f t="shared" si="1"/>
        <v>26.15</v>
      </c>
      <c r="I27" s="15">
        <f t="shared" si="2"/>
        <v>7.5999999999999998E-2</v>
      </c>
      <c r="J27" s="15">
        <f>ROUND(G27/62861.34-1,2)</f>
        <v>-0.15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18498</v>
      </c>
      <c r="F28" s="10"/>
      <c r="G28" s="10">
        <f t="shared" si="0"/>
        <v>18498</v>
      </c>
      <c r="H28" s="16">
        <f t="shared" si="1"/>
        <v>9.09</v>
      </c>
      <c r="I28" s="15">
        <f t="shared" si="2"/>
        <v>2.5999999999999999E-2</v>
      </c>
      <c r="J28" s="15">
        <f>ROUND(G28/18200.79-1,2)</f>
        <v>0.02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19312</v>
      </c>
      <c r="F29" s="10"/>
      <c r="G29" s="10">
        <f t="shared" si="0"/>
        <v>19312</v>
      </c>
      <c r="H29" s="16">
        <f t="shared" si="1"/>
        <v>9.49</v>
      </c>
      <c r="I29" s="15">
        <f t="shared" si="2"/>
        <v>2.8000000000000001E-2</v>
      </c>
      <c r="J29" s="15">
        <f>ROUND(G29/25762.95-1,2)</f>
        <v>-0.25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ROUND(G30/88.23-1,2)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ROUND(G31/2523.2-1,2)</f>
        <v>-1</v>
      </c>
    </row>
    <row r="32" spans="1:10" x14ac:dyDescent="0.25">
      <c r="A32" s="1" t="s">
        <v>16</v>
      </c>
      <c r="B32" s="1" t="s">
        <v>43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ROUND(G32/7360-1,2)</f>
        <v>-1</v>
      </c>
    </row>
    <row r="33" spans="1:10" x14ac:dyDescent="0.25">
      <c r="A33" s="1" t="s">
        <v>16</v>
      </c>
      <c r="B33" s="1" t="s">
        <v>18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ROUND(G33/640-1,2)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199330</v>
      </c>
      <c r="D36" s="10"/>
      <c r="E36" s="10"/>
      <c r="F36" s="10">
        <v>80</v>
      </c>
      <c r="G36" s="10">
        <f t="shared" si="0"/>
        <v>199410</v>
      </c>
      <c r="H36" s="16">
        <f t="shared" si="1"/>
        <v>97.94</v>
      </c>
      <c r="I36" s="15">
        <f t="shared" si="2"/>
        <v>0.28499999999999998</v>
      </c>
      <c r="J36" s="15">
        <f>ROUND(G36/216530-1,2)</f>
        <v>-0.08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39908</v>
      </c>
      <c r="F37" s="10"/>
      <c r="G37" s="10">
        <f t="shared" si="0"/>
        <v>39908</v>
      </c>
      <c r="H37" s="16">
        <f t="shared" si="1"/>
        <v>19.600000000000001</v>
      </c>
      <c r="I37" s="15">
        <f t="shared" si="2"/>
        <v>5.7000000000000002E-2</v>
      </c>
      <c r="J37" s="15">
        <f>ROUND(G37/39813.69-1,2)</f>
        <v>0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ROUND(G39/13-1,2)</f>
        <v>-1</v>
      </c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ROUND(G40/160-1,2)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5" t="s">
        <v>12</v>
      </c>
      <c r="B43" s="25"/>
      <c r="C43" s="11">
        <f t="shared" ref="C43:H43" si="3">SUM(C8:C42)</f>
        <v>453430</v>
      </c>
      <c r="D43" s="11">
        <f t="shared" si="3"/>
        <v>0</v>
      </c>
      <c r="E43" s="11">
        <f t="shared" si="3"/>
        <v>245795</v>
      </c>
      <c r="F43" s="11">
        <f t="shared" si="3"/>
        <v>180</v>
      </c>
      <c r="G43" s="11">
        <f t="shared" si="3"/>
        <v>699405</v>
      </c>
      <c r="H43" s="14">
        <f t="shared" si="3"/>
        <v>343.5200000000001</v>
      </c>
      <c r="I43" s="17"/>
      <c r="J43" s="17"/>
    </row>
    <row r="44" spans="1:10" x14ac:dyDescent="0.25">
      <c r="A44" s="25" t="s">
        <v>14</v>
      </c>
      <c r="B44" s="25"/>
      <c r="C44" s="12">
        <f>ROUND(C43/G43,2)</f>
        <v>0.65</v>
      </c>
      <c r="D44" s="12">
        <f>ROUND(D43/G43,2)</f>
        <v>0</v>
      </c>
      <c r="E44" s="12">
        <f>ROUND(E43/G43,2)</f>
        <v>0.35</v>
      </c>
      <c r="F44" s="12">
        <f>ROUND(F43/G43,2)</f>
        <v>0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5" t="s">
        <v>53</v>
      </c>
      <c r="B49" s="25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0" t="s">
        <v>54</v>
      </c>
      <c r="B50" s="20"/>
      <c r="C50" s="10">
        <v>254100</v>
      </c>
      <c r="D50" s="10">
        <v>0</v>
      </c>
      <c r="E50" s="10">
        <v>205887</v>
      </c>
      <c r="F50" s="10">
        <v>100</v>
      </c>
      <c r="G50" s="10">
        <f>SUM(C50:F50)</f>
        <v>460087</v>
      </c>
      <c r="H50" s="16">
        <f>ROUND(G50/2036,2)</f>
        <v>225.98</v>
      </c>
      <c r="I50" s="9"/>
      <c r="J50" s="9"/>
    </row>
    <row r="51" spans="1:10" x14ac:dyDescent="0.25">
      <c r="A51" s="20" t="s">
        <v>55</v>
      </c>
      <c r="B51" s="20"/>
      <c r="C51" s="10">
        <v>199330</v>
      </c>
      <c r="D51" s="10">
        <v>0</v>
      </c>
      <c r="E51" s="10">
        <v>39908</v>
      </c>
      <c r="F51" s="10">
        <v>80</v>
      </c>
      <c r="G51" s="10">
        <f>SUM(C51:F51)</f>
        <v>239318</v>
      </c>
      <c r="H51" s="16">
        <f>ROUND(G51/2036,2)</f>
        <v>117.54</v>
      </c>
      <c r="I51" s="9"/>
      <c r="J51" s="9"/>
    </row>
    <row r="52" spans="1:10" x14ac:dyDescent="0.25">
      <c r="A52" s="20" t="s">
        <v>56</v>
      </c>
      <c r="B52" s="20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ROUND(G52/2036,2)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57</v>
      </c>
      <c r="B57" s="25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0" t="s">
        <v>58</v>
      </c>
      <c r="B58" s="20"/>
      <c r="C58" s="15">
        <f>ROUND(0.6804, 4)</f>
        <v>0.6804</v>
      </c>
      <c r="D58" s="15">
        <f>ROUND(0.6592, 4)</f>
        <v>0.65920000000000001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3" t="s">
        <v>64</v>
      </c>
      <c r="J58" s="23" t="s">
        <v>65</v>
      </c>
    </row>
    <row r="59" spans="1:10" x14ac:dyDescent="0.25">
      <c r="A59" s="20" t="s">
        <v>66</v>
      </c>
      <c r="B59" s="20"/>
      <c r="C59" s="15">
        <f>ROUND(0.6445, 4)</f>
        <v>0.64449999999999996</v>
      </c>
      <c r="D59" s="15">
        <f>ROUND(0.6252, 4)</f>
        <v>0.62519999999999998</v>
      </c>
      <c r="E59" s="15">
        <f>ROUND(0.7608, 4)</f>
        <v>0.76080000000000003</v>
      </c>
      <c r="F59" s="8"/>
      <c r="G59" s="14" t="s">
        <v>67</v>
      </c>
      <c r="H59" s="27"/>
      <c r="I59" s="24"/>
      <c r="J59" s="24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5" t="s">
        <v>68</v>
      </c>
      <c r="B63" s="25"/>
      <c r="C63" s="14" t="s">
        <v>2</v>
      </c>
      <c r="D63" s="14" t="s">
        <v>87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0" t="s">
        <v>73</v>
      </c>
      <c r="B64" s="20"/>
      <c r="C64" s="16">
        <v>97.94</v>
      </c>
      <c r="D64" s="16">
        <v>94.4</v>
      </c>
      <c r="E64" s="16">
        <v>91.13</v>
      </c>
      <c r="F64" s="16">
        <v>54.95</v>
      </c>
      <c r="G64" s="16">
        <f>12/10*C64</f>
        <v>117.52799999999999</v>
      </c>
      <c r="H64" s="8"/>
      <c r="I64" s="9"/>
      <c r="J64" s="9"/>
    </row>
    <row r="65" spans="1:10" x14ac:dyDescent="0.25">
      <c r="A65" s="20" t="s">
        <v>74</v>
      </c>
      <c r="B65" s="20"/>
      <c r="C65" s="16">
        <v>36.340000000000003</v>
      </c>
      <c r="D65" s="16">
        <v>44.56</v>
      </c>
      <c r="E65" s="16">
        <v>61.18</v>
      </c>
      <c r="F65" s="16">
        <v>62.89</v>
      </c>
      <c r="G65" s="16">
        <f>12/10*C65</f>
        <v>43.608000000000004</v>
      </c>
      <c r="H65" s="8"/>
      <c r="I65" s="9"/>
      <c r="J65" s="9"/>
    </row>
    <row r="66" spans="1:10" x14ac:dyDescent="0.25">
      <c r="A66" s="20" t="s">
        <v>75</v>
      </c>
      <c r="B66" s="20"/>
      <c r="C66" s="16">
        <v>225.98</v>
      </c>
      <c r="D66" s="16">
        <v>264.29000000000002</v>
      </c>
      <c r="E66" s="16">
        <v>287.25</v>
      </c>
      <c r="F66" s="16">
        <v>278.91000000000003</v>
      </c>
      <c r="G66" s="16">
        <f>12/10*C66</f>
        <v>271.17599999999999</v>
      </c>
      <c r="H66" s="8"/>
      <c r="I66" s="9"/>
      <c r="J66" s="9"/>
    </row>
    <row r="67" spans="1:10" x14ac:dyDescent="0.25">
      <c r="A67" s="20" t="s">
        <v>76</v>
      </c>
      <c r="B67" s="20"/>
      <c r="C67" s="16">
        <v>117.54</v>
      </c>
      <c r="D67" s="16">
        <v>117.98</v>
      </c>
      <c r="E67" s="16">
        <v>114.69</v>
      </c>
      <c r="F67" s="16">
        <v>78.319999999999993</v>
      </c>
      <c r="G67" s="16">
        <f>12/10*C67</f>
        <v>141.048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2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88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2880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75</v>
      </c>
      <c r="F9" s="10"/>
      <c r="G9" s="10">
        <f t="shared" ref="G9:G41" si="0">SUM(C9:F9)</f>
        <v>75</v>
      </c>
      <c r="H9" s="16">
        <f t="shared" ref="H9:H41" si="1">ROUND(G9/2880,2)</f>
        <v>0.03</v>
      </c>
      <c r="I9" s="15">
        <f t="shared" ref="I9:I41" si="2">ROUND(G9/$G$42,3)</f>
        <v>0</v>
      </c>
      <c r="J9" s="15">
        <f>ROUND(G9/53-1,2)</f>
        <v>0.42</v>
      </c>
    </row>
    <row r="10" spans="1:10" x14ac:dyDescent="0.25">
      <c r="A10" s="1" t="s">
        <v>16</v>
      </c>
      <c r="B10" s="1" t="s">
        <v>19</v>
      </c>
      <c r="C10" s="10">
        <v>66500</v>
      </c>
      <c r="D10" s="10"/>
      <c r="E10" s="10"/>
      <c r="F10" s="10"/>
      <c r="G10" s="10">
        <f t="shared" si="0"/>
        <v>66500</v>
      </c>
      <c r="H10" s="16">
        <f t="shared" si="1"/>
        <v>23.09</v>
      </c>
      <c r="I10" s="15">
        <f t="shared" si="2"/>
        <v>7.4999999999999997E-2</v>
      </c>
      <c r="J10" s="15">
        <f>ROUND(G10/63580-1,2)</f>
        <v>0.05</v>
      </c>
    </row>
    <row r="11" spans="1:10" x14ac:dyDescent="0.25">
      <c r="A11" s="1" t="s">
        <v>16</v>
      </c>
      <c r="B11" s="1" t="s">
        <v>20</v>
      </c>
      <c r="C11" s="10">
        <v>98450</v>
      </c>
      <c r="D11" s="10"/>
      <c r="E11" s="10"/>
      <c r="F11" s="10"/>
      <c r="G11" s="10">
        <f t="shared" si="0"/>
        <v>98450</v>
      </c>
      <c r="H11" s="16">
        <f t="shared" si="1"/>
        <v>34.18</v>
      </c>
      <c r="I11" s="15">
        <f t="shared" si="2"/>
        <v>0.112</v>
      </c>
      <c r="J11" s="15">
        <f>ROUND(G11/82900-1,2)</f>
        <v>0.19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258</v>
      </c>
      <c r="F12" s="10"/>
      <c r="G12" s="10">
        <f t="shared" si="0"/>
        <v>258</v>
      </c>
      <c r="H12" s="16">
        <f t="shared" si="1"/>
        <v>0.09</v>
      </c>
      <c r="I12" s="15">
        <f t="shared" si="2"/>
        <v>0</v>
      </c>
      <c r="J12" s="15">
        <f>ROUND(G12/271-1,2)</f>
        <v>-0.05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2200</v>
      </c>
      <c r="F13" s="10"/>
      <c r="G13" s="10">
        <f t="shared" si="0"/>
        <v>2200</v>
      </c>
      <c r="H13" s="16">
        <f t="shared" si="1"/>
        <v>0.76</v>
      </c>
      <c r="I13" s="15">
        <f t="shared" si="2"/>
        <v>2E-3</v>
      </c>
      <c r="J13" s="15">
        <f>ROUND(G13/1600-1,2)</f>
        <v>0.38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34000</v>
      </c>
      <c r="F14" s="10"/>
      <c r="G14" s="10">
        <f t="shared" si="0"/>
        <v>34000</v>
      </c>
      <c r="H14" s="16">
        <f t="shared" si="1"/>
        <v>11.81</v>
      </c>
      <c r="I14" s="15">
        <f t="shared" si="2"/>
        <v>3.9E-2</v>
      </c>
      <c r="J14" s="15">
        <f>ROUND(G14/31460-1,2)</f>
        <v>0.08</v>
      </c>
    </row>
    <row r="15" spans="1:10" x14ac:dyDescent="0.25">
      <c r="A15" s="1" t="s">
        <v>16</v>
      </c>
      <c r="B15" s="1" t="s">
        <v>24</v>
      </c>
      <c r="C15" s="10">
        <v>109770</v>
      </c>
      <c r="D15" s="10"/>
      <c r="E15" s="10">
        <v>5980</v>
      </c>
      <c r="F15" s="10"/>
      <c r="G15" s="10">
        <f t="shared" si="0"/>
        <v>115750</v>
      </c>
      <c r="H15" s="16">
        <f t="shared" si="1"/>
        <v>40.19</v>
      </c>
      <c r="I15" s="15">
        <f t="shared" si="2"/>
        <v>0.13100000000000001</v>
      </c>
      <c r="J15" s="15">
        <f>ROUND(G15/120265-1,2)</f>
        <v>-0.04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4170</v>
      </c>
      <c r="F16" s="10"/>
      <c r="G16" s="10">
        <f t="shared" si="0"/>
        <v>4170</v>
      </c>
      <c r="H16" s="16">
        <f t="shared" si="1"/>
        <v>1.45</v>
      </c>
      <c r="I16" s="15">
        <f t="shared" si="2"/>
        <v>5.0000000000000001E-3</v>
      </c>
      <c r="J16" s="15">
        <f>ROUND(G16/2190-1,2)</f>
        <v>0.9</v>
      </c>
    </row>
    <row r="17" spans="1:10" x14ac:dyDescent="0.25">
      <c r="A17" s="1" t="s">
        <v>16</v>
      </c>
      <c r="B17" s="1" t="s">
        <v>26</v>
      </c>
      <c r="C17" s="10">
        <v>128830</v>
      </c>
      <c r="D17" s="10"/>
      <c r="E17" s="10"/>
      <c r="F17" s="10"/>
      <c r="G17" s="10">
        <f t="shared" si="0"/>
        <v>128830</v>
      </c>
      <c r="H17" s="16">
        <f t="shared" si="1"/>
        <v>44.73</v>
      </c>
      <c r="I17" s="15">
        <f t="shared" si="2"/>
        <v>0.14599999999999999</v>
      </c>
      <c r="J17" s="15">
        <f>ROUND(G17/128360-1,2)</f>
        <v>0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503</v>
      </c>
      <c r="F18" s="10"/>
      <c r="G18" s="10">
        <f t="shared" si="0"/>
        <v>503</v>
      </c>
      <c r="H18" s="16">
        <f t="shared" si="1"/>
        <v>0.17</v>
      </c>
      <c r="I18" s="15">
        <f t="shared" si="2"/>
        <v>1E-3</v>
      </c>
      <c r="J18" s="15">
        <f>ROUND(G18/389-1,2)</f>
        <v>0.28999999999999998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298</v>
      </c>
      <c r="F19" s="10"/>
      <c r="G19" s="10">
        <f t="shared" si="0"/>
        <v>298</v>
      </c>
      <c r="H19" s="16">
        <f t="shared" si="1"/>
        <v>0.1</v>
      </c>
      <c r="I19" s="15">
        <f t="shared" si="2"/>
        <v>0</v>
      </c>
      <c r="J19" s="15">
        <f>ROUND(G19/214-1,2)</f>
        <v>0.39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1940</v>
      </c>
      <c r="F20" s="10"/>
      <c r="G20" s="10">
        <f t="shared" si="0"/>
        <v>1940</v>
      </c>
      <c r="H20" s="16">
        <f t="shared" si="1"/>
        <v>0.67</v>
      </c>
      <c r="I20" s="15">
        <f t="shared" si="2"/>
        <v>2E-3</v>
      </c>
      <c r="J20" s="15">
        <f>ROUND(G20/2320-1,2)</f>
        <v>-0.16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860</v>
      </c>
      <c r="F21" s="10"/>
      <c r="G21" s="10">
        <f t="shared" si="0"/>
        <v>860</v>
      </c>
      <c r="H21" s="16">
        <f t="shared" si="1"/>
        <v>0.3</v>
      </c>
      <c r="I21" s="15">
        <f t="shared" si="2"/>
        <v>1E-3</v>
      </c>
      <c r="J21" s="15">
        <f>ROUND(G21/900-1,2)</f>
        <v>-0.04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360</v>
      </c>
      <c r="F22" s="10"/>
      <c r="G22" s="10">
        <f t="shared" si="0"/>
        <v>360</v>
      </c>
      <c r="H22" s="16">
        <f t="shared" si="1"/>
        <v>0.13</v>
      </c>
      <c r="I22" s="15">
        <f t="shared" si="2"/>
        <v>0</v>
      </c>
      <c r="J22" s="15">
        <f>ROUND(G22/180-1,2)</f>
        <v>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1400</v>
      </c>
      <c r="F23" s="10"/>
      <c r="G23" s="10">
        <f t="shared" si="0"/>
        <v>1400</v>
      </c>
      <c r="H23" s="16">
        <f t="shared" si="1"/>
        <v>0.49</v>
      </c>
      <c r="I23" s="15">
        <f t="shared" si="2"/>
        <v>2E-3</v>
      </c>
      <c r="J23" s="15">
        <f>ROUND(G23/1555-1,2)</f>
        <v>-0.1</v>
      </c>
    </row>
    <row r="24" spans="1:10" x14ac:dyDescent="0.25">
      <c r="A24" s="1" t="s">
        <v>16</v>
      </c>
      <c r="B24" s="1" t="s">
        <v>33</v>
      </c>
      <c r="C24" s="10"/>
      <c r="D24" s="10">
        <v>191</v>
      </c>
      <c r="E24" s="10">
        <v>78</v>
      </c>
      <c r="F24" s="10"/>
      <c r="G24" s="10">
        <f t="shared" si="0"/>
        <v>269</v>
      </c>
      <c r="H24" s="16">
        <f t="shared" si="1"/>
        <v>0.09</v>
      </c>
      <c r="I24" s="15">
        <f t="shared" si="2"/>
        <v>0</v>
      </c>
      <c r="J24" s="15">
        <f>ROUND(G24/258-1,2)</f>
        <v>0.04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460</v>
      </c>
      <c r="F25" s="10"/>
      <c r="G25" s="10">
        <f t="shared" si="0"/>
        <v>460</v>
      </c>
      <c r="H25" s="16">
        <f t="shared" si="1"/>
        <v>0.16</v>
      </c>
      <c r="I25" s="15">
        <f t="shared" si="2"/>
        <v>1E-3</v>
      </c>
      <c r="J25" s="15">
        <f>ROUND(G25/553-1,2)</f>
        <v>-0.17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1140</v>
      </c>
      <c r="F26" s="10"/>
      <c r="G26" s="10">
        <f t="shared" si="0"/>
        <v>1140</v>
      </c>
      <c r="H26" s="16">
        <f t="shared" si="1"/>
        <v>0.4</v>
      </c>
      <c r="I26" s="15">
        <f t="shared" si="2"/>
        <v>1E-3</v>
      </c>
      <c r="J26" s="15">
        <f>ROUND(G26/916-1,2)</f>
        <v>0.24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900</v>
      </c>
      <c r="F27" s="10"/>
      <c r="G27" s="10">
        <f t="shared" si="0"/>
        <v>900</v>
      </c>
      <c r="H27" s="16">
        <f t="shared" si="1"/>
        <v>0.31</v>
      </c>
      <c r="I27" s="15">
        <f t="shared" si="2"/>
        <v>1E-3</v>
      </c>
      <c r="J27" s="15">
        <f>ROUND(G27/2440-1,2)</f>
        <v>-0.63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3180</v>
      </c>
      <c r="F28" s="10"/>
      <c r="G28" s="10">
        <f t="shared" si="0"/>
        <v>3180</v>
      </c>
      <c r="H28" s="16">
        <f t="shared" si="1"/>
        <v>1.1000000000000001</v>
      </c>
      <c r="I28" s="15">
        <f t="shared" si="2"/>
        <v>4.0000000000000001E-3</v>
      </c>
      <c r="J28" s="15">
        <f>ROUND(G28/2420-1,2)</f>
        <v>0.31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1500</v>
      </c>
      <c r="F29" s="10"/>
      <c r="G29" s="10">
        <f t="shared" si="0"/>
        <v>1500</v>
      </c>
      <c r="H29" s="16">
        <f t="shared" si="1"/>
        <v>0.52</v>
      </c>
      <c r="I29" s="15">
        <f t="shared" si="2"/>
        <v>2E-3</v>
      </c>
      <c r="J29" s="15">
        <f>ROUND(G29/7787-1,2)</f>
        <v>-0.81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49640</v>
      </c>
      <c r="F30" s="10"/>
      <c r="G30" s="10">
        <f t="shared" si="0"/>
        <v>49640</v>
      </c>
      <c r="H30" s="16">
        <f t="shared" si="1"/>
        <v>17.239999999999998</v>
      </c>
      <c r="I30" s="15">
        <f t="shared" si="2"/>
        <v>5.6000000000000001E-2</v>
      </c>
      <c r="J30" s="15">
        <f>ROUND(G30/44890-1,2)</f>
        <v>0.11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4740</v>
      </c>
      <c r="F31" s="10"/>
      <c r="G31" s="10">
        <f t="shared" si="0"/>
        <v>4740</v>
      </c>
      <c r="H31" s="16">
        <f t="shared" si="1"/>
        <v>1.65</v>
      </c>
      <c r="I31" s="15">
        <f t="shared" si="2"/>
        <v>5.0000000000000001E-3</v>
      </c>
      <c r="J31" s="15">
        <f>ROUND(G31/4110-1,2)</f>
        <v>0.15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15340</v>
      </c>
      <c r="F32" s="10"/>
      <c r="G32" s="10">
        <f t="shared" si="0"/>
        <v>15340</v>
      </c>
      <c r="H32" s="16">
        <f t="shared" si="1"/>
        <v>5.33</v>
      </c>
      <c r="I32" s="15">
        <f t="shared" si="2"/>
        <v>1.7000000000000001E-2</v>
      </c>
      <c r="J32" s="15">
        <f>ROUND(G32/15590-1,2)</f>
        <v>-0.02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107040</v>
      </c>
      <c r="F33" s="10"/>
      <c r="G33" s="10">
        <f t="shared" si="0"/>
        <v>107040</v>
      </c>
      <c r="H33" s="16">
        <f t="shared" si="1"/>
        <v>37.17</v>
      </c>
      <c r="I33" s="15">
        <f t="shared" si="2"/>
        <v>0.121</v>
      </c>
      <c r="J33" s="15">
        <f>ROUND(G33/93250-1,2)</f>
        <v>0.15</v>
      </c>
    </row>
    <row r="34" spans="1:10" x14ac:dyDescent="0.25">
      <c r="A34" s="1" t="s">
        <v>16</v>
      </c>
      <c r="B34" s="1" t="s">
        <v>18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90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196030</v>
      </c>
      <c r="D37" s="10"/>
      <c r="E37" s="10"/>
      <c r="F37" s="10"/>
      <c r="G37" s="10">
        <f t="shared" si="0"/>
        <v>196030</v>
      </c>
      <c r="H37" s="16">
        <f t="shared" si="1"/>
        <v>68.069999999999993</v>
      </c>
      <c r="I37" s="15">
        <f t="shared" si="2"/>
        <v>0.222</v>
      </c>
      <c r="J37" s="15">
        <f>ROUND(G37/196500-1,2)</f>
        <v>0</v>
      </c>
    </row>
    <row r="38" spans="1:10" x14ac:dyDescent="0.25">
      <c r="A38" s="1" t="s">
        <v>44</v>
      </c>
      <c r="B38" s="1" t="s">
        <v>47</v>
      </c>
      <c r="C38" s="10"/>
      <c r="D38" s="10"/>
      <c r="E38" s="10">
        <v>5700</v>
      </c>
      <c r="F38" s="10"/>
      <c r="G38" s="10">
        <f t="shared" si="0"/>
        <v>5700</v>
      </c>
      <c r="H38" s="16">
        <f t="shared" si="1"/>
        <v>1.98</v>
      </c>
      <c r="I38" s="15">
        <f t="shared" si="2"/>
        <v>6.0000000000000001E-3</v>
      </c>
      <c r="J38" s="15">
        <f>ROUND(G38/7510-1,2)</f>
        <v>-0.24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40370</v>
      </c>
      <c r="F39" s="10"/>
      <c r="G39" s="10">
        <f t="shared" si="0"/>
        <v>40370</v>
      </c>
      <c r="H39" s="16">
        <f t="shared" si="1"/>
        <v>14.02</v>
      </c>
      <c r="I39" s="15">
        <f t="shared" si="2"/>
        <v>4.5999999999999999E-2</v>
      </c>
      <c r="J39" s="15">
        <f>ROUND(G39/41500-1,2)</f>
        <v>-0.03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ROUND(G40/470-1,2)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5" t="s">
        <v>12</v>
      </c>
      <c r="B42" s="25"/>
      <c r="C42" s="11">
        <f t="shared" ref="C42:H42" si="3">SUM(C8:C41)</f>
        <v>599580</v>
      </c>
      <c r="D42" s="11">
        <f t="shared" si="3"/>
        <v>191</v>
      </c>
      <c r="E42" s="11">
        <f t="shared" si="3"/>
        <v>282132</v>
      </c>
      <c r="F42" s="11">
        <f t="shared" si="3"/>
        <v>0</v>
      </c>
      <c r="G42" s="11">
        <f t="shared" si="3"/>
        <v>881903</v>
      </c>
      <c r="H42" s="14">
        <f t="shared" si="3"/>
        <v>306.23</v>
      </c>
      <c r="I42" s="17"/>
      <c r="J42" s="17"/>
    </row>
    <row r="43" spans="1:10" x14ac:dyDescent="0.25">
      <c r="A43" s="25" t="s">
        <v>14</v>
      </c>
      <c r="B43" s="25"/>
      <c r="C43" s="12">
        <f>ROUND(C42/G42,2)</f>
        <v>0.68</v>
      </c>
      <c r="D43" s="12">
        <f>ROUND(D42/G42,2)</f>
        <v>0</v>
      </c>
      <c r="E43" s="12">
        <f>ROUND(E42/G42,2)</f>
        <v>0.32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5" t="s">
        <v>53</v>
      </c>
      <c r="B48" s="25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0" t="s">
        <v>54</v>
      </c>
      <c r="B49" s="20"/>
      <c r="C49" s="10">
        <v>403550</v>
      </c>
      <c r="D49" s="10">
        <v>191</v>
      </c>
      <c r="E49" s="10">
        <v>236062</v>
      </c>
      <c r="F49" s="10">
        <v>0</v>
      </c>
      <c r="G49" s="10">
        <f>SUM(C49:F49)</f>
        <v>639803</v>
      </c>
      <c r="H49" s="16">
        <f>ROUND(G49/2880,2)</f>
        <v>222.15</v>
      </c>
      <c r="I49" s="9"/>
      <c r="J49" s="9"/>
    </row>
    <row r="50" spans="1:10" x14ac:dyDescent="0.25">
      <c r="A50" s="20" t="s">
        <v>55</v>
      </c>
      <c r="B50" s="20"/>
      <c r="C50" s="10">
        <v>196030</v>
      </c>
      <c r="D50" s="10">
        <v>0</v>
      </c>
      <c r="E50" s="10">
        <v>46070</v>
      </c>
      <c r="F50" s="10">
        <v>0</v>
      </c>
      <c r="G50" s="10">
        <f>SUM(C50:F50)</f>
        <v>242100</v>
      </c>
      <c r="H50" s="16">
        <f>ROUND(G50/2880,2)</f>
        <v>84.06</v>
      </c>
      <c r="I50" s="9"/>
      <c r="J50" s="9"/>
    </row>
    <row r="51" spans="1:10" x14ac:dyDescent="0.25">
      <c r="A51" s="20" t="s">
        <v>56</v>
      </c>
      <c r="B51" s="20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ROUND(G51/2880,2)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5" t="s">
        <v>57</v>
      </c>
      <c r="B56" s="25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0" t="s">
        <v>58</v>
      </c>
      <c r="B57" s="20"/>
      <c r="C57" s="15">
        <f>ROUND(0.7643, 4)</f>
        <v>0.76429999999999998</v>
      </c>
      <c r="D57" s="15">
        <f>ROUND(0.7477, 4)</f>
        <v>0.74770000000000003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3" t="s">
        <v>64</v>
      </c>
      <c r="J57" s="23" t="s">
        <v>65</v>
      </c>
    </row>
    <row r="58" spans="1:10" x14ac:dyDescent="0.25">
      <c r="A58" s="20" t="s">
        <v>66</v>
      </c>
      <c r="B58" s="20"/>
      <c r="C58" s="15">
        <f>ROUND(0.7542, 4)</f>
        <v>0.75419999999999998</v>
      </c>
      <c r="D58" s="15">
        <f>ROUND(0.7374, 4)</f>
        <v>0.73740000000000006</v>
      </c>
      <c r="E58" s="15">
        <f>ROUND(0.7608, 4)</f>
        <v>0.76080000000000003</v>
      </c>
      <c r="F58" s="8"/>
      <c r="G58" s="14" t="s">
        <v>67</v>
      </c>
      <c r="H58" s="27"/>
      <c r="I58" s="24"/>
      <c r="J58" s="24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68</v>
      </c>
      <c r="B62" s="25"/>
      <c r="C62" s="14" t="s">
        <v>2</v>
      </c>
      <c r="D62" s="14" t="s">
        <v>91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0" t="s">
        <v>73</v>
      </c>
      <c r="B63" s="20"/>
      <c r="C63" s="16">
        <v>68.069999999999993</v>
      </c>
      <c r="D63" s="16">
        <v>79.94</v>
      </c>
      <c r="E63" s="16">
        <v>91.13</v>
      </c>
      <c r="F63" s="16">
        <v>54.95</v>
      </c>
      <c r="G63" s="16">
        <f>12/10*C63</f>
        <v>81.683999999999983</v>
      </c>
      <c r="H63" s="8"/>
      <c r="I63" s="9"/>
      <c r="J63" s="9"/>
    </row>
    <row r="64" spans="1:10" x14ac:dyDescent="0.25">
      <c r="A64" s="20" t="s">
        <v>74</v>
      </c>
      <c r="B64" s="20"/>
      <c r="C64" s="16">
        <v>44.73</v>
      </c>
      <c r="D64" s="16">
        <v>54.85</v>
      </c>
      <c r="E64" s="16">
        <v>61.18</v>
      </c>
      <c r="F64" s="16">
        <v>62.89</v>
      </c>
      <c r="G64" s="16">
        <f>12/10*C64</f>
        <v>53.675999999999995</v>
      </c>
      <c r="H64" s="8"/>
      <c r="I64" s="9"/>
      <c r="J64" s="9"/>
    </row>
    <row r="65" spans="1:10" x14ac:dyDescent="0.25">
      <c r="A65" s="20" t="s">
        <v>75</v>
      </c>
      <c r="B65" s="20"/>
      <c r="C65" s="16">
        <v>222.15</v>
      </c>
      <c r="D65" s="16">
        <v>268.55</v>
      </c>
      <c r="E65" s="16">
        <v>287.25</v>
      </c>
      <c r="F65" s="16">
        <v>278.91000000000003</v>
      </c>
      <c r="G65" s="16">
        <f>12/10*C65</f>
        <v>266.58</v>
      </c>
      <c r="H65" s="8"/>
      <c r="I65" s="9"/>
      <c r="J65" s="9"/>
    </row>
    <row r="66" spans="1:10" x14ac:dyDescent="0.25">
      <c r="A66" s="20" t="s">
        <v>76</v>
      </c>
      <c r="B66" s="20"/>
      <c r="C66" s="16">
        <v>84.06</v>
      </c>
      <c r="D66" s="16">
        <v>101.17</v>
      </c>
      <c r="E66" s="16">
        <v>114.69</v>
      </c>
      <c r="F66" s="16">
        <v>78.319999999999993</v>
      </c>
      <c r="G66" s="16">
        <f>12/10*C66</f>
        <v>100.872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2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92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71</v>
      </c>
      <c r="B72" s="1" t="s">
        <v>80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72</v>
      </c>
      <c r="B73" s="1" t="s">
        <v>81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93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5150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120</v>
      </c>
      <c r="G9" s="10">
        <f t="shared" ref="G9:G47" si="0">SUM(C9:F9)</f>
        <v>120</v>
      </c>
      <c r="H9" s="16">
        <f t="shared" ref="H9:H47" si="1">ROUND(G9/5150,2)</f>
        <v>0.02</v>
      </c>
      <c r="I9" s="15">
        <f t="shared" ref="I9:I47" si="2">ROUND(G9/$G$48,3)</f>
        <v>0</v>
      </c>
      <c r="J9" s="15"/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>
        <v>280</v>
      </c>
      <c r="G10" s="10">
        <f t="shared" si="0"/>
        <v>280</v>
      </c>
      <c r="H10" s="16">
        <f t="shared" si="1"/>
        <v>0.05</v>
      </c>
      <c r="I10" s="15">
        <f t="shared" si="2"/>
        <v>0</v>
      </c>
      <c r="J10" s="15">
        <f>ROUND(G10/360-1,2)</f>
        <v>-0.22</v>
      </c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48</v>
      </c>
      <c r="B13" s="1" t="s">
        <v>94</v>
      </c>
      <c r="C13" s="10"/>
      <c r="D13" s="10"/>
      <c r="E13" s="10"/>
      <c r="F13" s="10"/>
      <c r="G13" s="10">
        <f t="shared" si="0"/>
        <v>0</v>
      </c>
      <c r="H13" s="16">
        <f t="shared" si="1"/>
        <v>0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17</v>
      </c>
      <c r="C14" s="10"/>
      <c r="D14" s="10"/>
      <c r="E14" s="10">
        <v>102</v>
      </c>
      <c r="F14" s="10"/>
      <c r="G14" s="10">
        <f t="shared" si="0"/>
        <v>102</v>
      </c>
      <c r="H14" s="16">
        <f t="shared" si="1"/>
        <v>0.02</v>
      </c>
      <c r="I14" s="15">
        <f t="shared" si="2"/>
        <v>0</v>
      </c>
      <c r="J14" s="15">
        <f>ROUND(G14/154-1,2)</f>
        <v>-0.34</v>
      </c>
    </row>
    <row r="15" spans="1:10" x14ac:dyDescent="0.25">
      <c r="A15" s="1" t="s">
        <v>16</v>
      </c>
      <c r="B15" s="1" t="s">
        <v>19</v>
      </c>
      <c r="C15" s="10">
        <v>128920</v>
      </c>
      <c r="D15" s="10"/>
      <c r="E15" s="10">
        <v>15540</v>
      </c>
      <c r="F15" s="10">
        <v>540</v>
      </c>
      <c r="G15" s="10">
        <f t="shared" si="0"/>
        <v>145000</v>
      </c>
      <c r="H15" s="16">
        <f t="shared" si="1"/>
        <v>28.16</v>
      </c>
      <c r="I15" s="15">
        <f t="shared" si="2"/>
        <v>7.9000000000000001E-2</v>
      </c>
      <c r="J15" s="15">
        <f>ROUND(G15/138120-1,2)</f>
        <v>0.05</v>
      </c>
    </row>
    <row r="16" spans="1:10" x14ac:dyDescent="0.25">
      <c r="A16" s="1" t="s">
        <v>16</v>
      </c>
      <c r="B16" s="1" t="s">
        <v>20</v>
      </c>
      <c r="C16" s="10">
        <v>171790</v>
      </c>
      <c r="D16" s="10"/>
      <c r="E16" s="10"/>
      <c r="F16" s="10"/>
      <c r="G16" s="10">
        <f t="shared" si="0"/>
        <v>171790</v>
      </c>
      <c r="H16" s="16">
        <f t="shared" si="1"/>
        <v>33.36</v>
      </c>
      <c r="I16" s="15">
        <f t="shared" si="2"/>
        <v>9.2999999999999999E-2</v>
      </c>
      <c r="J16" s="15">
        <f>ROUND(G16/190510-1,2)</f>
        <v>-0.1</v>
      </c>
    </row>
    <row r="17" spans="1:10" x14ac:dyDescent="0.25">
      <c r="A17" s="1" t="s">
        <v>16</v>
      </c>
      <c r="B17" s="1" t="s">
        <v>95</v>
      </c>
      <c r="C17" s="10"/>
      <c r="D17" s="10"/>
      <c r="E17" s="10">
        <v>297</v>
      </c>
      <c r="F17" s="10"/>
      <c r="G17" s="10">
        <f t="shared" si="0"/>
        <v>297</v>
      </c>
      <c r="H17" s="16">
        <f t="shared" si="1"/>
        <v>0.06</v>
      </c>
      <c r="I17" s="15">
        <f t="shared" si="2"/>
        <v>0</v>
      </c>
      <c r="J17" s="15">
        <f>ROUND(G17/312-1,2)</f>
        <v>-0.05</v>
      </c>
    </row>
    <row r="18" spans="1:10" x14ac:dyDescent="0.25">
      <c r="A18" s="1" t="s">
        <v>16</v>
      </c>
      <c r="B18" s="1" t="s">
        <v>21</v>
      </c>
      <c r="C18" s="10"/>
      <c r="D18" s="10"/>
      <c r="E18" s="10">
        <v>443</v>
      </c>
      <c r="F18" s="10"/>
      <c r="G18" s="10">
        <f t="shared" si="0"/>
        <v>443</v>
      </c>
      <c r="H18" s="16">
        <f t="shared" si="1"/>
        <v>0.09</v>
      </c>
      <c r="I18" s="15">
        <f t="shared" si="2"/>
        <v>0</v>
      </c>
      <c r="J18" s="15">
        <f>ROUND(G18/501-1,2)</f>
        <v>-0.12</v>
      </c>
    </row>
    <row r="19" spans="1:10" x14ac:dyDescent="0.25">
      <c r="A19" s="1" t="s">
        <v>16</v>
      </c>
      <c r="B19" s="1" t="s">
        <v>22</v>
      </c>
      <c r="C19" s="10"/>
      <c r="D19" s="10"/>
      <c r="E19" s="10">
        <v>4200</v>
      </c>
      <c r="F19" s="10"/>
      <c r="G19" s="10">
        <f t="shared" si="0"/>
        <v>4200</v>
      </c>
      <c r="H19" s="16">
        <f t="shared" si="1"/>
        <v>0.82</v>
      </c>
      <c r="I19" s="15">
        <f t="shared" si="2"/>
        <v>2E-3</v>
      </c>
      <c r="J19" s="15">
        <f>ROUND(G19/4300-1,2)</f>
        <v>-0.02</v>
      </c>
    </row>
    <row r="20" spans="1:10" x14ac:dyDescent="0.25">
      <c r="A20" s="1" t="s">
        <v>16</v>
      </c>
      <c r="B20" s="1" t="s">
        <v>96</v>
      </c>
      <c r="C20" s="10"/>
      <c r="D20" s="10"/>
      <c r="E20" s="10"/>
      <c r="F20" s="10">
        <v>319</v>
      </c>
      <c r="G20" s="10">
        <f t="shared" si="0"/>
        <v>319</v>
      </c>
      <c r="H20" s="16">
        <f t="shared" si="1"/>
        <v>0.06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97</v>
      </c>
      <c r="C21" s="10"/>
      <c r="D21" s="10"/>
      <c r="E21" s="10"/>
      <c r="F21" s="10">
        <v>54</v>
      </c>
      <c r="G21" s="10">
        <f t="shared" si="0"/>
        <v>54</v>
      </c>
      <c r="H21" s="16">
        <f t="shared" si="1"/>
        <v>0.01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98</v>
      </c>
      <c r="C22" s="10"/>
      <c r="D22" s="10"/>
      <c r="E22" s="10"/>
      <c r="F22" s="10">
        <v>820</v>
      </c>
      <c r="G22" s="10">
        <f t="shared" si="0"/>
        <v>820</v>
      </c>
      <c r="H22" s="16">
        <f t="shared" si="1"/>
        <v>0.16</v>
      </c>
      <c r="I22" s="15">
        <f t="shared" si="2"/>
        <v>0</v>
      </c>
      <c r="J22" s="15">
        <f>ROUND(G22/215-1,2)</f>
        <v>2.81</v>
      </c>
    </row>
    <row r="23" spans="1:10" x14ac:dyDescent="0.25">
      <c r="A23" s="1" t="s">
        <v>16</v>
      </c>
      <c r="B23" s="1" t="s">
        <v>23</v>
      </c>
      <c r="C23" s="10"/>
      <c r="D23" s="10"/>
      <c r="E23" s="10">
        <v>170680</v>
      </c>
      <c r="F23" s="10"/>
      <c r="G23" s="10">
        <f t="shared" si="0"/>
        <v>170680</v>
      </c>
      <c r="H23" s="16">
        <f t="shared" si="1"/>
        <v>33.14</v>
      </c>
      <c r="I23" s="15">
        <f t="shared" si="2"/>
        <v>9.2999999999999999E-2</v>
      </c>
      <c r="J23" s="15">
        <f>ROUND(G23/248343-1,2)</f>
        <v>-0.31</v>
      </c>
    </row>
    <row r="24" spans="1:10" x14ac:dyDescent="0.25">
      <c r="A24" s="1" t="s">
        <v>16</v>
      </c>
      <c r="B24" s="1" t="s">
        <v>24</v>
      </c>
      <c r="C24" s="10">
        <v>147880</v>
      </c>
      <c r="D24" s="10"/>
      <c r="E24" s="10">
        <v>28680</v>
      </c>
      <c r="F24" s="10">
        <v>500</v>
      </c>
      <c r="G24" s="10">
        <f t="shared" si="0"/>
        <v>177060</v>
      </c>
      <c r="H24" s="16">
        <f t="shared" si="1"/>
        <v>34.380000000000003</v>
      </c>
      <c r="I24" s="15">
        <f t="shared" si="2"/>
        <v>9.6000000000000002E-2</v>
      </c>
      <c r="J24" s="15">
        <f>ROUND(G24/179770-1,2)</f>
        <v>-0.02</v>
      </c>
    </row>
    <row r="25" spans="1:10" x14ac:dyDescent="0.25">
      <c r="A25" s="1" t="s">
        <v>16</v>
      </c>
      <c r="B25" s="1" t="s">
        <v>25</v>
      </c>
      <c r="C25" s="10"/>
      <c r="D25" s="10"/>
      <c r="E25" s="10">
        <v>10610</v>
      </c>
      <c r="F25" s="10"/>
      <c r="G25" s="10">
        <f t="shared" si="0"/>
        <v>10610</v>
      </c>
      <c r="H25" s="16">
        <f t="shared" si="1"/>
        <v>2.06</v>
      </c>
      <c r="I25" s="15">
        <f t="shared" si="2"/>
        <v>6.0000000000000001E-3</v>
      </c>
      <c r="J25" s="15">
        <f>ROUND(G25/11850-1,2)</f>
        <v>-0.1</v>
      </c>
    </row>
    <row r="26" spans="1:10" x14ac:dyDescent="0.25">
      <c r="A26" s="1" t="s">
        <v>16</v>
      </c>
      <c r="B26" s="1" t="s">
        <v>26</v>
      </c>
      <c r="C26" s="10">
        <v>215450</v>
      </c>
      <c r="D26" s="10"/>
      <c r="E26" s="10"/>
      <c r="F26" s="10">
        <v>890</v>
      </c>
      <c r="G26" s="10">
        <f t="shared" si="0"/>
        <v>216340</v>
      </c>
      <c r="H26" s="16">
        <f t="shared" si="1"/>
        <v>42.01</v>
      </c>
      <c r="I26" s="15">
        <f t="shared" si="2"/>
        <v>0.11700000000000001</v>
      </c>
      <c r="J26" s="15">
        <f>ROUND(G26/210330-1,2)</f>
        <v>0.03</v>
      </c>
    </row>
    <row r="27" spans="1:10" x14ac:dyDescent="0.25">
      <c r="A27" s="1" t="s">
        <v>16</v>
      </c>
      <c r="B27" s="1" t="s">
        <v>27</v>
      </c>
      <c r="C27" s="10"/>
      <c r="D27" s="10"/>
      <c r="E27" s="10">
        <v>2236</v>
      </c>
      <c r="F27" s="10"/>
      <c r="G27" s="10">
        <f t="shared" si="0"/>
        <v>2236</v>
      </c>
      <c r="H27" s="16">
        <f t="shared" si="1"/>
        <v>0.43</v>
      </c>
      <c r="I27" s="15">
        <f t="shared" si="2"/>
        <v>1E-3</v>
      </c>
      <c r="J27" s="15">
        <f>ROUND(G27/2514-1,2)</f>
        <v>-0.11</v>
      </c>
    </row>
    <row r="28" spans="1:10" x14ac:dyDescent="0.25">
      <c r="A28" s="1" t="s">
        <v>16</v>
      </c>
      <c r="B28" s="1" t="s">
        <v>28</v>
      </c>
      <c r="C28" s="10"/>
      <c r="D28" s="10"/>
      <c r="E28" s="10">
        <v>1883</v>
      </c>
      <c r="F28" s="10"/>
      <c r="G28" s="10">
        <f t="shared" si="0"/>
        <v>1883</v>
      </c>
      <c r="H28" s="16">
        <f t="shared" si="1"/>
        <v>0.37</v>
      </c>
      <c r="I28" s="15">
        <f t="shared" si="2"/>
        <v>1E-3</v>
      </c>
      <c r="J28" s="15">
        <f>ROUND(G28/1777-1,2)</f>
        <v>0.06</v>
      </c>
    </row>
    <row r="29" spans="1:10" x14ac:dyDescent="0.25">
      <c r="A29" s="1" t="s">
        <v>16</v>
      </c>
      <c r="B29" s="1" t="s">
        <v>29</v>
      </c>
      <c r="C29" s="10"/>
      <c r="D29" s="10"/>
      <c r="E29" s="10">
        <v>4540</v>
      </c>
      <c r="F29" s="10"/>
      <c r="G29" s="10">
        <f t="shared" si="0"/>
        <v>4540</v>
      </c>
      <c r="H29" s="16">
        <f t="shared" si="1"/>
        <v>0.88</v>
      </c>
      <c r="I29" s="15">
        <f t="shared" si="2"/>
        <v>2E-3</v>
      </c>
      <c r="J29" s="15">
        <f>ROUND(G29/12490-1,2)</f>
        <v>-0.64</v>
      </c>
    </row>
    <row r="30" spans="1:10" x14ac:dyDescent="0.25">
      <c r="A30" s="1" t="s">
        <v>16</v>
      </c>
      <c r="B30" s="1" t="s">
        <v>30</v>
      </c>
      <c r="C30" s="10"/>
      <c r="D30" s="10"/>
      <c r="E30" s="10">
        <v>1880</v>
      </c>
      <c r="F30" s="10"/>
      <c r="G30" s="10">
        <f t="shared" si="0"/>
        <v>1880</v>
      </c>
      <c r="H30" s="16">
        <f t="shared" si="1"/>
        <v>0.37</v>
      </c>
      <c r="I30" s="15">
        <f t="shared" si="2"/>
        <v>1E-3</v>
      </c>
      <c r="J30" s="15">
        <f>ROUND(G30/2050-1,2)</f>
        <v>-0.08</v>
      </c>
    </row>
    <row r="31" spans="1:10" x14ac:dyDescent="0.25">
      <c r="A31" s="1" t="s">
        <v>16</v>
      </c>
      <c r="B31" s="1" t="s">
        <v>31</v>
      </c>
      <c r="C31" s="10"/>
      <c r="D31" s="10"/>
      <c r="E31" s="10">
        <v>1200</v>
      </c>
      <c r="F31" s="10"/>
      <c r="G31" s="10">
        <f t="shared" si="0"/>
        <v>1200</v>
      </c>
      <c r="H31" s="16">
        <f t="shared" si="1"/>
        <v>0.23</v>
      </c>
      <c r="I31" s="15">
        <f t="shared" si="2"/>
        <v>1E-3</v>
      </c>
      <c r="J31" s="15">
        <f>ROUND(G31/2230-1,2)</f>
        <v>-0.46</v>
      </c>
    </row>
    <row r="32" spans="1:10" x14ac:dyDescent="0.25">
      <c r="A32" s="1" t="s">
        <v>16</v>
      </c>
      <c r="B32" s="1" t="s">
        <v>32</v>
      </c>
      <c r="C32" s="10"/>
      <c r="D32" s="10"/>
      <c r="E32" s="10">
        <v>3470</v>
      </c>
      <c r="F32" s="10"/>
      <c r="G32" s="10">
        <f t="shared" si="0"/>
        <v>3470</v>
      </c>
      <c r="H32" s="16">
        <f t="shared" si="1"/>
        <v>0.67</v>
      </c>
      <c r="I32" s="15">
        <f t="shared" si="2"/>
        <v>2E-3</v>
      </c>
      <c r="J32" s="15">
        <f>ROUND(G32/3635-1,2)</f>
        <v>-0.05</v>
      </c>
    </row>
    <row r="33" spans="1:10" x14ac:dyDescent="0.25">
      <c r="A33" s="1" t="s">
        <v>16</v>
      </c>
      <c r="B33" s="1" t="s">
        <v>33</v>
      </c>
      <c r="C33" s="10"/>
      <c r="D33" s="10">
        <v>318</v>
      </c>
      <c r="E33" s="10">
        <v>68</v>
      </c>
      <c r="F33" s="10"/>
      <c r="G33" s="10">
        <f t="shared" si="0"/>
        <v>386</v>
      </c>
      <c r="H33" s="16">
        <f t="shared" si="1"/>
        <v>7.0000000000000007E-2</v>
      </c>
      <c r="I33" s="15">
        <f t="shared" si="2"/>
        <v>0</v>
      </c>
      <c r="J33" s="15">
        <f>ROUND(G33/365-1,2)</f>
        <v>0.06</v>
      </c>
    </row>
    <row r="34" spans="1:10" x14ac:dyDescent="0.25">
      <c r="A34" s="1" t="s">
        <v>16</v>
      </c>
      <c r="B34" s="1" t="s">
        <v>35</v>
      </c>
      <c r="C34" s="10"/>
      <c r="D34" s="10"/>
      <c r="E34" s="10">
        <v>310</v>
      </c>
      <c r="F34" s="10"/>
      <c r="G34" s="10">
        <f t="shared" si="0"/>
        <v>310</v>
      </c>
      <c r="H34" s="16">
        <f t="shared" si="1"/>
        <v>0.06</v>
      </c>
      <c r="I34" s="15">
        <f t="shared" si="2"/>
        <v>0</v>
      </c>
      <c r="J34" s="15">
        <f>ROUND(G34/1113-1,2)</f>
        <v>-0.72</v>
      </c>
    </row>
    <row r="35" spans="1:10" x14ac:dyDescent="0.25">
      <c r="A35" s="1" t="s">
        <v>16</v>
      </c>
      <c r="B35" s="1" t="s">
        <v>37</v>
      </c>
      <c r="C35" s="10"/>
      <c r="D35" s="10"/>
      <c r="E35" s="10">
        <v>6400</v>
      </c>
      <c r="F35" s="10"/>
      <c r="G35" s="10">
        <f t="shared" si="0"/>
        <v>6400</v>
      </c>
      <c r="H35" s="16">
        <f t="shared" si="1"/>
        <v>1.24</v>
      </c>
      <c r="I35" s="15">
        <f t="shared" si="2"/>
        <v>3.0000000000000001E-3</v>
      </c>
      <c r="J35" s="15">
        <f>ROUND(G35/7200-1,2)</f>
        <v>-0.11</v>
      </c>
    </row>
    <row r="36" spans="1:10" x14ac:dyDescent="0.25">
      <c r="A36" s="1" t="s">
        <v>16</v>
      </c>
      <c r="B36" s="1" t="s">
        <v>43</v>
      </c>
      <c r="C36" s="10"/>
      <c r="D36" s="10"/>
      <c r="E36" s="10">
        <v>8345</v>
      </c>
      <c r="F36" s="10"/>
      <c r="G36" s="10">
        <f t="shared" si="0"/>
        <v>8345</v>
      </c>
      <c r="H36" s="16">
        <f t="shared" si="1"/>
        <v>1.62</v>
      </c>
      <c r="I36" s="15">
        <f t="shared" si="2"/>
        <v>5.0000000000000001E-3</v>
      </c>
      <c r="J36" s="15">
        <f>ROUND(G36/17161-1,2)</f>
        <v>-0.51</v>
      </c>
    </row>
    <row r="37" spans="1:10" x14ac:dyDescent="0.25">
      <c r="A37" s="1" t="s">
        <v>16</v>
      </c>
      <c r="B37" s="1" t="s">
        <v>38</v>
      </c>
      <c r="C37" s="10"/>
      <c r="D37" s="10"/>
      <c r="E37" s="10">
        <v>190880</v>
      </c>
      <c r="F37" s="10"/>
      <c r="G37" s="10">
        <f t="shared" si="0"/>
        <v>190880</v>
      </c>
      <c r="H37" s="16">
        <f t="shared" si="1"/>
        <v>37.06</v>
      </c>
      <c r="I37" s="15">
        <f t="shared" si="2"/>
        <v>0.104</v>
      </c>
      <c r="J37" s="15">
        <f>ROUND(G37/173380-1,2)</f>
        <v>0.1</v>
      </c>
    </row>
    <row r="38" spans="1:10" x14ac:dyDescent="0.25">
      <c r="A38" s="1" t="s">
        <v>16</v>
      </c>
      <c r="B38" s="1" t="s">
        <v>39</v>
      </c>
      <c r="C38" s="10"/>
      <c r="D38" s="10"/>
      <c r="E38" s="10">
        <v>14965</v>
      </c>
      <c r="F38" s="10"/>
      <c r="G38" s="10">
        <f t="shared" si="0"/>
        <v>14965</v>
      </c>
      <c r="H38" s="16">
        <f t="shared" si="1"/>
        <v>2.91</v>
      </c>
      <c r="I38" s="15">
        <f t="shared" si="2"/>
        <v>8.0000000000000002E-3</v>
      </c>
      <c r="J38" s="15">
        <f>ROUND(G38/14595-1,2)</f>
        <v>0.03</v>
      </c>
    </row>
    <row r="39" spans="1:10" x14ac:dyDescent="0.25">
      <c r="A39" s="1" t="s">
        <v>16</v>
      </c>
      <c r="B39" s="1" t="s">
        <v>40</v>
      </c>
      <c r="C39" s="10"/>
      <c r="D39" s="10"/>
      <c r="E39" s="10">
        <v>40350</v>
      </c>
      <c r="F39" s="10"/>
      <c r="G39" s="10">
        <f t="shared" si="0"/>
        <v>40350</v>
      </c>
      <c r="H39" s="16">
        <f t="shared" si="1"/>
        <v>7.83</v>
      </c>
      <c r="I39" s="15">
        <f t="shared" si="2"/>
        <v>2.1999999999999999E-2</v>
      </c>
      <c r="J39" s="15">
        <f>ROUND(G39/31050-1,2)</f>
        <v>0.3</v>
      </c>
    </row>
    <row r="40" spans="1:10" x14ac:dyDescent="0.25">
      <c r="A40" s="1" t="s">
        <v>16</v>
      </c>
      <c r="B40" s="1" t="s">
        <v>41</v>
      </c>
      <c r="C40" s="10"/>
      <c r="D40" s="10"/>
      <c r="E40" s="10">
        <v>295970</v>
      </c>
      <c r="F40" s="10"/>
      <c r="G40" s="10">
        <f t="shared" si="0"/>
        <v>295970</v>
      </c>
      <c r="H40" s="16">
        <f t="shared" si="1"/>
        <v>57.47</v>
      </c>
      <c r="I40" s="15">
        <f t="shared" si="2"/>
        <v>0.161</v>
      </c>
      <c r="J40" s="15">
        <f>ROUND(G40/290040-1,2)</f>
        <v>0.02</v>
      </c>
    </row>
    <row r="41" spans="1:10" x14ac:dyDescent="0.25">
      <c r="A41" s="1" t="s">
        <v>16</v>
      </c>
      <c r="B41" s="1" t="s">
        <v>42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ROUND(G41/357-1,2)</f>
        <v>-1</v>
      </c>
    </row>
    <row r="42" spans="1:10" x14ac:dyDescent="0.25">
      <c r="A42" s="1" t="s">
        <v>16</v>
      </c>
      <c r="B42" s="1" t="s">
        <v>34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16</v>
      </c>
      <c r="B43" s="1" t="s">
        <v>36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ROUND(G43/5999-1,2)</f>
        <v>-1</v>
      </c>
    </row>
    <row r="44" spans="1:10" x14ac:dyDescent="0.25">
      <c r="A44" s="1" t="s">
        <v>16</v>
      </c>
      <c r="B44" s="1" t="s">
        <v>99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226290</v>
      </c>
      <c r="D45" s="10"/>
      <c r="E45" s="10"/>
      <c r="F45" s="10">
        <v>1360</v>
      </c>
      <c r="G45" s="10">
        <f t="shared" si="0"/>
        <v>227650</v>
      </c>
      <c r="H45" s="16">
        <f t="shared" si="1"/>
        <v>44.2</v>
      </c>
      <c r="I45" s="15">
        <f t="shared" si="2"/>
        <v>0.124</v>
      </c>
      <c r="J45" s="15">
        <f>ROUND(G45/224240-1,2)</f>
        <v>0.02</v>
      </c>
    </row>
    <row r="46" spans="1:10" x14ac:dyDescent="0.25">
      <c r="A46" s="1" t="s">
        <v>44</v>
      </c>
      <c r="B46" s="1" t="s">
        <v>47</v>
      </c>
      <c r="C46" s="10"/>
      <c r="D46" s="10"/>
      <c r="E46" s="10">
        <v>11400</v>
      </c>
      <c r="F46" s="10">
        <v>19460</v>
      </c>
      <c r="G46" s="10">
        <f t="shared" si="0"/>
        <v>30860</v>
      </c>
      <c r="H46" s="16">
        <f t="shared" si="1"/>
        <v>5.99</v>
      </c>
      <c r="I46" s="15">
        <f t="shared" si="2"/>
        <v>1.7000000000000001E-2</v>
      </c>
      <c r="J46" s="15">
        <f>ROUND(G46/55240-1,2)</f>
        <v>-0.44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113510</v>
      </c>
      <c r="F47" s="10"/>
      <c r="G47" s="10">
        <f t="shared" si="0"/>
        <v>113510</v>
      </c>
      <c r="H47" s="16">
        <f t="shared" si="1"/>
        <v>22.04</v>
      </c>
      <c r="I47" s="15">
        <f t="shared" si="2"/>
        <v>6.2E-2</v>
      </c>
      <c r="J47" s="15">
        <f>ROUND(G47/116060-1,2)</f>
        <v>-0.02</v>
      </c>
    </row>
    <row r="48" spans="1:10" x14ac:dyDescent="0.25">
      <c r="A48" s="25" t="s">
        <v>12</v>
      </c>
      <c r="B48" s="25"/>
      <c r="C48" s="11">
        <f t="shared" ref="C48:H48" si="3">SUM(C8:C47)</f>
        <v>890330</v>
      </c>
      <c r="D48" s="11">
        <f t="shared" si="3"/>
        <v>318</v>
      </c>
      <c r="E48" s="11">
        <f t="shared" si="3"/>
        <v>927959</v>
      </c>
      <c r="F48" s="11">
        <f t="shared" si="3"/>
        <v>24343</v>
      </c>
      <c r="G48" s="11">
        <f t="shared" si="3"/>
        <v>1842950</v>
      </c>
      <c r="H48" s="14">
        <f t="shared" si="3"/>
        <v>357.84000000000003</v>
      </c>
      <c r="I48" s="17"/>
      <c r="J48" s="17"/>
    </row>
    <row r="49" spans="1:10" x14ac:dyDescent="0.25">
      <c r="A49" s="25" t="s">
        <v>14</v>
      </c>
      <c r="B49" s="25"/>
      <c r="C49" s="12">
        <f>ROUND(C48/G48,2)</f>
        <v>0.48</v>
      </c>
      <c r="D49" s="12">
        <f>ROUND(D48/G48,2)</f>
        <v>0</v>
      </c>
      <c r="E49" s="12">
        <f>ROUND(E48/G48,2)</f>
        <v>0.5</v>
      </c>
      <c r="F49" s="12">
        <f>ROUND(F48/G48,2)</f>
        <v>0.01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53</v>
      </c>
      <c r="B54" s="25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0" t="s">
        <v>54</v>
      </c>
      <c r="B55" s="20"/>
      <c r="C55" s="10">
        <v>664040</v>
      </c>
      <c r="D55" s="10">
        <v>318</v>
      </c>
      <c r="E55" s="10">
        <v>803049</v>
      </c>
      <c r="F55" s="10">
        <v>3123</v>
      </c>
      <c r="G55" s="10">
        <f>SUM(C55:F55)</f>
        <v>1470530</v>
      </c>
      <c r="H55" s="16">
        <f>ROUND(G55/5150,2)</f>
        <v>285.54000000000002</v>
      </c>
      <c r="I55" s="9"/>
      <c r="J55" s="9"/>
    </row>
    <row r="56" spans="1:10" x14ac:dyDescent="0.25">
      <c r="A56" s="20" t="s">
        <v>55</v>
      </c>
      <c r="B56" s="20"/>
      <c r="C56" s="10">
        <v>226290</v>
      </c>
      <c r="D56" s="10">
        <v>0</v>
      </c>
      <c r="E56" s="10">
        <v>124910</v>
      </c>
      <c r="F56" s="10">
        <v>20820</v>
      </c>
      <c r="G56" s="10">
        <f>SUM(C56:F56)</f>
        <v>372020</v>
      </c>
      <c r="H56" s="16">
        <f>ROUND(G56/5150,2)</f>
        <v>72.239999999999995</v>
      </c>
      <c r="I56" s="9"/>
      <c r="J56" s="9"/>
    </row>
    <row r="57" spans="1:10" x14ac:dyDescent="0.25">
      <c r="A57" s="20" t="s">
        <v>56</v>
      </c>
      <c r="B57" s="20"/>
      <c r="C57" s="10">
        <v>0</v>
      </c>
      <c r="D57" s="10">
        <v>0</v>
      </c>
      <c r="E57" s="10">
        <v>0</v>
      </c>
      <c r="F57" s="10">
        <v>400</v>
      </c>
      <c r="G57" s="10">
        <f>SUM(C57:F57)</f>
        <v>400</v>
      </c>
      <c r="H57" s="16">
        <f>ROUND(G57/5150,2)</f>
        <v>0.08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57</v>
      </c>
      <c r="B62" s="25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0" t="s">
        <v>58</v>
      </c>
      <c r="B63" s="20"/>
      <c r="C63" s="15">
        <f>ROUND(0.8564, 4)</f>
        <v>0.85640000000000005</v>
      </c>
      <c r="D63" s="15">
        <f>ROUND(0.8502, 4)</f>
        <v>0.85019999999999996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3" t="s">
        <v>64</v>
      </c>
      <c r="J63" s="23" t="s">
        <v>65</v>
      </c>
    </row>
    <row r="64" spans="1:10" x14ac:dyDescent="0.25">
      <c r="A64" s="20" t="s">
        <v>66</v>
      </c>
      <c r="B64" s="20"/>
      <c r="C64" s="15">
        <f>ROUND(0.8454, 4)</f>
        <v>0.84540000000000004</v>
      </c>
      <c r="D64" s="15">
        <f>ROUND(0.8398, 4)</f>
        <v>0.83979999999999999</v>
      </c>
      <c r="E64" s="15">
        <f>ROUND(0.7608, 4)</f>
        <v>0.76080000000000003</v>
      </c>
      <c r="F64" s="8"/>
      <c r="G64" s="14" t="s">
        <v>67</v>
      </c>
      <c r="H64" s="27"/>
      <c r="I64" s="24"/>
      <c r="J64" s="24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5" t="s">
        <v>68</v>
      </c>
      <c r="B68" s="25"/>
      <c r="C68" s="14" t="s">
        <v>2</v>
      </c>
      <c r="D68" s="14" t="s">
        <v>100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0" t="s">
        <v>73</v>
      </c>
      <c r="B69" s="20"/>
      <c r="C69" s="16">
        <v>44.2</v>
      </c>
      <c r="D69" s="16">
        <v>49.56</v>
      </c>
      <c r="E69" s="16">
        <v>91.13</v>
      </c>
      <c r="F69" s="16">
        <v>54.95</v>
      </c>
      <c r="G69" s="16">
        <f>12/10*C69</f>
        <v>53.04</v>
      </c>
      <c r="H69" s="8"/>
      <c r="I69" s="9"/>
      <c r="J69" s="9"/>
    </row>
    <row r="70" spans="1:10" x14ac:dyDescent="0.25">
      <c r="A70" s="20" t="s">
        <v>74</v>
      </c>
      <c r="B70" s="20"/>
      <c r="C70" s="16">
        <v>42.01</v>
      </c>
      <c r="D70" s="16">
        <v>48.1</v>
      </c>
      <c r="E70" s="16">
        <v>61.18</v>
      </c>
      <c r="F70" s="16">
        <v>62.89</v>
      </c>
      <c r="G70" s="16">
        <f>12/10*C70</f>
        <v>50.411999999999999</v>
      </c>
      <c r="H70" s="8"/>
      <c r="I70" s="9"/>
      <c r="J70" s="9"/>
    </row>
    <row r="71" spans="1:10" x14ac:dyDescent="0.25">
      <c r="A71" s="20" t="s">
        <v>75</v>
      </c>
      <c r="B71" s="20"/>
      <c r="C71" s="16">
        <v>288.64999999999998</v>
      </c>
      <c r="D71" s="16">
        <v>324.17</v>
      </c>
      <c r="E71" s="16">
        <v>287.25</v>
      </c>
      <c r="F71" s="16">
        <v>278.91000000000003</v>
      </c>
      <c r="G71" s="16">
        <f>12/10*C71</f>
        <v>346.37999999999994</v>
      </c>
      <c r="H71" s="8"/>
      <c r="I71" s="9"/>
      <c r="J71" s="9"/>
    </row>
    <row r="72" spans="1:10" x14ac:dyDescent="0.25">
      <c r="A72" s="20" t="s">
        <v>76</v>
      </c>
      <c r="B72" s="20"/>
      <c r="C72" s="16">
        <v>72.239999999999995</v>
      </c>
      <c r="D72" s="16">
        <v>84.73</v>
      </c>
      <c r="E72" s="16">
        <v>114.69</v>
      </c>
      <c r="F72" s="16">
        <v>78.319999999999993</v>
      </c>
      <c r="G72" s="16">
        <f>12/10*C72</f>
        <v>86.687999999999988</v>
      </c>
      <c r="H72" s="8"/>
      <c r="I72" s="9"/>
      <c r="J72" s="9"/>
    </row>
    <row r="75" spans="1:10" x14ac:dyDescent="0.25">
      <c r="A75" s="21" t="s">
        <v>60</v>
      </c>
      <c r="B75" s="22"/>
    </row>
    <row r="76" spans="1:10" x14ac:dyDescent="0.25">
      <c r="A76" s="3" t="s">
        <v>77</v>
      </c>
      <c r="B76" s="1" t="s">
        <v>101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2345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</v>
      </c>
      <c r="F9" s="10"/>
      <c r="G9" s="10">
        <f t="shared" ref="G9:G40" si="0">SUM(C9:F9)</f>
        <v>10</v>
      </c>
      <c r="H9" s="16">
        <f t="shared" ref="H9:H40" si="1">ROUND(G9/2345,2)</f>
        <v>0</v>
      </c>
      <c r="I9" s="15">
        <f t="shared" ref="I9:I40" si="2">ROUND(G9/$G$41,3)</f>
        <v>0</v>
      </c>
      <c r="J9" s="15">
        <f>ROUND(G9/15-1,2)</f>
        <v>-0.33</v>
      </c>
    </row>
    <row r="10" spans="1:10" x14ac:dyDescent="0.25">
      <c r="A10" s="1" t="s">
        <v>16</v>
      </c>
      <c r="B10" s="1" t="s">
        <v>19</v>
      </c>
      <c r="C10" s="10">
        <v>74290</v>
      </c>
      <c r="D10" s="10"/>
      <c r="E10" s="10"/>
      <c r="F10" s="10">
        <v>380</v>
      </c>
      <c r="G10" s="10">
        <f t="shared" si="0"/>
        <v>74670</v>
      </c>
      <c r="H10" s="16">
        <f t="shared" si="1"/>
        <v>31.84</v>
      </c>
      <c r="I10" s="15">
        <f t="shared" si="2"/>
        <v>0.10100000000000001</v>
      </c>
      <c r="J10" s="15">
        <f>ROUND(G10/74460-1,2)</f>
        <v>0</v>
      </c>
    </row>
    <row r="11" spans="1:10" x14ac:dyDescent="0.25">
      <c r="A11" s="1" t="s">
        <v>16</v>
      </c>
      <c r="B11" s="1" t="s">
        <v>20</v>
      </c>
      <c r="C11" s="10">
        <v>80950</v>
      </c>
      <c r="D11" s="10"/>
      <c r="E11" s="10"/>
      <c r="F11" s="10"/>
      <c r="G11" s="10">
        <f t="shared" si="0"/>
        <v>80950</v>
      </c>
      <c r="H11" s="16">
        <f t="shared" si="1"/>
        <v>34.520000000000003</v>
      </c>
      <c r="I11" s="15">
        <f t="shared" si="2"/>
        <v>0.109</v>
      </c>
      <c r="J11" s="15">
        <f>ROUND(G11/89350-1,2)</f>
        <v>-0.09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62</v>
      </c>
      <c r="F12" s="10"/>
      <c r="G12" s="10">
        <f t="shared" si="0"/>
        <v>62</v>
      </c>
      <c r="H12" s="16">
        <f t="shared" si="1"/>
        <v>0.03</v>
      </c>
      <c r="I12" s="15">
        <f t="shared" si="2"/>
        <v>0</v>
      </c>
      <c r="J12" s="15">
        <f>ROUND(G12/76-1,2)</f>
        <v>-0.18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171</v>
      </c>
      <c r="F13" s="10"/>
      <c r="G13" s="10">
        <f t="shared" si="0"/>
        <v>171</v>
      </c>
      <c r="H13" s="16">
        <f t="shared" si="1"/>
        <v>7.0000000000000007E-2</v>
      </c>
      <c r="I13" s="15">
        <f t="shared" si="2"/>
        <v>0</v>
      </c>
      <c r="J13" s="15">
        <f>ROUND(G13/207-1,2)</f>
        <v>-0.17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800</v>
      </c>
      <c r="F14" s="10"/>
      <c r="G14" s="10">
        <f t="shared" si="0"/>
        <v>800</v>
      </c>
      <c r="H14" s="16">
        <f t="shared" si="1"/>
        <v>0.34</v>
      </c>
      <c r="I14" s="15">
        <f t="shared" si="2"/>
        <v>1E-3</v>
      </c>
      <c r="J14" s="15">
        <f>ROUND(G14/1600-1,2)</f>
        <v>-0.5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35760</v>
      </c>
      <c r="F15" s="10"/>
      <c r="G15" s="10">
        <f t="shared" si="0"/>
        <v>35760</v>
      </c>
      <c r="H15" s="16">
        <f t="shared" si="1"/>
        <v>15.25</v>
      </c>
      <c r="I15" s="15">
        <f t="shared" si="2"/>
        <v>4.8000000000000001E-2</v>
      </c>
      <c r="J15" s="15">
        <f>ROUND(G15/41760-1,2)</f>
        <v>-0.14000000000000001</v>
      </c>
    </row>
    <row r="16" spans="1:10" x14ac:dyDescent="0.25">
      <c r="A16" s="1" t="s">
        <v>16</v>
      </c>
      <c r="B16" s="1" t="s">
        <v>24</v>
      </c>
      <c r="C16" s="10">
        <v>81440</v>
      </c>
      <c r="D16" s="10"/>
      <c r="E16" s="10">
        <v>10320</v>
      </c>
      <c r="F16" s="10">
        <v>470</v>
      </c>
      <c r="G16" s="10">
        <f t="shared" si="0"/>
        <v>92230</v>
      </c>
      <c r="H16" s="16">
        <f t="shared" si="1"/>
        <v>39.33</v>
      </c>
      <c r="I16" s="15">
        <f t="shared" si="2"/>
        <v>0.124</v>
      </c>
      <c r="J16" s="15">
        <f>ROUND(G16/96820-1,2)</f>
        <v>-0.05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3290</v>
      </c>
      <c r="F17" s="10"/>
      <c r="G17" s="10">
        <f t="shared" si="0"/>
        <v>3290</v>
      </c>
      <c r="H17" s="16">
        <f t="shared" si="1"/>
        <v>1.4</v>
      </c>
      <c r="I17" s="15">
        <f t="shared" si="2"/>
        <v>4.0000000000000001E-3</v>
      </c>
      <c r="J17" s="15">
        <f>ROUND(G17/1910-1,2)</f>
        <v>0.72</v>
      </c>
    </row>
    <row r="18" spans="1:10" x14ac:dyDescent="0.25">
      <c r="A18" s="1" t="s">
        <v>16</v>
      </c>
      <c r="B18" s="1" t="s">
        <v>26</v>
      </c>
      <c r="C18" s="10">
        <v>135070</v>
      </c>
      <c r="D18" s="10"/>
      <c r="E18" s="10"/>
      <c r="F18" s="10">
        <v>830</v>
      </c>
      <c r="G18" s="10">
        <f t="shared" si="0"/>
        <v>135900</v>
      </c>
      <c r="H18" s="16">
        <f t="shared" si="1"/>
        <v>57.95</v>
      </c>
      <c r="I18" s="15">
        <f t="shared" si="2"/>
        <v>0.183</v>
      </c>
      <c r="J18" s="15">
        <f>ROUND(G18/136120-1,2)</f>
        <v>0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1395</v>
      </c>
      <c r="F19" s="10"/>
      <c r="G19" s="10">
        <f t="shared" si="0"/>
        <v>1395</v>
      </c>
      <c r="H19" s="16">
        <f t="shared" si="1"/>
        <v>0.59</v>
      </c>
      <c r="I19" s="15">
        <f t="shared" si="2"/>
        <v>2E-3</v>
      </c>
      <c r="J19" s="15">
        <f>ROUND(G19/1066-1,2)</f>
        <v>0.31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1080</v>
      </c>
      <c r="F20" s="10"/>
      <c r="G20" s="10">
        <f t="shared" si="0"/>
        <v>1080</v>
      </c>
      <c r="H20" s="16">
        <f t="shared" si="1"/>
        <v>0.46</v>
      </c>
      <c r="I20" s="15">
        <f t="shared" si="2"/>
        <v>1E-3</v>
      </c>
      <c r="J20" s="15">
        <f>ROUND(G20/403-1,2)</f>
        <v>1.68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1060</v>
      </c>
      <c r="F21" s="10"/>
      <c r="G21" s="10">
        <f t="shared" si="0"/>
        <v>1060</v>
      </c>
      <c r="H21" s="16">
        <f t="shared" si="1"/>
        <v>0.45</v>
      </c>
      <c r="I21" s="15">
        <f t="shared" si="2"/>
        <v>1E-3</v>
      </c>
      <c r="J21" s="15">
        <f>ROUND(G21/3120-1,2)</f>
        <v>-0.66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1100</v>
      </c>
      <c r="F22" s="10"/>
      <c r="G22" s="10">
        <f t="shared" si="0"/>
        <v>1100</v>
      </c>
      <c r="H22" s="16">
        <f t="shared" si="1"/>
        <v>0.47</v>
      </c>
      <c r="I22" s="15">
        <f t="shared" si="2"/>
        <v>1E-3</v>
      </c>
      <c r="J22" s="15">
        <f>ROUND(G22/810-1,2)</f>
        <v>0.36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1071</v>
      </c>
      <c r="F23" s="10"/>
      <c r="G23" s="10">
        <f t="shared" si="0"/>
        <v>1071</v>
      </c>
      <c r="H23" s="16">
        <f t="shared" si="1"/>
        <v>0.46</v>
      </c>
      <c r="I23" s="15">
        <f t="shared" si="2"/>
        <v>1E-3</v>
      </c>
      <c r="J23" s="15">
        <f>ROUND(G23/1475-1,2)</f>
        <v>-0.27</v>
      </c>
    </row>
    <row r="24" spans="1:10" x14ac:dyDescent="0.25">
      <c r="A24" s="1" t="s">
        <v>16</v>
      </c>
      <c r="B24" s="1" t="s">
        <v>33</v>
      </c>
      <c r="C24" s="10"/>
      <c r="D24" s="10">
        <v>203</v>
      </c>
      <c r="E24" s="10">
        <v>53</v>
      </c>
      <c r="F24" s="10"/>
      <c r="G24" s="10">
        <f t="shared" si="0"/>
        <v>256</v>
      </c>
      <c r="H24" s="16">
        <f t="shared" si="1"/>
        <v>0.11</v>
      </c>
      <c r="I24" s="15">
        <f t="shared" si="2"/>
        <v>0</v>
      </c>
      <c r="J24" s="15">
        <f>ROUND(G24/295-1,2)</f>
        <v>-0.13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200</v>
      </c>
      <c r="F25" s="10"/>
      <c r="G25" s="10">
        <f t="shared" si="0"/>
        <v>200</v>
      </c>
      <c r="H25" s="16">
        <f t="shared" si="1"/>
        <v>0.09</v>
      </c>
      <c r="I25" s="15">
        <f t="shared" si="2"/>
        <v>0</v>
      </c>
      <c r="J25" s="15">
        <f>ROUND(G25/600-1,2)</f>
        <v>-0.67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240</v>
      </c>
      <c r="F26" s="10"/>
      <c r="G26" s="10">
        <f t="shared" si="0"/>
        <v>240</v>
      </c>
      <c r="H26" s="16">
        <f t="shared" si="1"/>
        <v>0.1</v>
      </c>
      <c r="I26" s="15">
        <f t="shared" si="2"/>
        <v>0</v>
      </c>
      <c r="J26" s="15">
        <f>ROUND(G26/314-1,2)</f>
        <v>-0.24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2070</v>
      </c>
      <c r="F27" s="10"/>
      <c r="G27" s="10">
        <f t="shared" si="0"/>
        <v>2070</v>
      </c>
      <c r="H27" s="16">
        <f t="shared" si="1"/>
        <v>0.88</v>
      </c>
      <c r="I27" s="15">
        <f t="shared" si="2"/>
        <v>3.0000000000000001E-3</v>
      </c>
      <c r="J27" s="15">
        <f>ROUND(G27/4000-1,2)</f>
        <v>-0.48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60465</v>
      </c>
      <c r="F28" s="10"/>
      <c r="G28" s="10">
        <f t="shared" si="0"/>
        <v>60465</v>
      </c>
      <c r="H28" s="16">
        <f t="shared" si="1"/>
        <v>25.78</v>
      </c>
      <c r="I28" s="15">
        <f t="shared" si="2"/>
        <v>8.2000000000000003E-2</v>
      </c>
      <c r="J28" s="15">
        <f>ROUND(G28/54800-1,2)</f>
        <v>0.1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4990</v>
      </c>
      <c r="F29" s="10"/>
      <c r="G29" s="10">
        <f t="shared" si="0"/>
        <v>4990</v>
      </c>
      <c r="H29" s="16">
        <f t="shared" si="1"/>
        <v>2.13</v>
      </c>
      <c r="I29" s="15">
        <f t="shared" si="2"/>
        <v>7.0000000000000001E-3</v>
      </c>
      <c r="J29" s="15">
        <f>ROUND(G29/5095-1,2)</f>
        <v>-0.02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18950</v>
      </c>
      <c r="F30" s="10"/>
      <c r="G30" s="10">
        <f t="shared" si="0"/>
        <v>18950</v>
      </c>
      <c r="H30" s="16">
        <f t="shared" si="1"/>
        <v>8.08</v>
      </c>
      <c r="I30" s="15">
        <f t="shared" si="2"/>
        <v>2.5999999999999999E-2</v>
      </c>
      <c r="J30" s="15">
        <f>ROUND(G30/15890-1,2)</f>
        <v>0.19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63400</v>
      </c>
      <c r="F31" s="10"/>
      <c r="G31" s="10">
        <f t="shared" si="0"/>
        <v>63400</v>
      </c>
      <c r="H31" s="16">
        <f t="shared" si="1"/>
        <v>27.04</v>
      </c>
      <c r="I31" s="15">
        <f t="shared" si="2"/>
        <v>8.5000000000000006E-2</v>
      </c>
      <c r="J31" s="15">
        <f>ROUND(G31/82830-1,2)</f>
        <v>-0.23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ROUND(G32/4490-1,2)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ROUND(G33/6430-1,2)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ROUND(G34/140-1,2)</f>
        <v>-1</v>
      </c>
    </row>
    <row r="35" spans="1:10" x14ac:dyDescent="0.25">
      <c r="A35" s="1" t="s">
        <v>16</v>
      </c>
      <c r="B35" s="1" t="s">
        <v>98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ROUND(G35/160-1,2)</f>
        <v>-1</v>
      </c>
    </row>
    <row r="36" spans="1:10" x14ac:dyDescent="0.25">
      <c r="A36" s="1" t="s">
        <v>44</v>
      </c>
      <c r="B36" s="1" t="s">
        <v>45</v>
      </c>
      <c r="C36" s="10">
        <v>103640</v>
      </c>
      <c r="D36" s="10"/>
      <c r="E36" s="10"/>
      <c r="F36" s="10">
        <v>640</v>
      </c>
      <c r="G36" s="10">
        <f t="shared" si="0"/>
        <v>104280</v>
      </c>
      <c r="H36" s="16">
        <f t="shared" si="1"/>
        <v>44.47</v>
      </c>
      <c r="I36" s="15">
        <f t="shared" si="2"/>
        <v>0.14099999999999999</v>
      </c>
      <c r="J36" s="15">
        <f>ROUND(G36/92520-1,2)</f>
        <v>0.13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13360</v>
      </c>
      <c r="G37" s="10">
        <f t="shared" si="0"/>
        <v>13360</v>
      </c>
      <c r="H37" s="16">
        <f t="shared" si="1"/>
        <v>5.7</v>
      </c>
      <c r="I37" s="15">
        <f t="shared" si="2"/>
        <v>1.7999999999999999E-2</v>
      </c>
      <c r="J37" s="15">
        <f>ROUND(G37/19540-1,2)</f>
        <v>-0.32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43950</v>
      </c>
      <c r="F38" s="10"/>
      <c r="G38" s="10">
        <f t="shared" si="0"/>
        <v>43950</v>
      </c>
      <c r="H38" s="16">
        <f t="shared" si="1"/>
        <v>18.739999999999998</v>
      </c>
      <c r="I38" s="15">
        <f t="shared" si="2"/>
        <v>5.8999999999999997E-2</v>
      </c>
      <c r="J38" s="15">
        <f>ROUND(G38/38510-1,2)</f>
        <v>0.14000000000000001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5" t="s">
        <v>12</v>
      </c>
      <c r="B41" s="25"/>
      <c r="C41" s="11">
        <f t="shared" ref="C41:H41" si="3">SUM(C8:C40)</f>
        <v>475390</v>
      </c>
      <c r="D41" s="11">
        <f t="shared" si="3"/>
        <v>203</v>
      </c>
      <c r="E41" s="11">
        <f t="shared" si="3"/>
        <v>250437</v>
      </c>
      <c r="F41" s="11">
        <f t="shared" si="3"/>
        <v>15680</v>
      </c>
      <c r="G41" s="11">
        <f t="shared" si="3"/>
        <v>741710</v>
      </c>
      <c r="H41" s="14">
        <f t="shared" si="3"/>
        <v>316.28000000000003</v>
      </c>
      <c r="I41" s="17"/>
      <c r="J41" s="17"/>
    </row>
    <row r="42" spans="1:10" x14ac:dyDescent="0.25">
      <c r="A42" s="25" t="s">
        <v>14</v>
      </c>
      <c r="B42" s="25"/>
      <c r="C42" s="12">
        <f>ROUND(C41/G41,2)</f>
        <v>0.64</v>
      </c>
      <c r="D42" s="12">
        <f>ROUND(D41/G41,2)</f>
        <v>0</v>
      </c>
      <c r="E42" s="12">
        <f>ROUND(E41/G41,2)</f>
        <v>0.34</v>
      </c>
      <c r="F42" s="12">
        <f>ROUND(F41/G41,2)</f>
        <v>0.02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5" t="s">
        <v>53</v>
      </c>
      <c r="B47" s="25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0" t="s">
        <v>54</v>
      </c>
      <c r="B48" s="20"/>
      <c r="C48" s="10">
        <v>371750</v>
      </c>
      <c r="D48" s="10">
        <v>203</v>
      </c>
      <c r="E48" s="10">
        <v>206487</v>
      </c>
      <c r="F48" s="10">
        <v>1680</v>
      </c>
      <c r="G48" s="10">
        <f>SUM(C48:F48)</f>
        <v>580120</v>
      </c>
      <c r="H48" s="16">
        <f>ROUND(G48/2345,2)</f>
        <v>247.39</v>
      </c>
      <c r="I48" s="9"/>
      <c r="J48" s="9"/>
    </row>
    <row r="49" spans="1:10" x14ac:dyDescent="0.25">
      <c r="A49" s="20" t="s">
        <v>55</v>
      </c>
      <c r="B49" s="20"/>
      <c r="C49" s="10">
        <v>103640</v>
      </c>
      <c r="D49" s="10">
        <v>0</v>
      </c>
      <c r="E49" s="10">
        <v>43950</v>
      </c>
      <c r="F49" s="10">
        <v>14000</v>
      </c>
      <c r="G49" s="10">
        <f>SUM(C49:F49)</f>
        <v>161590</v>
      </c>
      <c r="H49" s="16">
        <f>ROUND(G49/2345,2)</f>
        <v>68.91</v>
      </c>
      <c r="I49" s="9"/>
      <c r="J49" s="9"/>
    </row>
    <row r="50" spans="1:10" x14ac:dyDescent="0.25">
      <c r="A50" s="20" t="s">
        <v>56</v>
      </c>
      <c r="B50" s="20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ROUND(G50/2345,2)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57</v>
      </c>
      <c r="B55" s="25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0" t="s">
        <v>58</v>
      </c>
      <c r="B56" s="20"/>
      <c r="C56" s="15">
        <f>ROUND(0.8435, 4)</f>
        <v>0.84350000000000003</v>
      </c>
      <c r="D56" s="15">
        <f>ROUND(0.8574, 4)</f>
        <v>0.85740000000000005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3" t="s">
        <v>64</v>
      </c>
      <c r="J56" s="23" t="s">
        <v>65</v>
      </c>
    </row>
    <row r="57" spans="1:10" x14ac:dyDescent="0.25">
      <c r="A57" s="20" t="s">
        <v>66</v>
      </c>
      <c r="B57" s="20"/>
      <c r="C57" s="15">
        <f>ROUND(0.8299, 4)</f>
        <v>0.82989999999999997</v>
      </c>
      <c r="D57" s="15">
        <f>ROUND(0.8445, 4)</f>
        <v>0.84450000000000003</v>
      </c>
      <c r="E57" s="15">
        <f>ROUND(0.7608, 4)</f>
        <v>0.76080000000000003</v>
      </c>
      <c r="F57" s="8"/>
      <c r="G57" s="14" t="s">
        <v>67</v>
      </c>
      <c r="H57" s="27"/>
      <c r="I57" s="24"/>
      <c r="J57" s="24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5" t="s">
        <v>68</v>
      </c>
      <c r="B61" s="25"/>
      <c r="C61" s="14" t="s">
        <v>2</v>
      </c>
      <c r="D61" s="14" t="s">
        <v>103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0" t="s">
        <v>73</v>
      </c>
      <c r="B62" s="20"/>
      <c r="C62" s="16">
        <v>44.47</v>
      </c>
      <c r="D62" s="16">
        <v>76.91</v>
      </c>
      <c r="E62" s="16">
        <v>91.13</v>
      </c>
      <c r="F62" s="16">
        <v>54.95</v>
      </c>
      <c r="G62" s="16">
        <f>12/10*C62</f>
        <v>53.363999999999997</v>
      </c>
      <c r="H62" s="8"/>
      <c r="I62" s="9"/>
      <c r="J62" s="9"/>
    </row>
    <row r="63" spans="1:10" x14ac:dyDescent="0.25">
      <c r="A63" s="20" t="s">
        <v>74</v>
      </c>
      <c r="B63" s="20"/>
      <c r="C63" s="16">
        <v>57.95</v>
      </c>
      <c r="D63" s="16">
        <v>66.17</v>
      </c>
      <c r="E63" s="16">
        <v>61.18</v>
      </c>
      <c r="F63" s="16">
        <v>62.89</v>
      </c>
      <c r="G63" s="16">
        <f>12/10*C63</f>
        <v>69.540000000000006</v>
      </c>
      <c r="H63" s="8"/>
      <c r="I63" s="9"/>
      <c r="J63" s="9"/>
    </row>
    <row r="64" spans="1:10" x14ac:dyDescent="0.25">
      <c r="A64" s="20" t="s">
        <v>75</v>
      </c>
      <c r="B64" s="20"/>
      <c r="C64" s="16">
        <v>247.39</v>
      </c>
      <c r="D64" s="16">
        <v>278.43</v>
      </c>
      <c r="E64" s="16">
        <v>287.25</v>
      </c>
      <c r="F64" s="16">
        <v>278.91000000000003</v>
      </c>
      <c r="G64" s="16">
        <f>12/10*C64</f>
        <v>296.86799999999999</v>
      </c>
      <c r="H64" s="8"/>
      <c r="I64" s="9"/>
      <c r="J64" s="9"/>
    </row>
    <row r="65" spans="1:10" x14ac:dyDescent="0.25">
      <c r="A65" s="20" t="s">
        <v>76</v>
      </c>
      <c r="B65" s="20"/>
      <c r="C65" s="16">
        <v>68.91</v>
      </c>
      <c r="D65" s="16">
        <v>103.64</v>
      </c>
      <c r="E65" s="16">
        <v>114.69</v>
      </c>
      <c r="F65" s="16">
        <v>78.319999999999993</v>
      </c>
      <c r="G65" s="16">
        <f>12/10*C65</f>
        <v>82.691999999999993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2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104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699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81</v>
      </c>
      <c r="F9" s="10"/>
      <c r="G9" s="10">
        <f t="shared" ref="G9:G39" si="0">SUM(C9:F9)</f>
        <v>81</v>
      </c>
      <c r="H9" s="16">
        <f t="shared" ref="H9:H39" si="1">ROUND(G9/699,2)</f>
        <v>0.12</v>
      </c>
      <c r="I9" s="15">
        <f t="shared" ref="I9:I39" si="2">ROUND(G9/$G$40,3)</f>
        <v>0</v>
      </c>
      <c r="J9" s="15">
        <f>ROUND(G9/25-1,2)</f>
        <v>2.2400000000000002</v>
      </c>
    </row>
    <row r="10" spans="1:10" x14ac:dyDescent="0.25">
      <c r="A10" s="1" t="s">
        <v>16</v>
      </c>
      <c r="B10" s="1" t="s">
        <v>19</v>
      </c>
      <c r="C10" s="10">
        <v>20155</v>
      </c>
      <c r="D10" s="10"/>
      <c r="E10" s="10"/>
      <c r="F10" s="10"/>
      <c r="G10" s="10">
        <f t="shared" si="0"/>
        <v>20155</v>
      </c>
      <c r="H10" s="16">
        <f t="shared" si="1"/>
        <v>28.83</v>
      </c>
      <c r="I10" s="15">
        <f t="shared" si="2"/>
        <v>7.2999999999999995E-2</v>
      </c>
      <c r="J10" s="15">
        <f>ROUND(G10/19860-1,2)</f>
        <v>0.01</v>
      </c>
    </row>
    <row r="11" spans="1:10" x14ac:dyDescent="0.25">
      <c r="A11" s="1" t="s">
        <v>16</v>
      </c>
      <c r="B11" s="1" t="s">
        <v>20</v>
      </c>
      <c r="C11" s="10">
        <v>29570</v>
      </c>
      <c r="D11" s="10"/>
      <c r="E11" s="10"/>
      <c r="F11" s="10"/>
      <c r="G11" s="10">
        <f t="shared" si="0"/>
        <v>29570</v>
      </c>
      <c r="H11" s="16">
        <f t="shared" si="1"/>
        <v>42.3</v>
      </c>
      <c r="I11" s="15">
        <f t="shared" si="2"/>
        <v>0.107</v>
      </c>
      <c r="J11" s="15">
        <f>ROUND(G11/28045-1,2)</f>
        <v>0.05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112</v>
      </c>
      <c r="F12" s="10"/>
      <c r="G12" s="10">
        <f t="shared" si="0"/>
        <v>112</v>
      </c>
      <c r="H12" s="16">
        <f t="shared" si="1"/>
        <v>0.16</v>
      </c>
      <c r="I12" s="15">
        <f t="shared" si="2"/>
        <v>0</v>
      </c>
      <c r="J12" s="15">
        <f>ROUND(G12/74-1,2)</f>
        <v>0.51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77</v>
      </c>
      <c r="F13" s="10"/>
      <c r="G13" s="10">
        <f t="shared" si="0"/>
        <v>77</v>
      </c>
      <c r="H13" s="16">
        <f t="shared" si="1"/>
        <v>0.11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1.29</v>
      </c>
      <c r="I14" s="15">
        <f t="shared" si="2"/>
        <v>3.0000000000000001E-3</v>
      </c>
      <c r="J14" s="15">
        <f>ROUND(G14/1000-1,2)</f>
        <v>-0.1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52660</v>
      </c>
      <c r="F15" s="10"/>
      <c r="G15" s="10">
        <f t="shared" si="0"/>
        <v>52660</v>
      </c>
      <c r="H15" s="16">
        <f t="shared" si="1"/>
        <v>75.34</v>
      </c>
      <c r="I15" s="15">
        <f t="shared" si="2"/>
        <v>0.19</v>
      </c>
      <c r="J15" s="15">
        <f>ROUND(G15/65260-1,2)</f>
        <v>-0.19</v>
      </c>
    </row>
    <row r="16" spans="1:10" x14ac:dyDescent="0.25">
      <c r="A16" s="1" t="s">
        <v>16</v>
      </c>
      <c r="B16" s="1" t="s">
        <v>24</v>
      </c>
      <c r="C16" s="10">
        <v>23445</v>
      </c>
      <c r="D16" s="10"/>
      <c r="E16" s="10"/>
      <c r="F16" s="10"/>
      <c r="G16" s="10">
        <f t="shared" si="0"/>
        <v>23445</v>
      </c>
      <c r="H16" s="16">
        <f t="shared" si="1"/>
        <v>33.54</v>
      </c>
      <c r="I16" s="15">
        <f t="shared" si="2"/>
        <v>8.5000000000000006E-2</v>
      </c>
      <c r="J16" s="15">
        <f>ROUND(G16/26180-1,2)</f>
        <v>-0.1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1140</v>
      </c>
      <c r="F17" s="10"/>
      <c r="G17" s="10">
        <f t="shared" si="0"/>
        <v>1140</v>
      </c>
      <c r="H17" s="16">
        <f t="shared" si="1"/>
        <v>1.63</v>
      </c>
      <c r="I17" s="15">
        <f t="shared" si="2"/>
        <v>4.0000000000000001E-3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28720</v>
      </c>
      <c r="D18" s="10"/>
      <c r="E18" s="10"/>
      <c r="F18" s="10">
        <v>170</v>
      </c>
      <c r="G18" s="10">
        <f t="shared" si="0"/>
        <v>28890</v>
      </c>
      <c r="H18" s="16">
        <f t="shared" si="1"/>
        <v>41.33</v>
      </c>
      <c r="I18" s="15">
        <f t="shared" si="2"/>
        <v>0.104</v>
      </c>
      <c r="J18" s="15">
        <f>ROUND(G18/32310-1,2)</f>
        <v>-0.11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275</v>
      </c>
      <c r="F19" s="10"/>
      <c r="G19" s="10">
        <f t="shared" si="0"/>
        <v>275</v>
      </c>
      <c r="H19" s="16">
        <f t="shared" si="1"/>
        <v>0.39</v>
      </c>
      <c r="I19" s="15">
        <f t="shared" si="2"/>
        <v>1E-3</v>
      </c>
      <c r="J19" s="15">
        <f>ROUND(G19/32-1,2)</f>
        <v>7.59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191</v>
      </c>
      <c r="F20" s="10"/>
      <c r="G20" s="10">
        <f t="shared" si="0"/>
        <v>191</v>
      </c>
      <c r="H20" s="16">
        <f t="shared" si="1"/>
        <v>0.27</v>
      </c>
      <c r="I20" s="15">
        <f t="shared" si="2"/>
        <v>1E-3</v>
      </c>
      <c r="J20" s="15">
        <f>ROUND(G20/30-1,2)</f>
        <v>5.37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200</v>
      </c>
      <c r="F21" s="10"/>
      <c r="G21" s="10">
        <f t="shared" si="0"/>
        <v>200</v>
      </c>
      <c r="H21" s="16">
        <f t="shared" si="1"/>
        <v>0.28999999999999998</v>
      </c>
      <c r="I21" s="15">
        <f t="shared" si="2"/>
        <v>1E-3</v>
      </c>
      <c r="J21" s="15">
        <f>ROUND(G21/300-1,2)</f>
        <v>-0.33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925</v>
      </c>
      <c r="F22" s="10"/>
      <c r="G22" s="10">
        <f t="shared" si="0"/>
        <v>925</v>
      </c>
      <c r="H22" s="16">
        <f t="shared" si="1"/>
        <v>1.32</v>
      </c>
      <c r="I22" s="15">
        <f t="shared" si="2"/>
        <v>3.0000000000000001E-3</v>
      </c>
      <c r="J22" s="15">
        <f>ROUND(G22/460-1,2)</f>
        <v>1.01</v>
      </c>
    </row>
    <row r="23" spans="1:10" x14ac:dyDescent="0.25">
      <c r="A23" s="1" t="s">
        <v>16</v>
      </c>
      <c r="B23" s="1" t="s">
        <v>33</v>
      </c>
      <c r="C23" s="10"/>
      <c r="D23" s="10">
        <v>72</v>
      </c>
      <c r="E23" s="10">
        <v>22</v>
      </c>
      <c r="F23" s="10"/>
      <c r="G23" s="10">
        <f t="shared" si="0"/>
        <v>94</v>
      </c>
      <c r="H23" s="16">
        <f t="shared" si="1"/>
        <v>0.13</v>
      </c>
      <c r="I23" s="15">
        <f t="shared" si="2"/>
        <v>0</v>
      </c>
      <c r="J23" s="15">
        <f>ROUND(G23/83-1,2)</f>
        <v>0.13</v>
      </c>
    </row>
    <row r="24" spans="1:10" x14ac:dyDescent="0.25">
      <c r="A24" s="1" t="s">
        <v>16</v>
      </c>
      <c r="B24" s="1" t="s">
        <v>35</v>
      </c>
      <c r="C24" s="10"/>
      <c r="D24" s="10">
        <v>30</v>
      </c>
      <c r="E24" s="10"/>
      <c r="F24" s="10"/>
      <c r="G24" s="10">
        <f t="shared" si="0"/>
        <v>30</v>
      </c>
      <c r="H24" s="16">
        <f t="shared" si="1"/>
        <v>0.04</v>
      </c>
      <c r="I24" s="15">
        <f t="shared" si="2"/>
        <v>0</v>
      </c>
      <c r="J24" s="15">
        <f>ROUND(G24/75-1,2)</f>
        <v>-0.6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1630</v>
      </c>
      <c r="F25" s="10"/>
      <c r="G25" s="10">
        <f t="shared" si="0"/>
        <v>1630</v>
      </c>
      <c r="H25" s="16">
        <f t="shared" si="1"/>
        <v>2.33</v>
      </c>
      <c r="I25" s="15">
        <f t="shared" si="2"/>
        <v>6.0000000000000001E-3</v>
      </c>
      <c r="J25" s="15">
        <f>ROUND(G25/1160-1,2)</f>
        <v>0.41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910</v>
      </c>
      <c r="F26" s="10"/>
      <c r="G26" s="10">
        <f t="shared" si="0"/>
        <v>910</v>
      </c>
      <c r="H26" s="16">
        <f t="shared" si="1"/>
        <v>1.3</v>
      </c>
      <c r="I26" s="15">
        <f t="shared" si="2"/>
        <v>3.0000000000000001E-3</v>
      </c>
      <c r="J26" s="15">
        <f>ROUND(G26/2900-1,2)</f>
        <v>-0.69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20340</v>
      </c>
      <c r="F27" s="10"/>
      <c r="G27" s="10">
        <f t="shared" si="0"/>
        <v>20340</v>
      </c>
      <c r="H27" s="16">
        <f t="shared" si="1"/>
        <v>29.1</v>
      </c>
      <c r="I27" s="15">
        <f t="shared" si="2"/>
        <v>7.2999999999999995E-2</v>
      </c>
      <c r="J27" s="15">
        <f>ROUND(G27/9855-1,2)</f>
        <v>1.06</v>
      </c>
    </row>
    <row r="28" spans="1:10" x14ac:dyDescent="0.25">
      <c r="A28" s="1" t="s">
        <v>16</v>
      </c>
      <c r="B28" s="1" t="s">
        <v>39</v>
      </c>
      <c r="C28" s="10"/>
      <c r="D28" s="10"/>
      <c r="E28" s="10">
        <v>3350</v>
      </c>
      <c r="F28" s="10"/>
      <c r="G28" s="10">
        <f t="shared" si="0"/>
        <v>3350</v>
      </c>
      <c r="H28" s="16">
        <f t="shared" si="1"/>
        <v>4.79</v>
      </c>
      <c r="I28" s="15">
        <f t="shared" si="2"/>
        <v>1.2E-2</v>
      </c>
      <c r="J28" s="15">
        <f>ROUND(G28/2870-1,2)</f>
        <v>0.17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7140</v>
      </c>
      <c r="F29" s="10"/>
      <c r="G29" s="10">
        <f t="shared" si="0"/>
        <v>7140</v>
      </c>
      <c r="H29" s="16">
        <f t="shared" si="1"/>
        <v>10.210000000000001</v>
      </c>
      <c r="I29" s="15">
        <f t="shared" si="2"/>
        <v>2.5999999999999999E-2</v>
      </c>
      <c r="J29" s="15">
        <f>ROUND(G29/8550-1,2)</f>
        <v>-0.16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16140</v>
      </c>
      <c r="F30" s="10"/>
      <c r="G30" s="10">
        <f t="shared" si="0"/>
        <v>16140</v>
      </c>
      <c r="H30" s="16">
        <f t="shared" si="1"/>
        <v>23.09</v>
      </c>
      <c r="I30" s="15">
        <f t="shared" si="2"/>
        <v>5.8000000000000003E-2</v>
      </c>
      <c r="J30" s="15">
        <f>ROUND(G30/10960-1,2)</f>
        <v>0.47</v>
      </c>
    </row>
    <row r="31" spans="1:10" x14ac:dyDescent="0.25">
      <c r="A31" s="1" t="s">
        <v>16</v>
      </c>
      <c r="B31" s="1" t="s">
        <v>29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ROUND(G32/1390-1,2)</f>
        <v>-1</v>
      </c>
    </row>
    <row r="33" spans="1:10" x14ac:dyDescent="0.25">
      <c r="A33" s="1" t="s">
        <v>16</v>
      </c>
      <c r="B33" s="1" t="s">
        <v>34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ROUND(G33/460-1,2)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ROUND(G34/29-1,2)</f>
        <v>-1</v>
      </c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ROUND(G35/230-1,2)</f>
        <v>-1</v>
      </c>
    </row>
    <row r="36" spans="1:10" x14ac:dyDescent="0.25">
      <c r="A36" s="1" t="s">
        <v>44</v>
      </c>
      <c r="B36" s="1" t="s">
        <v>45</v>
      </c>
      <c r="C36" s="10">
        <v>52165</v>
      </c>
      <c r="D36" s="10"/>
      <c r="E36" s="10"/>
      <c r="F36" s="10"/>
      <c r="G36" s="10">
        <f t="shared" si="0"/>
        <v>52165</v>
      </c>
      <c r="H36" s="16">
        <f t="shared" si="1"/>
        <v>74.63</v>
      </c>
      <c r="I36" s="15">
        <f t="shared" si="2"/>
        <v>0.188</v>
      </c>
      <c r="J36" s="15">
        <f>ROUND(G36/45550-1,2)</f>
        <v>0.15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5500</v>
      </c>
      <c r="G37" s="10">
        <f t="shared" si="0"/>
        <v>5500</v>
      </c>
      <c r="H37" s="16">
        <f t="shared" si="1"/>
        <v>7.87</v>
      </c>
      <c r="I37" s="15">
        <f t="shared" si="2"/>
        <v>0.02</v>
      </c>
      <c r="J37" s="15"/>
    </row>
    <row r="38" spans="1:10" x14ac:dyDescent="0.25">
      <c r="A38" s="1" t="s">
        <v>44</v>
      </c>
      <c r="B38" s="1" t="s">
        <v>46</v>
      </c>
      <c r="C38" s="10"/>
      <c r="D38" s="10"/>
      <c r="E38" s="10">
        <v>11220</v>
      </c>
      <c r="F38" s="10"/>
      <c r="G38" s="10">
        <f t="shared" si="0"/>
        <v>11220</v>
      </c>
      <c r="H38" s="16">
        <f t="shared" si="1"/>
        <v>16.05</v>
      </c>
      <c r="I38" s="15">
        <f t="shared" si="2"/>
        <v>0.04</v>
      </c>
      <c r="J38" s="15">
        <f>ROUND(G38/7540-1,2)</f>
        <v>0.49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5" t="s">
        <v>12</v>
      </c>
      <c r="B40" s="25"/>
      <c r="C40" s="11">
        <f t="shared" ref="C40:H40" si="3">SUM(C8:C39)</f>
        <v>154055</v>
      </c>
      <c r="D40" s="11">
        <f t="shared" si="3"/>
        <v>102</v>
      </c>
      <c r="E40" s="11">
        <f t="shared" si="3"/>
        <v>117313</v>
      </c>
      <c r="F40" s="11">
        <f t="shared" si="3"/>
        <v>5670</v>
      </c>
      <c r="G40" s="11">
        <f t="shared" si="3"/>
        <v>277140</v>
      </c>
      <c r="H40" s="14">
        <f t="shared" si="3"/>
        <v>396.46</v>
      </c>
      <c r="I40" s="17"/>
      <c r="J40" s="17"/>
    </row>
    <row r="41" spans="1:10" x14ac:dyDescent="0.25">
      <c r="A41" s="25" t="s">
        <v>14</v>
      </c>
      <c r="B41" s="25"/>
      <c r="C41" s="12">
        <f>ROUND(C40/G40,2)</f>
        <v>0.56000000000000005</v>
      </c>
      <c r="D41" s="12">
        <f>ROUND(D40/G40,2)</f>
        <v>0</v>
      </c>
      <c r="E41" s="12">
        <f>ROUND(E40/G40,2)</f>
        <v>0.42</v>
      </c>
      <c r="F41" s="12">
        <f>ROUND(F40/G40,2)</f>
        <v>0.02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5" t="s">
        <v>53</v>
      </c>
      <c r="B46" s="25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0" t="s">
        <v>54</v>
      </c>
      <c r="B47" s="20"/>
      <c r="C47" s="10">
        <v>101890</v>
      </c>
      <c r="D47" s="10">
        <v>102</v>
      </c>
      <c r="E47" s="10">
        <v>106093</v>
      </c>
      <c r="F47" s="10">
        <v>170</v>
      </c>
      <c r="G47" s="10">
        <f>SUM(C47:F47)</f>
        <v>208255</v>
      </c>
      <c r="H47" s="16">
        <f>ROUND(G47/699,2)</f>
        <v>297.93</v>
      </c>
      <c r="I47" s="9"/>
      <c r="J47" s="9"/>
    </row>
    <row r="48" spans="1:10" x14ac:dyDescent="0.25">
      <c r="A48" s="20" t="s">
        <v>55</v>
      </c>
      <c r="B48" s="20"/>
      <c r="C48" s="10">
        <v>52165</v>
      </c>
      <c r="D48" s="10">
        <v>0</v>
      </c>
      <c r="E48" s="10">
        <v>11220</v>
      </c>
      <c r="F48" s="10">
        <v>5500</v>
      </c>
      <c r="G48" s="10">
        <f>SUM(C48:F48)</f>
        <v>68885</v>
      </c>
      <c r="H48" s="16">
        <f>ROUND(G48/699,2)</f>
        <v>98.55</v>
      </c>
      <c r="I48" s="9"/>
      <c r="J48" s="9"/>
    </row>
    <row r="49" spans="1:10" x14ac:dyDescent="0.25">
      <c r="A49" s="20" t="s">
        <v>56</v>
      </c>
      <c r="B49" s="20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ROUND(G49/699,2)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57</v>
      </c>
      <c r="B54" s="25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0" t="s">
        <v>58</v>
      </c>
      <c r="B55" s="20"/>
      <c r="C55" s="15">
        <f>ROUND(0.7598, 4)</f>
        <v>0.75980000000000003</v>
      </c>
      <c r="D55" s="15">
        <f>ROUND(0.7642, 4)</f>
        <v>0.76419999999999999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3" t="s">
        <v>64</v>
      </c>
      <c r="J55" s="23" t="s">
        <v>65</v>
      </c>
    </row>
    <row r="56" spans="1:10" x14ac:dyDescent="0.25">
      <c r="A56" s="20" t="s">
        <v>66</v>
      </c>
      <c r="B56" s="20"/>
      <c r="C56" s="15">
        <f>ROUND(0.7482, 4)</f>
        <v>0.74819999999999998</v>
      </c>
      <c r="D56" s="15">
        <f>ROUND(0.7505, 4)</f>
        <v>0.75049999999999994</v>
      </c>
      <c r="E56" s="15">
        <f>ROUND(0.7608, 4)</f>
        <v>0.76080000000000003</v>
      </c>
      <c r="F56" s="8"/>
      <c r="G56" s="14" t="s">
        <v>67</v>
      </c>
      <c r="H56" s="27"/>
      <c r="I56" s="24"/>
      <c r="J56" s="24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68</v>
      </c>
      <c r="B60" s="25"/>
      <c r="C60" s="14" t="s">
        <v>2</v>
      </c>
      <c r="D60" s="14" t="s">
        <v>106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0" t="s">
        <v>73</v>
      </c>
      <c r="B61" s="20"/>
      <c r="C61" s="16">
        <v>74.63</v>
      </c>
      <c r="D61" s="16">
        <v>83.81</v>
      </c>
      <c r="E61" s="16">
        <v>91.13</v>
      </c>
      <c r="F61" s="16">
        <v>54.95</v>
      </c>
      <c r="G61" s="16">
        <f>12/10*C61</f>
        <v>89.555999999999997</v>
      </c>
      <c r="H61" s="8"/>
      <c r="I61" s="9"/>
      <c r="J61" s="9"/>
    </row>
    <row r="62" spans="1:10" x14ac:dyDescent="0.25">
      <c r="A62" s="20" t="s">
        <v>74</v>
      </c>
      <c r="B62" s="20"/>
      <c r="C62" s="16">
        <v>41.33</v>
      </c>
      <c r="D62" s="16">
        <v>53.14</v>
      </c>
      <c r="E62" s="16">
        <v>61.18</v>
      </c>
      <c r="F62" s="16">
        <v>62.89</v>
      </c>
      <c r="G62" s="16">
        <f>12/10*C62</f>
        <v>49.595999999999997</v>
      </c>
      <c r="H62" s="8"/>
      <c r="I62" s="9"/>
      <c r="J62" s="9"/>
    </row>
    <row r="63" spans="1:10" x14ac:dyDescent="0.25">
      <c r="A63" s="20" t="s">
        <v>75</v>
      </c>
      <c r="B63" s="20"/>
      <c r="C63" s="16">
        <v>297.93</v>
      </c>
      <c r="D63" s="16">
        <v>311.77999999999997</v>
      </c>
      <c r="E63" s="16">
        <v>287.25</v>
      </c>
      <c r="F63" s="16">
        <v>278.91000000000003</v>
      </c>
      <c r="G63" s="16">
        <f>12/10*C63</f>
        <v>357.51600000000002</v>
      </c>
      <c r="H63" s="8"/>
      <c r="I63" s="9"/>
      <c r="J63" s="9"/>
    </row>
    <row r="64" spans="1:10" x14ac:dyDescent="0.25">
      <c r="A64" s="20" t="s">
        <v>76</v>
      </c>
      <c r="B64" s="20"/>
      <c r="C64" s="16">
        <v>98.55</v>
      </c>
      <c r="D64" s="16">
        <v>99.57</v>
      </c>
      <c r="E64" s="16">
        <v>114.69</v>
      </c>
      <c r="F64" s="16">
        <v>78.319999999999993</v>
      </c>
      <c r="G64" s="16">
        <f>12/10*C64</f>
        <v>118.25999999999999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2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107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2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3926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159</v>
      </c>
      <c r="F9" s="10"/>
      <c r="G9" s="10">
        <f t="shared" ref="G9:G40" si="0">SUM(C9:F9)</f>
        <v>159</v>
      </c>
      <c r="H9" s="16">
        <f t="shared" ref="H9:H40" si="1">ROUND(G9/3926,2)</f>
        <v>0.04</v>
      </c>
      <c r="I9" s="15">
        <f t="shared" ref="I9:I40" si="2">ROUND(G9/$G$41,3)</f>
        <v>0</v>
      </c>
      <c r="J9" s="15">
        <f>ROUND(G9/75-1,2)</f>
        <v>1.1200000000000001</v>
      </c>
    </row>
    <row r="10" spans="1:10" x14ac:dyDescent="0.25">
      <c r="A10" s="1" t="s">
        <v>16</v>
      </c>
      <c r="B10" s="1" t="s">
        <v>19</v>
      </c>
      <c r="C10" s="10">
        <v>122570</v>
      </c>
      <c r="D10" s="10"/>
      <c r="E10" s="10">
        <v>25410</v>
      </c>
      <c r="F10" s="10"/>
      <c r="G10" s="10">
        <f t="shared" si="0"/>
        <v>147980</v>
      </c>
      <c r="H10" s="16">
        <f t="shared" si="1"/>
        <v>37.69</v>
      </c>
      <c r="I10" s="15">
        <f t="shared" si="2"/>
        <v>0.10100000000000001</v>
      </c>
      <c r="J10" s="15">
        <f>ROUND(G10/136150-1,2)</f>
        <v>0.09</v>
      </c>
    </row>
    <row r="11" spans="1:10" x14ac:dyDescent="0.25">
      <c r="A11" s="1" t="s">
        <v>16</v>
      </c>
      <c r="B11" s="1" t="s">
        <v>20</v>
      </c>
      <c r="C11" s="10">
        <v>149230</v>
      </c>
      <c r="D11" s="10"/>
      <c r="E11" s="10"/>
      <c r="F11" s="10"/>
      <c r="G11" s="10">
        <f t="shared" si="0"/>
        <v>149230</v>
      </c>
      <c r="H11" s="16">
        <f t="shared" si="1"/>
        <v>38.01</v>
      </c>
      <c r="I11" s="15">
        <f t="shared" si="2"/>
        <v>0.10199999999999999</v>
      </c>
      <c r="J11" s="15">
        <f>ROUND(G11/168130-1,2)</f>
        <v>-0.11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314</v>
      </c>
      <c r="F12" s="10"/>
      <c r="G12" s="10">
        <f t="shared" si="0"/>
        <v>314</v>
      </c>
      <c r="H12" s="16">
        <f t="shared" si="1"/>
        <v>0.08</v>
      </c>
      <c r="I12" s="15">
        <f t="shared" si="2"/>
        <v>0</v>
      </c>
      <c r="J12" s="15">
        <f>ROUND(G12/342-1,2)</f>
        <v>-0.08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280</v>
      </c>
      <c r="F13" s="10"/>
      <c r="G13" s="10">
        <f t="shared" si="0"/>
        <v>280</v>
      </c>
      <c r="H13" s="16">
        <f t="shared" si="1"/>
        <v>7.0000000000000007E-2</v>
      </c>
      <c r="I13" s="15">
        <f t="shared" si="2"/>
        <v>0</v>
      </c>
      <c r="J13" s="15">
        <f>ROUND(G13/334-1,2)</f>
        <v>-0.16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1760</v>
      </c>
      <c r="F14" s="10"/>
      <c r="G14" s="10">
        <f t="shared" si="0"/>
        <v>1760</v>
      </c>
      <c r="H14" s="16">
        <f t="shared" si="1"/>
        <v>0.45</v>
      </c>
      <c r="I14" s="15">
        <f t="shared" si="2"/>
        <v>1E-3</v>
      </c>
      <c r="J14" s="15">
        <f>ROUND(G14/4000-1,2)</f>
        <v>-0.56000000000000005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43260</v>
      </c>
      <c r="F15" s="10"/>
      <c r="G15" s="10">
        <f t="shared" si="0"/>
        <v>43260</v>
      </c>
      <c r="H15" s="16">
        <f t="shared" si="1"/>
        <v>11.02</v>
      </c>
      <c r="I15" s="15">
        <f t="shared" si="2"/>
        <v>2.9000000000000001E-2</v>
      </c>
      <c r="J15" s="15">
        <f>ROUND(G15/58520-1,2)</f>
        <v>-0.26</v>
      </c>
    </row>
    <row r="16" spans="1:10" x14ac:dyDescent="0.25">
      <c r="A16" s="1" t="s">
        <v>16</v>
      </c>
      <c r="B16" s="1" t="s">
        <v>24</v>
      </c>
      <c r="C16" s="10">
        <v>184350</v>
      </c>
      <c r="D16" s="10"/>
      <c r="E16" s="10">
        <v>40615</v>
      </c>
      <c r="F16" s="10"/>
      <c r="G16" s="10">
        <f t="shared" si="0"/>
        <v>224965</v>
      </c>
      <c r="H16" s="16">
        <f t="shared" si="1"/>
        <v>57.3</v>
      </c>
      <c r="I16" s="15">
        <f t="shared" si="2"/>
        <v>0.153</v>
      </c>
      <c r="J16" s="15">
        <f>ROUND(G16/229975-1,2)</f>
        <v>-0.02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8720</v>
      </c>
      <c r="F17" s="10"/>
      <c r="G17" s="10">
        <f t="shared" si="0"/>
        <v>8720</v>
      </c>
      <c r="H17" s="16">
        <f t="shared" si="1"/>
        <v>2.2200000000000002</v>
      </c>
      <c r="I17" s="15">
        <f t="shared" si="2"/>
        <v>6.0000000000000001E-3</v>
      </c>
      <c r="J17" s="15">
        <f>ROUND(G17/6740-1,2)</f>
        <v>0.28999999999999998</v>
      </c>
    </row>
    <row r="18" spans="1:10" x14ac:dyDescent="0.25">
      <c r="A18" s="1" t="s">
        <v>16</v>
      </c>
      <c r="B18" s="1" t="s">
        <v>26</v>
      </c>
      <c r="C18" s="10">
        <v>300980</v>
      </c>
      <c r="D18" s="10"/>
      <c r="E18" s="10"/>
      <c r="F18" s="10">
        <v>1240</v>
      </c>
      <c r="G18" s="10">
        <f t="shared" si="0"/>
        <v>302220</v>
      </c>
      <c r="H18" s="16">
        <f t="shared" si="1"/>
        <v>76.98</v>
      </c>
      <c r="I18" s="15">
        <f t="shared" si="2"/>
        <v>0.20599999999999999</v>
      </c>
      <c r="J18" s="15">
        <f>ROUND(G18/307060-1,2)</f>
        <v>-0.02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757</v>
      </c>
      <c r="F19" s="10"/>
      <c r="G19" s="10">
        <f t="shared" si="0"/>
        <v>757</v>
      </c>
      <c r="H19" s="16">
        <f t="shared" si="1"/>
        <v>0.19</v>
      </c>
      <c r="I19" s="15">
        <f t="shared" si="2"/>
        <v>1E-3</v>
      </c>
      <c r="J19" s="15">
        <f>ROUND(G19/775-1,2)</f>
        <v>-0.02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349</v>
      </c>
      <c r="F20" s="10"/>
      <c r="G20" s="10">
        <f t="shared" si="0"/>
        <v>349</v>
      </c>
      <c r="H20" s="16">
        <f t="shared" si="1"/>
        <v>0.09</v>
      </c>
      <c r="I20" s="15">
        <f t="shared" si="2"/>
        <v>0</v>
      </c>
      <c r="J20" s="15">
        <f>ROUND(G20/537-1,2)</f>
        <v>-0.35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239</v>
      </c>
      <c r="F21" s="10"/>
      <c r="G21" s="10">
        <f t="shared" si="0"/>
        <v>239</v>
      </c>
      <c r="H21" s="16">
        <f t="shared" si="1"/>
        <v>0.06</v>
      </c>
      <c r="I21" s="15">
        <f t="shared" si="2"/>
        <v>0</v>
      </c>
      <c r="J21" s="15">
        <f>ROUND(G21/142-1,2)</f>
        <v>0.68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1600</v>
      </c>
      <c r="F22" s="10"/>
      <c r="G22" s="10">
        <f t="shared" si="0"/>
        <v>1600</v>
      </c>
      <c r="H22" s="16">
        <f t="shared" si="1"/>
        <v>0.41</v>
      </c>
      <c r="I22" s="15">
        <f t="shared" si="2"/>
        <v>1E-3</v>
      </c>
      <c r="J22" s="15">
        <f>ROUND(G22/2668-1,2)</f>
        <v>-0.4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830</v>
      </c>
      <c r="F23" s="10"/>
      <c r="G23" s="10">
        <f t="shared" si="0"/>
        <v>830</v>
      </c>
      <c r="H23" s="16">
        <f t="shared" si="1"/>
        <v>0.21</v>
      </c>
      <c r="I23" s="15">
        <f t="shared" si="2"/>
        <v>1E-3</v>
      </c>
      <c r="J23" s="15">
        <f>ROUND(G23/1430-1,2)</f>
        <v>-0.42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550</v>
      </c>
      <c r="F24" s="10"/>
      <c r="G24" s="10">
        <f t="shared" si="0"/>
        <v>550</v>
      </c>
      <c r="H24" s="16">
        <f t="shared" si="1"/>
        <v>0.14000000000000001</v>
      </c>
      <c r="I24" s="15">
        <f t="shared" si="2"/>
        <v>0</v>
      </c>
      <c r="J24" s="15">
        <f>ROUND(G24/1050-1,2)</f>
        <v>-0.48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1965</v>
      </c>
      <c r="F25" s="10"/>
      <c r="G25" s="10">
        <f t="shared" si="0"/>
        <v>1965</v>
      </c>
      <c r="H25" s="16">
        <f t="shared" si="1"/>
        <v>0.5</v>
      </c>
      <c r="I25" s="15">
        <f t="shared" si="2"/>
        <v>1E-3</v>
      </c>
      <c r="J25" s="15">
        <f>ROUND(G25/1645-1,2)</f>
        <v>0.19</v>
      </c>
    </row>
    <row r="26" spans="1:10" x14ac:dyDescent="0.25">
      <c r="A26" s="1" t="s">
        <v>16</v>
      </c>
      <c r="B26" s="1" t="s">
        <v>33</v>
      </c>
      <c r="C26" s="10"/>
      <c r="D26" s="10">
        <v>244</v>
      </c>
      <c r="E26" s="10">
        <v>106</v>
      </c>
      <c r="F26" s="10"/>
      <c r="G26" s="10">
        <f t="shared" si="0"/>
        <v>350</v>
      </c>
      <c r="H26" s="16">
        <f t="shared" si="1"/>
        <v>0.09</v>
      </c>
      <c r="I26" s="15">
        <f t="shared" si="2"/>
        <v>0</v>
      </c>
      <c r="J26" s="15">
        <f>ROUND(G26/290-1,2)</f>
        <v>0.21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600</v>
      </c>
      <c r="F27" s="10"/>
      <c r="G27" s="10">
        <f t="shared" si="0"/>
        <v>600</v>
      </c>
      <c r="H27" s="16">
        <f t="shared" si="1"/>
        <v>0.15</v>
      </c>
      <c r="I27" s="15">
        <f t="shared" si="2"/>
        <v>0</v>
      </c>
      <c r="J27" s="15">
        <f>ROUND(G27/220-1,2)</f>
        <v>1.73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1290</v>
      </c>
      <c r="F28" s="10"/>
      <c r="G28" s="10">
        <f t="shared" si="0"/>
        <v>1290</v>
      </c>
      <c r="H28" s="16">
        <f t="shared" si="1"/>
        <v>0.33</v>
      </c>
      <c r="I28" s="15">
        <f t="shared" si="2"/>
        <v>1E-3</v>
      </c>
      <c r="J28" s="15">
        <f>ROUND(G28/100-1,2)</f>
        <v>11.9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4405</v>
      </c>
      <c r="F29" s="10"/>
      <c r="G29" s="10">
        <f t="shared" si="0"/>
        <v>4405</v>
      </c>
      <c r="H29" s="16">
        <f t="shared" si="1"/>
        <v>1.1200000000000001</v>
      </c>
      <c r="I29" s="15">
        <f t="shared" si="2"/>
        <v>3.0000000000000001E-3</v>
      </c>
      <c r="J29" s="15">
        <f>ROUND(G29/9421-1,2)</f>
        <v>-0.53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4660</v>
      </c>
      <c r="F30" s="10"/>
      <c r="G30" s="10">
        <f t="shared" si="0"/>
        <v>4660</v>
      </c>
      <c r="H30" s="16">
        <f t="shared" si="1"/>
        <v>1.19</v>
      </c>
      <c r="I30" s="15">
        <f t="shared" si="2"/>
        <v>3.0000000000000001E-3</v>
      </c>
      <c r="J30" s="15">
        <f>ROUND(G30/5617-1,2)</f>
        <v>-0.17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91110</v>
      </c>
      <c r="F31" s="10"/>
      <c r="G31" s="10">
        <f t="shared" si="0"/>
        <v>91110</v>
      </c>
      <c r="H31" s="16">
        <f t="shared" si="1"/>
        <v>23.21</v>
      </c>
      <c r="I31" s="15">
        <f t="shared" si="2"/>
        <v>6.2E-2</v>
      </c>
      <c r="J31" s="15">
        <f>ROUND(G31/73630-1,2)</f>
        <v>0.24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6665</v>
      </c>
      <c r="F32" s="10"/>
      <c r="G32" s="10">
        <f t="shared" si="0"/>
        <v>6665</v>
      </c>
      <c r="H32" s="16">
        <f t="shared" si="1"/>
        <v>1.7</v>
      </c>
      <c r="I32" s="15">
        <f t="shared" si="2"/>
        <v>5.0000000000000001E-3</v>
      </c>
      <c r="J32" s="15">
        <f>ROUND(G32/6550-1,2)</f>
        <v>0.02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27570</v>
      </c>
      <c r="F33" s="10"/>
      <c r="G33" s="10">
        <f t="shared" si="0"/>
        <v>27570</v>
      </c>
      <c r="H33" s="16">
        <f t="shared" si="1"/>
        <v>7.02</v>
      </c>
      <c r="I33" s="15">
        <f t="shared" si="2"/>
        <v>1.9E-2</v>
      </c>
      <c r="J33" s="15">
        <f>ROUND(G33/22300-1,2)</f>
        <v>0.24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157040</v>
      </c>
      <c r="F34" s="10">
        <v>1300</v>
      </c>
      <c r="G34" s="10">
        <f t="shared" si="0"/>
        <v>158340</v>
      </c>
      <c r="H34" s="16">
        <f t="shared" si="1"/>
        <v>40.33</v>
      </c>
      <c r="I34" s="15">
        <f t="shared" si="2"/>
        <v>0.108</v>
      </c>
      <c r="J34" s="15">
        <f>ROUND(G34/141480-1,2)</f>
        <v>0.12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ROUND(G35/2697-1,2)</f>
        <v>-1</v>
      </c>
    </row>
    <row r="36" spans="1:10" x14ac:dyDescent="0.25">
      <c r="A36" s="1" t="s">
        <v>44</v>
      </c>
      <c r="B36" s="1" t="s">
        <v>45</v>
      </c>
      <c r="C36" s="10">
        <v>196790</v>
      </c>
      <c r="D36" s="10"/>
      <c r="E36" s="10"/>
      <c r="F36" s="10">
        <v>1960</v>
      </c>
      <c r="G36" s="10">
        <f t="shared" si="0"/>
        <v>198750</v>
      </c>
      <c r="H36" s="16">
        <f t="shared" si="1"/>
        <v>50.62</v>
      </c>
      <c r="I36" s="15">
        <f t="shared" si="2"/>
        <v>0.13500000000000001</v>
      </c>
      <c r="J36" s="15">
        <f>ROUND(G36/187190-1,2)</f>
        <v>0.06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42700</v>
      </c>
      <c r="G37" s="10">
        <f t="shared" si="0"/>
        <v>42700</v>
      </c>
      <c r="H37" s="16">
        <f t="shared" si="1"/>
        <v>10.88</v>
      </c>
      <c r="I37" s="15">
        <f t="shared" si="2"/>
        <v>2.9000000000000001E-2</v>
      </c>
      <c r="J37" s="15">
        <f>ROUND(G37/34780-1,2)</f>
        <v>0.23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47845</v>
      </c>
      <c r="F38" s="10"/>
      <c r="G38" s="10">
        <f t="shared" si="0"/>
        <v>47845</v>
      </c>
      <c r="H38" s="16">
        <f t="shared" si="1"/>
        <v>12.19</v>
      </c>
      <c r="I38" s="15">
        <f t="shared" si="2"/>
        <v>3.3000000000000002E-2</v>
      </c>
      <c r="J38" s="15">
        <f>ROUND(G38/35390-1,2)</f>
        <v>0.35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5" t="s">
        <v>12</v>
      </c>
      <c r="B41" s="25"/>
      <c r="C41" s="11">
        <f t="shared" ref="C41:H41" si="3">SUM(C8:C40)</f>
        <v>953920</v>
      </c>
      <c r="D41" s="11">
        <f t="shared" si="3"/>
        <v>244</v>
      </c>
      <c r="E41" s="11">
        <f t="shared" si="3"/>
        <v>468099</v>
      </c>
      <c r="F41" s="11">
        <f t="shared" si="3"/>
        <v>47200</v>
      </c>
      <c r="G41" s="11">
        <f t="shared" si="3"/>
        <v>1469463</v>
      </c>
      <c r="H41" s="14">
        <f t="shared" si="3"/>
        <v>374.28999999999996</v>
      </c>
      <c r="I41" s="17"/>
      <c r="J41" s="17"/>
    </row>
    <row r="42" spans="1:10" x14ac:dyDescent="0.25">
      <c r="A42" s="25" t="s">
        <v>14</v>
      </c>
      <c r="B42" s="25"/>
      <c r="C42" s="12">
        <f>ROUND(C41/G41,2)</f>
        <v>0.65</v>
      </c>
      <c r="D42" s="12">
        <f>ROUND(D41/G41,2)</f>
        <v>0</v>
      </c>
      <c r="E42" s="12">
        <f>ROUND(E41/G41,2)</f>
        <v>0.32</v>
      </c>
      <c r="F42" s="12">
        <f>ROUND(F41/G41,2)</f>
        <v>0.03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5" t="s">
        <v>53</v>
      </c>
      <c r="B47" s="25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0" t="s">
        <v>54</v>
      </c>
      <c r="B48" s="20"/>
      <c r="C48" s="10">
        <v>757130</v>
      </c>
      <c r="D48" s="10">
        <v>244</v>
      </c>
      <c r="E48" s="10">
        <v>420254</v>
      </c>
      <c r="F48" s="10">
        <v>2540</v>
      </c>
      <c r="G48" s="10">
        <f>SUM(C48:F48)</f>
        <v>1180168</v>
      </c>
      <c r="H48" s="16">
        <f>ROUND(G48/3926,2)</f>
        <v>300.60000000000002</v>
      </c>
      <c r="I48" s="9"/>
      <c r="J48" s="9"/>
    </row>
    <row r="49" spans="1:10" x14ac:dyDescent="0.25">
      <c r="A49" s="20" t="s">
        <v>55</v>
      </c>
      <c r="B49" s="20"/>
      <c r="C49" s="10">
        <v>196790</v>
      </c>
      <c r="D49" s="10">
        <v>0</v>
      </c>
      <c r="E49" s="10">
        <v>47845</v>
      </c>
      <c r="F49" s="10">
        <v>44660</v>
      </c>
      <c r="G49" s="10">
        <f>SUM(C49:F49)</f>
        <v>289295</v>
      </c>
      <c r="H49" s="16">
        <f>ROUND(G49/3926,2)</f>
        <v>73.69</v>
      </c>
      <c r="I49" s="9"/>
      <c r="J49" s="9"/>
    </row>
    <row r="50" spans="1:10" x14ac:dyDescent="0.25">
      <c r="A50" s="20" t="s">
        <v>56</v>
      </c>
      <c r="B50" s="20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ROUND(G50/3926,2)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57</v>
      </c>
      <c r="B55" s="25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0" t="s">
        <v>58</v>
      </c>
      <c r="B56" s="20"/>
      <c r="C56" s="15">
        <f>ROUND(0.8528, 4)</f>
        <v>0.8528</v>
      </c>
      <c r="D56" s="15">
        <f>ROUND(0.8544, 4)</f>
        <v>0.85440000000000005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3" t="s">
        <v>64</v>
      </c>
      <c r="J56" s="23" t="s">
        <v>65</v>
      </c>
    </row>
    <row r="57" spans="1:10" x14ac:dyDescent="0.25">
      <c r="A57" s="20" t="s">
        <v>66</v>
      </c>
      <c r="B57" s="20"/>
      <c r="C57" s="15">
        <f>ROUND(0.8394, 4)</f>
        <v>0.83940000000000003</v>
      </c>
      <c r="D57" s="15">
        <f>ROUND(0.8414, 4)</f>
        <v>0.84140000000000004</v>
      </c>
      <c r="E57" s="15">
        <f>ROUND(0.7608, 4)</f>
        <v>0.76080000000000003</v>
      </c>
      <c r="F57" s="8"/>
      <c r="G57" s="14" t="s">
        <v>67</v>
      </c>
      <c r="H57" s="27"/>
      <c r="I57" s="24"/>
      <c r="J57" s="24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5" t="s">
        <v>68</v>
      </c>
      <c r="B61" s="25"/>
      <c r="C61" s="14" t="s">
        <v>2</v>
      </c>
      <c r="D61" s="14" t="s">
        <v>109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0" t="s">
        <v>73</v>
      </c>
      <c r="B62" s="20"/>
      <c r="C62" s="16">
        <v>50.62</v>
      </c>
      <c r="D62" s="16">
        <v>59.31</v>
      </c>
      <c r="E62" s="16">
        <v>91.13</v>
      </c>
      <c r="F62" s="16">
        <v>54.95</v>
      </c>
      <c r="G62" s="16">
        <f>12/10*C62</f>
        <v>60.743999999999993</v>
      </c>
      <c r="H62" s="8"/>
      <c r="I62" s="9"/>
      <c r="J62" s="9"/>
    </row>
    <row r="63" spans="1:10" x14ac:dyDescent="0.25">
      <c r="A63" s="20" t="s">
        <v>74</v>
      </c>
      <c r="B63" s="20"/>
      <c r="C63" s="16">
        <v>76.98</v>
      </c>
      <c r="D63" s="16">
        <v>81.98</v>
      </c>
      <c r="E63" s="16">
        <v>61.18</v>
      </c>
      <c r="F63" s="16">
        <v>62.89</v>
      </c>
      <c r="G63" s="16">
        <f>12/10*C63</f>
        <v>92.376000000000005</v>
      </c>
      <c r="H63" s="8"/>
      <c r="I63" s="9"/>
      <c r="J63" s="9"/>
    </row>
    <row r="64" spans="1:10" x14ac:dyDescent="0.25">
      <c r="A64" s="20" t="s">
        <v>75</v>
      </c>
      <c r="B64" s="20"/>
      <c r="C64" s="16">
        <v>300.60000000000002</v>
      </c>
      <c r="D64" s="16">
        <v>342.82</v>
      </c>
      <c r="E64" s="16">
        <v>287.25</v>
      </c>
      <c r="F64" s="16">
        <v>278.91000000000003</v>
      </c>
      <c r="G64" s="16">
        <f>12/10*C64</f>
        <v>360.72</v>
      </c>
      <c r="H64" s="8"/>
      <c r="I64" s="9"/>
      <c r="J64" s="9"/>
    </row>
    <row r="65" spans="1:10" x14ac:dyDescent="0.25">
      <c r="A65" s="20" t="s">
        <v>76</v>
      </c>
      <c r="B65" s="20"/>
      <c r="C65" s="16">
        <v>73.69</v>
      </c>
      <c r="D65" s="16">
        <v>83.77</v>
      </c>
      <c r="E65" s="16">
        <v>114.69</v>
      </c>
      <c r="F65" s="16">
        <v>78.319999999999993</v>
      </c>
      <c r="G65" s="16">
        <f>12/10*C65</f>
        <v>88.427999999999997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2"/>
    </row>
    <row r="69" spans="1:10" x14ac:dyDescent="0.25">
      <c r="A69" s="3" t="s">
        <v>77</v>
      </c>
      <c r="B69" s="1" t="s">
        <v>110</v>
      </c>
    </row>
    <row r="70" spans="1:10" x14ac:dyDescent="0.25">
      <c r="A70" s="3" t="s">
        <v>70</v>
      </c>
      <c r="B70" s="1" t="s">
        <v>79</v>
      </c>
    </row>
    <row r="71" spans="1:10" x14ac:dyDescent="0.25">
      <c r="A71" s="3" t="s">
        <v>71</v>
      </c>
      <c r="B71" s="1" t="s">
        <v>80</v>
      </c>
    </row>
    <row r="72" spans="1:10" x14ac:dyDescent="0.25">
      <c r="A72" s="3" t="s">
        <v>72</v>
      </c>
      <c r="B72" s="1" t="s">
        <v>81</v>
      </c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78"/>
  <sheetViews>
    <sheetView workbookViewId="0"/>
  </sheetViews>
  <sheetFormatPr defaultRowHeight="15" x14ac:dyDescent="0.25"/>
  <cols>
    <col min="1" max="1" width="28.42578125" bestFit="1" customWidth="1"/>
    <col min="2" max="2" width="61.28515625" bestFit="1" customWidth="1"/>
    <col min="3" max="3" width="14.5703125" customWidth="1"/>
    <col min="4" max="4" width="38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1533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16</v>
      </c>
      <c r="F9" s="10"/>
      <c r="G9" s="10">
        <f t="shared" ref="G9:G35" si="0">SUM(C9:F9)</f>
        <v>16</v>
      </c>
      <c r="H9" s="16">
        <f t="shared" ref="H9:H35" si="1">ROUND(G9/1533,2)</f>
        <v>0.01</v>
      </c>
      <c r="I9" s="15">
        <f t="shared" ref="I9:I35" si="2">ROUND(G9/$G$36,3)</f>
        <v>0</v>
      </c>
      <c r="J9" s="15"/>
    </row>
    <row r="10" spans="1:10" x14ac:dyDescent="0.25">
      <c r="A10" s="1" t="s">
        <v>16</v>
      </c>
      <c r="B10" s="1" t="s">
        <v>19</v>
      </c>
      <c r="C10" s="10">
        <v>41960</v>
      </c>
      <c r="D10" s="10"/>
      <c r="E10" s="10"/>
      <c r="F10" s="10"/>
      <c r="G10" s="10">
        <f t="shared" si="0"/>
        <v>41960</v>
      </c>
      <c r="H10" s="16">
        <f t="shared" si="1"/>
        <v>27.37</v>
      </c>
      <c r="I10" s="15">
        <f t="shared" si="2"/>
        <v>7.8E-2</v>
      </c>
      <c r="J10" s="15">
        <f>ROUND(G10/44900-1,2)</f>
        <v>-7.0000000000000007E-2</v>
      </c>
    </row>
    <row r="11" spans="1:10" x14ac:dyDescent="0.25">
      <c r="A11" s="1" t="s">
        <v>16</v>
      </c>
      <c r="B11" s="1" t="s">
        <v>20</v>
      </c>
      <c r="C11" s="10">
        <v>56160</v>
      </c>
      <c r="D11" s="10"/>
      <c r="E11" s="10"/>
      <c r="F11" s="10"/>
      <c r="G11" s="10">
        <f t="shared" si="0"/>
        <v>56160</v>
      </c>
      <c r="H11" s="16">
        <f t="shared" si="1"/>
        <v>36.630000000000003</v>
      </c>
      <c r="I11" s="15">
        <f t="shared" si="2"/>
        <v>0.104</v>
      </c>
      <c r="J11" s="15">
        <f>ROUND(G11/54920-1,2)</f>
        <v>0.02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320</v>
      </c>
      <c r="F12" s="10"/>
      <c r="G12" s="10">
        <f t="shared" si="0"/>
        <v>320</v>
      </c>
      <c r="H12" s="16">
        <f t="shared" si="1"/>
        <v>0.21</v>
      </c>
      <c r="I12" s="15">
        <f t="shared" si="2"/>
        <v>1E-3</v>
      </c>
      <c r="J12" s="15"/>
    </row>
    <row r="13" spans="1:10" x14ac:dyDescent="0.25">
      <c r="A13" s="1" t="s">
        <v>16</v>
      </c>
      <c r="B13" s="1" t="s">
        <v>24</v>
      </c>
      <c r="C13" s="10">
        <v>57760</v>
      </c>
      <c r="D13" s="10"/>
      <c r="E13" s="10"/>
      <c r="F13" s="10"/>
      <c r="G13" s="10">
        <f t="shared" si="0"/>
        <v>57760</v>
      </c>
      <c r="H13" s="16">
        <f t="shared" si="1"/>
        <v>37.68</v>
      </c>
      <c r="I13" s="15">
        <f t="shared" si="2"/>
        <v>0.107</v>
      </c>
      <c r="J13" s="15">
        <f>ROUND(G13/55820-1,2)</f>
        <v>0.03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0.59</v>
      </c>
      <c r="I14" s="15">
        <f t="shared" si="2"/>
        <v>2E-3</v>
      </c>
      <c r="J14" s="15">
        <f>ROUND(G14/805-1,2)</f>
        <v>0.12</v>
      </c>
    </row>
    <row r="15" spans="1:10" x14ac:dyDescent="0.25">
      <c r="A15" s="1" t="s">
        <v>16</v>
      </c>
      <c r="B15" s="1" t="s">
        <v>26</v>
      </c>
      <c r="C15" s="10">
        <v>116770</v>
      </c>
      <c r="D15" s="10"/>
      <c r="E15" s="10"/>
      <c r="F15" s="10">
        <v>280</v>
      </c>
      <c r="G15" s="10">
        <f t="shared" si="0"/>
        <v>117050</v>
      </c>
      <c r="H15" s="16">
        <f t="shared" si="1"/>
        <v>76.349999999999994</v>
      </c>
      <c r="I15" s="15">
        <f t="shared" si="2"/>
        <v>0.218</v>
      </c>
      <c r="J15" s="15">
        <f>ROUND(G15/118400-1,2)</f>
        <v>-0.01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587</v>
      </c>
      <c r="F16" s="10"/>
      <c r="G16" s="10">
        <f t="shared" si="0"/>
        <v>587</v>
      </c>
      <c r="H16" s="16">
        <f t="shared" si="1"/>
        <v>0.38</v>
      </c>
      <c r="I16" s="15">
        <f t="shared" si="2"/>
        <v>1E-3</v>
      </c>
      <c r="J16" s="15">
        <f>ROUND(G16/321-1,2)</f>
        <v>0.83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339</v>
      </c>
      <c r="F17" s="10"/>
      <c r="G17" s="10">
        <f t="shared" si="0"/>
        <v>339</v>
      </c>
      <c r="H17" s="16">
        <f t="shared" si="1"/>
        <v>0.22</v>
      </c>
      <c r="I17" s="15">
        <f t="shared" si="2"/>
        <v>1E-3</v>
      </c>
      <c r="J17" s="15">
        <f>ROUND(G17/85-1,2)</f>
        <v>2.99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2060</v>
      </c>
      <c r="F18" s="10"/>
      <c r="G18" s="10">
        <f t="shared" si="0"/>
        <v>2060</v>
      </c>
      <c r="H18" s="16">
        <f t="shared" si="1"/>
        <v>1.34</v>
      </c>
      <c r="I18" s="15">
        <f t="shared" si="2"/>
        <v>4.0000000000000001E-3</v>
      </c>
      <c r="J18" s="15">
        <f>ROUND(G18/1790-1,2)</f>
        <v>0.15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320</v>
      </c>
      <c r="F19" s="10"/>
      <c r="G19" s="10">
        <f t="shared" si="0"/>
        <v>320</v>
      </c>
      <c r="H19" s="16">
        <f t="shared" si="1"/>
        <v>0.21</v>
      </c>
      <c r="I19" s="15">
        <f t="shared" si="2"/>
        <v>1E-3</v>
      </c>
      <c r="J19" s="15">
        <f>ROUND(G19/720-1,2)</f>
        <v>-0.56000000000000005</v>
      </c>
    </row>
    <row r="20" spans="1:10" x14ac:dyDescent="0.25">
      <c r="A20" s="1" t="s">
        <v>16</v>
      </c>
      <c r="B20" s="1" t="s">
        <v>33</v>
      </c>
      <c r="C20" s="10"/>
      <c r="D20" s="10">
        <v>190</v>
      </c>
      <c r="E20" s="10">
        <v>75</v>
      </c>
      <c r="F20" s="10"/>
      <c r="G20" s="10">
        <f t="shared" si="0"/>
        <v>265</v>
      </c>
      <c r="H20" s="16">
        <f t="shared" si="1"/>
        <v>0.17</v>
      </c>
      <c r="I20" s="15">
        <f t="shared" si="2"/>
        <v>0</v>
      </c>
      <c r="J20" s="15">
        <f>ROUND(G20/155-1,2)</f>
        <v>0.71</v>
      </c>
    </row>
    <row r="21" spans="1:10" x14ac:dyDescent="0.25">
      <c r="A21" s="1" t="s">
        <v>16</v>
      </c>
      <c r="B21" s="1" t="s">
        <v>35</v>
      </c>
      <c r="C21" s="10"/>
      <c r="D21" s="10"/>
      <c r="E21" s="10">
        <v>270</v>
      </c>
      <c r="F21" s="10"/>
      <c r="G21" s="10">
        <f t="shared" si="0"/>
        <v>270</v>
      </c>
      <c r="H21" s="16">
        <f t="shared" si="1"/>
        <v>0.18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34</v>
      </c>
      <c r="C22" s="10"/>
      <c r="D22" s="10"/>
      <c r="E22" s="10">
        <v>270</v>
      </c>
      <c r="F22" s="10"/>
      <c r="G22" s="10">
        <f t="shared" si="0"/>
        <v>270</v>
      </c>
      <c r="H22" s="16">
        <f t="shared" si="1"/>
        <v>0.18</v>
      </c>
      <c r="I22" s="15">
        <f t="shared" si="2"/>
        <v>1E-3</v>
      </c>
      <c r="J22" s="15">
        <f>ROUND(G22/700-1,2)</f>
        <v>-0.61</v>
      </c>
    </row>
    <row r="23" spans="1:10" x14ac:dyDescent="0.25">
      <c r="A23" s="1" t="s">
        <v>16</v>
      </c>
      <c r="B23" s="1" t="s">
        <v>37</v>
      </c>
      <c r="C23" s="10"/>
      <c r="D23" s="10"/>
      <c r="E23" s="10">
        <v>730</v>
      </c>
      <c r="F23" s="10"/>
      <c r="G23" s="10">
        <f t="shared" si="0"/>
        <v>730</v>
      </c>
      <c r="H23" s="16">
        <f t="shared" si="1"/>
        <v>0.48</v>
      </c>
      <c r="I23" s="15">
        <f t="shared" si="2"/>
        <v>1E-3</v>
      </c>
      <c r="J23" s="15">
        <f>ROUND(G23/700-1,2)</f>
        <v>0.04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34880</v>
      </c>
      <c r="F24" s="10"/>
      <c r="G24" s="10">
        <f t="shared" si="0"/>
        <v>34880</v>
      </c>
      <c r="H24" s="16">
        <f t="shared" si="1"/>
        <v>22.75</v>
      </c>
      <c r="I24" s="15">
        <f t="shared" si="2"/>
        <v>6.5000000000000002E-2</v>
      </c>
      <c r="J24" s="15">
        <f>ROUND(G24/23720-1,2)</f>
        <v>0.47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2095</v>
      </c>
      <c r="F25" s="10"/>
      <c r="G25" s="10">
        <f t="shared" si="0"/>
        <v>2095</v>
      </c>
      <c r="H25" s="16">
        <f t="shared" si="1"/>
        <v>1.37</v>
      </c>
      <c r="I25" s="15">
        <f t="shared" si="2"/>
        <v>4.0000000000000001E-3</v>
      </c>
      <c r="J25" s="15">
        <f>ROUND(G25/1865-1,2)</f>
        <v>0.12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5590</v>
      </c>
      <c r="F26" s="10"/>
      <c r="G26" s="10">
        <f t="shared" si="0"/>
        <v>5590</v>
      </c>
      <c r="H26" s="16">
        <f t="shared" si="1"/>
        <v>3.65</v>
      </c>
      <c r="I26" s="15">
        <f t="shared" si="2"/>
        <v>0.01</v>
      </c>
      <c r="J26" s="15">
        <f>ROUND(G26/7830-1,2)</f>
        <v>-0.28999999999999998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48170</v>
      </c>
      <c r="F27" s="10">
        <v>1680</v>
      </c>
      <c r="G27" s="10">
        <f t="shared" si="0"/>
        <v>49850</v>
      </c>
      <c r="H27" s="16">
        <f t="shared" si="1"/>
        <v>32.520000000000003</v>
      </c>
      <c r="I27" s="15">
        <f t="shared" si="2"/>
        <v>9.2999999999999999E-2</v>
      </c>
      <c r="J27" s="15">
        <f>ROUND(G27/31140-1,2)</f>
        <v>0.6</v>
      </c>
    </row>
    <row r="28" spans="1:10" x14ac:dyDescent="0.25">
      <c r="A28" s="1" t="s">
        <v>16</v>
      </c>
      <c r="B28" s="1" t="s">
        <v>42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ROUND(G28/68-1,2)</f>
        <v>-1</v>
      </c>
    </row>
    <row r="29" spans="1:10" x14ac:dyDescent="0.25">
      <c r="A29" s="1" t="s">
        <v>16</v>
      </c>
      <c r="B29" s="1" t="s">
        <v>36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ROUND(G29/1310-1,2)</f>
        <v>-1</v>
      </c>
    </row>
    <row r="30" spans="1:10" x14ac:dyDescent="0.25">
      <c r="A30" s="1" t="s">
        <v>16</v>
      </c>
      <c r="B30" s="1" t="s">
        <v>43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ROUND(G30/3370-1,2)</f>
        <v>-1</v>
      </c>
    </row>
    <row r="31" spans="1:10" x14ac:dyDescent="0.25">
      <c r="A31" s="1" t="s">
        <v>16</v>
      </c>
      <c r="B31" s="1" t="s">
        <v>95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126840</v>
      </c>
      <c r="D33" s="10"/>
      <c r="E33" s="10"/>
      <c r="F33" s="10"/>
      <c r="G33" s="10">
        <f t="shared" si="0"/>
        <v>126840</v>
      </c>
      <c r="H33" s="16">
        <f t="shared" si="1"/>
        <v>82.74</v>
      </c>
      <c r="I33" s="15">
        <f t="shared" si="2"/>
        <v>0.23599999999999999</v>
      </c>
      <c r="J33" s="15">
        <f>ROUND(G33/125350-1,2)</f>
        <v>0.01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12500</v>
      </c>
      <c r="G34" s="10">
        <f t="shared" si="0"/>
        <v>12500</v>
      </c>
      <c r="H34" s="16">
        <f t="shared" si="1"/>
        <v>8.15</v>
      </c>
      <c r="I34" s="15">
        <f t="shared" si="2"/>
        <v>2.3E-2</v>
      </c>
      <c r="J34" s="15">
        <f>ROUND(G34/20080-1,2)</f>
        <v>-0.38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27310</v>
      </c>
      <c r="F35" s="10"/>
      <c r="G35" s="10">
        <f t="shared" si="0"/>
        <v>27310</v>
      </c>
      <c r="H35" s="16">
        <f t="shared" si="1"/>
        <v>17.809999999999999</v>
      </c>
      <c r="I35" s="15">
        <f t="shared" si="2"/>
        <v>5.0999999999999997E-2</v>
      </c>
      <c r="J35" s="15">
        <f>ROUND(G35/13060-1,2)</f>
        <v>1.0900000000000001</v>
      </c>
    </row>
    <row r="36" spans="1:10" x14ac:dyDescent="0.25">
      <c r="A36" s="25" t="s">
        <v>12</v>
      </c>
      <c r="B36" s="25"/>
      <c r="C36" s="11">
        <f t="shared" ref="C36:H36" si="3">SUM(C8:C35)</f>
        <v>399490</v>
      </c>
      <c r="D36" s="11">
        <f t="shared" si="3"/>
        <v>190</v>
      </c>
      <c r="E36" s="11">
        <f t="shared" si="3"/>
        <v>123932</v>
      </c>
      <c r="F36" s="11">
        <f t="shared" si="3"/>
        <v>14460</v>
      </c>
      <c r="G36" s="11">
        <f t="shared" si="3"/>
        <v>538072</v>
      </c>
      <c r="H36" s="14">
        <f t="shared" si="3"/>
        <v>350.99</v>
      </c>
      <c r="I36" s="17"/>
      <c r="J36" s="17"/>
    </row>
    <row r="37" spans="1:10" x14ac:dyDescent="0.25">
      <c r="A37" s="25" t="s">
        <v>14</v>
      </c>
      <c r="B37" s="25"/>
      <c r="C37" s="12">
        <f>ROUND(C36/G36,2)</f>
        <v>0.74</v>
      </c>
      <c r="D37" s="12">
        <f>ROUND(D36/G36,2)</f>
        <v>0</v>
      </c>
      <c r="E37" s="12">
        <f>ROUND(E36/G36,2)</f>
        <v>0.23</v>
      </c>
      <c r="F37" s="12">
        <f>ROUND(F36/G36,2)</f>
        <v>0.03</v>
      </c>
      <c r="G37" s="13"/>
      <c r="H37" s="13"/>
      <c r="I37" s="17"/>
      <c r="J37" s="17"/>
    </row>
    <row r="38" spans="1:10" x14ac:dyDescent="0.25">
      <c r="A38" s="2" t="s">
        <v>52</v>
      </c>
      <c r="B38" s="2"/>
      <c r="C38" s="13"/>
      <c r="D38" s="13"/>
      <c r="E38" s="13"/>
      <c r="F38" s="13"/>
      <c r="G38" s="13"/>
      <c r="H38" s="13"/>
      <c r="I38" s="17"/>
      <c r="J38" s="17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A42" s="25" t="s">
        <v>53</v>
      </c>
      <c r="B42" s="25"/>
      <c r="C42" s="11" t="s">
        <v>8</v>
      </c>
      <c r="D42" s="11" t="s">
        <v>9</v>
      </c>
      <c r="E42" s="11" t="s">
        <v>10</v>
      </c>
      <c r="F42" s="11" t="s">
        <v>11</v>
      </c>
      <c r="G42" s="11" t="s">
        <v>12</v>
      </c>
      <c r="H42" s="14" t="s">
        <v>13</v>
      </c>
      <c r="I42" s="17"/>
      <c r="J42" s="17"/>
    </row>
    <row r="43" spans="1:10" x14ac:dyDescent="0.25">
      <c r="A43" s="20" t="s">
        <v>54</v>
      </c>
      <c r="B43" s="20"/>
      <c r="C43" s="10">
        <v>272650</v>
      </c>
      <c r="D43" s="10">
        <v>190</v>
      </c>
      <c r="E43" s="10">
        <v>96622</v>
      </c>
      <c r="F43" s="10">
        <v>1960</v>
      </c>
      <c r="G43" s="10">
        <f>SUM(C43:F43)</f>
        <v>371422</v>
      </c>
      <c r="H43" s="16">
        <f>ROUND(G43/1533,2)</f>
        <v>242.28</v>
      </c>
      <c r="I43" s="9"/>
      <c r="J43" s="9"/>
    </row>
    <row r="44" spans="1:10" x14ac:dyDescent="0.25">
      <c r="A44" s="20" t="s">
        <v>55</v>
      </c>
      <c r="B44" s="20"/>
      <c r="C44" s="10">
        <v>126840</v>
      </c>
      <c r="D44" s="10">
        <v>0</v>
      </c>
      <c r="E44" s="10">
        <v>27310</v>
      </c>
      <c r="F44" s="10">
        <v>12500</v>
      </c>
      <c r="G44" s="10">
        <f>SUM(C44:F44)</f>
        <v>166650</v>
      </c>
      <c r="H44" s="16">
        <f>ROUND(G44/1533,2)</f>
        <v>108.71</v>
      </c>
      <c r="I44" s="9"/>
      <c r="J44" s="9"/>
    </row>
    <row r="45" spans="1:10" x14ac:dyDescent="0.25">
      <c r="A45" s="20" t="s">
        <v>56</v>
      </c>
      <c r="B45" s="20"/>
      <c r="C45" s="10"/>
      <c r="D45" s="10"/>
      <c r="E45" s="10"/>
      <c r="F45" s="10"/>
      <c r="G45" s="10">
        <f>SUM(C45:F45)</f>
        <v>0</v>
      </c>
      <c r="H45" s="16">
        <f>ROUND(G45/1533,2)</f>
        <v>0</v>
      </c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57</v>
      </c>
      <c r="B50" s="25"/>
      <c r="C50" s="14" t="s">
        <v>2</v>
      </c>
      <c r="D50" s="14">
        <v>2023</v>
      </c>
      <c r="E50" s="14" t="s">
        <v>59</v>
      </c>
      <c r="F50" s="13"/>
      <c r="G50" s="14" t="s">
        <v>60</v>
      </c>
      <c r="H50" s="14" t="s">
        <v>2</v>
      </c>
      <c r="I50" s="12" t="s">
        <v>61</v>
      </c>
      <c r="J50" s="12" t="s">
        <v>59</v>
      </c>
    </row>
    <row r="51" spans="1:10" x14ac:dyDescent="0.25">
      <c r="A51" s="20" t="s">
        <v>58</v>
      </c>
      <c r="B51" s="20"/>
      <c r="C51" s="15">
        <f>ROUND(0.7602, 4)</f>
        <v>0.76019999999999999</v>
      </c>
      <c r="D51" s="15">
        <f>ROUND(0.7468, 4)</f>
        <v>0.74680000000000002</v>
      </c>
      <c r="E51" s="15">
        <f>ROUND(0.777, 4)</f>
        <v>0.77700000000000002</v>
      </c>
      <c r="F51" s="8"/>
      <c r="G51" s="14" t="s">
        <v>62</v>
      </c>
      <c r="H51" s="26" t="s">
        <v>63</v>
      </c>
      <c r="I51" s="23" t="s">
        <v>64</v>
      </c>
      <c r="J51" s="23" t="s">
        <v>65</v>
      </c>
    </row>
    <row r="52" spans="1:10" x14ac:dyDescent="0.25">
      <c r="A52" s="20" t="s">
        <v>66</v>
      </c>
      <c r="B52" s="20"/>
      <c r="C52" s="15">
        <f>ROUND(0.7502, 4)</f>
        <v>0.75019999999999998</v>
      </c>
      <c r="D52" s="15">
        <f>ROUND(0.7361, 4)</f>
        <v>0.73609999999999998</v>
      </c>
      <c r="E52" s="15">
        <f>ROUND(0.7608, 4)</f>
        <v>0.76080000000000003</v>
      </c>
      <c r="F52" s="8"/>
      <c r="G52" s="14" t="s">
        <v>67</v>
      </c>
      <c r="H52" s="27"/>
      <c r="I52" s="24"/>
      <c r="J52" s="24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5" t="s">
        <v>68</v>
      </c>
      <c r="B56" s="25"/>
      <c r="C56" s="14" t="s">
        <v>2</v>
      </c>
      <c r="D56" s="14" t="s">
        <v>112</v>
      </c>
      <c r="E56" s="14" t="s">
        <v>70</v>
      </c>
      <c r="F56" s="14" t="s">
        <v>71</v>
      </c>
      <c r="G56" s="14" t="s">
        <v>72</v>
      </c>
      <c r="H56" s="13"/>
      <c r="I56" s="17"/>
      <c r="J56" s="17"/>
    </row>
    <row r="57" spans="1:10" x14ac:dyDescent="0.25">
      <c r="A57" s="20" t="s">
        <v>73</v>
      </c>
      <c r="B57" s="20"/>
      <c r="C57" s="16">
        <v>82.74</v>
      </c>
      <c r="D57" s="16">
        <v>94.29</v>
      </c>
      <c r="E57" s="16">
        <v>91.13</v>
      </c>
      <c r="F57" s="16">
        <v>54.95</v>
      </c>
      <c r="G57" s="16">
        <f>12/10*C57</f>
        <v>99.287999999999997</v>
      </c>
      <c r="H57" s="8"/>
      <c r="I57" s="9"/>
      <c r="J57" s="9"/>
    </row>
    <row r="58" spans="1:10" x14ac:dyDescent="0.25">
      <c r="A58" s="20" t="s">
        <v>74</v>
      </c>
      <c r="B58" s="20"/>
      <c r="C58" s="16">
        <v>76.349999999999994</v>
      </c>
      <c r="D58" s="16">
        <v>93.16</v>
      </c>
      <c r="E58" s="16">
        <v>61.18</v>
      </c>
      <c r="F58" s="16">
        <v>62.89</v>
      </c>
      <c r="G58" s="16">
        <f>12/10*C58</f>
        <v>91.61999999999999</v>
      </c>
      <c r="H58" s="8"/>
      <c r="I58" s="9"/>
      <c r="J58" s="9"/>
    </row>
    <row r="59" spans="1:10" x14ac:dyDescent="0.25">
      <c r="A59" s="20" t="s">
        <v>75</v>
      </c>
      <c r="B59" s="20"/>
      <c r="C59" s="16">
        <v>242.28</v>
      </c>
      <c r="D59" s="16">
        <v>274.88</v>
      </c>
      <c r="E59" s="16">
        <v>287.25</v>
      </c>
      <c r="F59" s="16">
        <v>278.91000000000003</v>
      </c>
      <c r="G59" s="16">
        <f>12/10*C59</f>
        <v>290.73599999999999</v>
      </c>
      <c r="H59" s="8"/>
      <c r="I59" s="9"/>
      <c r="J59" s="9"/>
    </row>
    <row r="60" spans="1:10" x14ac:dyDescent="0.25">
      <c r="A60" s="20" t="s">
        <v>76</v>
      </c>
      <c r="B60" s="20"/>
      <c r="C60" s="16">
        <v>108.71</v>
      </c>
      <c r="D60" s="16">
        <v>120.38</v>
      </c>
      <c r="E60" s="16">
        <v>114.69</v>
      </c>
      <c r="F60" s="16">
        <v>78.319999999999993</v>
      </c>
      <c r="G60" s="16">
        <f>12/10*C60</f>
        <v>130.452</v>
      </c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1" t="s">
        <v>60</v>
      </c>
      <c r="B63" s="22"/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77</v>
      </c>
      <c r="B64" s="1" t="s">
        <v>113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70</v>
      </c>
      <c r="B65" s="1" t="s">
        <v>79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71</v>
      </c>
      <c r="B66" s="1" t="s">
        <v>80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72</v>
      </c>
      <c r="B67" s="1" t="s">
        <v>81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</sheetData>
  <mergeCells count="19">
    <mergeCell ref="C7:G7"/>
    <mergeCell ref="A36:B36"/>
    <mergeCell ref="A37:B37"/>
    <mergeCell ref="A42:B42"/>
    <mergeCell ref="A43:B43"/>
    <mergeCell ref="J51:J52"/>
    <mergeCell ref="A52:B52"/>
    <mergeCell ref="A56:B56"/>
    <mergeCell ref="A57:B57"/>
    <mergeCell ref="A44:B44"/>
    <mergeCell ref="A45:B45"/>
    <mergeCell ref="A50:B50"/>
    <mergeCell ref="A51:B51"/>
    <mergeCell ref="H51:H52"/>
    <mergeCell ref="A58:B58"/>
    <mergeCell ref="A59:B59"/>
    <mergeCell ref="A60:B60"/>
    <mergeCell ref="A63:B63"/>
    <mergeCell ref="I51:I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7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0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7869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138</v>
      </c>
      <c r="F9" s="10"/>
      <c r="G9" s="10">
        <f t="shared" ref="G9:G46" si="0">SUM(C9:F9)</f>
        <v>138</v>
      </c>
      <c r="H9" s="16">
        <f t="shared" ref="H9:H46" si="1">ROUND(G9/7869,2)</f>
        <v>0.02</v>
      </c>
      <c r="I9" s="15">
        <f t="shared" ref="I9:I46" si="2">ROUND(G9/$G$47,3)</f>
        <v>0</v>
      </c>
      <c r="J9" s="15">
        <f>ROUND(G9/115-1,2)</f>
        <v>0.2</v>
      </c>
    </row>
    <row r="10" spans="1:10" x14ac:dyDescent="0.25">
      <c r="A10" s="1" t="s">
        <v>16</v>
      </c>
      <c r="B10" s="1" t="s">
        <v>90</v>
      </c>
      <c r="C10" s="10"/>
      <c r="D10" s="10"/>
      <c r="E10" s="10"/>
      <c r="F10" s="10">
        <v>12060</v>
      </c>
      <c r="G10" s="10">
        <f t="shared" si="0"/>
        <v>12060</v>
      </c>
      <c r="H10" s="16">
        <f t="shared" si="1"/>
        <v>1.53</v>
      </c>
      <c r="I10" s="15">
        <f t="shared" si="2"/>
        <v>5.0000000000000001E-3</v>
      </c>
      <c r="J10" s="15">
        <f>ROUND(G10/20520-1,2)</f>
        <v>-0.41</v>
      </c>
    </row>
    <row r="11" spans="1:10" x14ac:dyDescent="0.25">
      <c r="A11" s="1" t="s">
        <v>16</v>
      </c>
      <c r="B11" s="1" t="s">
        <v>19</v>
      </c>
      <c r="C11" s="10">
        <v>202110</v>
      </c>
      <c r="D11" s="10"/>
      <c r="E11" s="10">
        <v>5830</v>
      </c>
      <c r="F11" s="10">
        <v>40</v>
      </c>
      <c r="G11" s="10">
        <f t="shared" si="0"/>
        <v>207980</v>
      </c>
      <c r="H11" s="16">
        <f t="shared" si="1"/>
        <v>26.43</v>
      </c>
      <c r="I11" s="15">
        <f t="shared" si="2"/>
        <v>8.7999999999999995E-2</v>
      </c>
      <c r="J11" s="15">
        <f>ROUND(G11/199080-1,2)</f>
        <v>0.04</v>
      </c>
    </row>
    <row r="12" spans="1:10" x14ac:dyDescent="0.25">
      <c r="A12" s="1" t="s">
        <v>16</v>
      </c>
      <c r="B12" s="1" t="s">
        <v>20</v>
      </c>
      <c r="C12" s="10">
        <v>226020</v>
      </c>
      <c r="D12" s="10"/>
      <c r="E12" s="10"/>
      <c r="F12" s="10"/>
      <c r="G12" s="10">
        <f t="shared" si="0"/>
        <v>226020</v>
      </c>
      <c r="H12" s="16">
        <f t="shared" si="1"/>
        <v>28.72</v>
      </c>
      <c r="I12" s="15">
        <f t="shared" si="2"/>
        <v>9.6000000000000002E-2</v>
      </c>
      <c r="J12" s="15">
        <f>ROUND(G12/218220-1,2)</f>
        <v>0.04</v>
      </c>
    </row>
    <row r="13" spans="1:10" x14ac:dyDescent="0.25">
      <c r="A13" s="1" t="s">
        <v>16</v>
      </c>
      <c r="B13" s="1" t="s">
        <v>95</v>
      </c>
      <c r="C13" s="10"/>
      <c r="D13" s="10"/>
      <c r="E13" s="10">
        <v>25</v>
      </c>
      <c r="F13" s="10"/>
      <c r="G13" s="10">
        <f t="shared" si="0"/>
        <v>25</v>
      </c>
      <c r="H13" s="16">
        <f t="shared" si="1"/>
        <v>0</v>
      </c>
      <c r="I13" s="15">
        <f t="shared" si="2"/>
        <v>0</v>
      </c>
      <c r="J13" s="15">
        <f>ROUND(G13/57-1,2)</f>
        <v>-0.56000000000000005</v>
      </c>
    </row>
    <row r="14" spans="1:10" x14ac:dyDescent="0.25">
      <c r="A14" s="1" t="s">
        <v>16</v>
      </c>
      <c r="B14" s="1" t="s">
        <v>21</v>
      </c>
      <c r="C14" s="10"/>
      <c r="D14" s="10"/>
      <c r="E14" s="10">
        <v>342</v>
      </c>
      <c r="F14" s="10"/>
      <c r="G14" s="10">
        <f t="shared" si="0"/>
        <v>342</v>
      </c>
      <c r="H14" s="16">
        <f t="shared" si="1"/>
        <v>0.04</v>
      </c>
      <c r="I14" s="15">
        <f t="shared" si="2"/>
        <v>0</v>
      </c>
      <c r="J14" s="15">
        <f>ROUND(G14/330-1,2)</f>
        <v>0.04</v>
      </c>
    </row>
    <row r="15" spans="1:10" x14ac:dyDescent="0.25">
      <c r="A15" s="1" t="s">
        <v>16</v>
      </c>
      <c r="B15" s="1" t="s">
        <v>22</v>
      </c>
      <c r="C15" s="10"/>
      <c r="D15" s="10"/>
      <c r="E15" s="10">
        <v>1700</v>
      </c>
      <c r="F15" s="10"/>
      <c r="G15" s="10">
        <f t="shared" si="0"/>
        <v>1700</v>
      </c>
      <c r="H15" s="16">
        <f t="shared" si="1"/>
        <v>0.22</v>
      </c>
      <c r="I15" s="15">
        <f t="shared" si="2"/>
        <v>1E-3</v>
      </c>
      <c r="J15" s="15">
        <f>ROUND(G15/3000-1,2)</f>
        <v>-0.43</v>
      </c>
    </row>
    <row r="16" spans="1:10" x14ac:dyDescent="0.25">
      <c r="A16" s="1" t="s">
        <v>16</v>
      </c>
      <c r="B16" s="1" t="s">
        <v>23</v>
      </c>
      <c r="C16" s="10"/>
      <c r="D16" s="10"/>
      <c r="E16" s="10">
        <v>100580</v>
      </c>
      <c r="F16" s="10"/>
      <c r="G16" s="10">
        <f t="shared" si="0"/>
        <v>100580</v>
      </c>
      <c r="H16" s="16">
        <f t="shared" si="1"/>
        <v>12.78</v>
      </c>
      <c r="I16" s="15">
        <f t="shared" si="2"/>
        <v>4.2999999999999997E-2</v>
      </c>
      <c r="J16" s="15">
        <f>ROUND(G16/77080-1,2)</f>
        <v>0.3</v>
      </c>
    </row>
    <row r="17" spans="1:10" x14ac:dyDescent="0.25">
      <c r="A17" s="1" t="s">
        <v>16</v>
      </c>
      <c r="B17" s="1" t="s">
        <v>24</v>
      </c>
      <c r="C17" s="10">
        <v>303550</v>
      </c>
      <c r="D17" s="10"/>
      <c r="E17" s="10">
        <v>27020</v>
      </c>
      <c r="F17" s="10">
        <v>250</v>
      </c>
      <c r="G17" s="10">
        <f t="shared" si="0"/>
        <v>330820</v>
      </c>
      <c r="H17" s="16">
        <f t="shared" si="1"/>
        <v>42.04</v>
      </c>
      <c r="I17" s="15">
        <f t="shared" si="2"/>
        <v>0.14000000000000001</v>
      </c>
      <c r="J17" s="15">
        <f>ROUND(G17/325500-1,2)</f>
        <v>0.02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7655</v>
      </c>
      <c r="F18" s="10"/>
      <c r="G18" s="10">
        <f t="shared" si="0"/>
        <v>7655</v>
      </c>
      <c r="H18" s="16">
        <f t="shared" si="1"/>
        <v>0.97</v>
      </c>
      <c r="I18" s="15">
        <f t="shared" si="2"/>
        <v>3.0000000000000001E-3</v>
      </c>
      <c r="J18" s="15">
        <f>ROUND(G18/6020-1,2)</f>
        <v>0.27</v>
      </c>
    </row>
    <row r="19" spans="1:10" x14ac:dyDescent="0.25">
      <c r="A19" s="1" t="s">
        <v>16</v>
      </c>
      <c r="B19" s="1" t="s">
        <v>26</v>
      </c>
      <c r="C19" s="10">
        <v>425240</v>
      </c>
      <c r="D19" s="10"/>
      <c r="E19" s="10"/>
      <c r="F19" s="10">
        <v>50</v>
      </c>
      <c r="G19" s="10">
        <f t="shared" si="0"/>
        <v>425290</v>
      </c>
      <c r="H19" s="16">
        <f t="shared" si="1"/>
        <v>54.05</v>
      </c>
      <c r="I19" s="15">
        <f t="shared" si="2"/>
        <v>0.18</v>
      </c>
      <c r="J19" s="15">
        <f>ROUND(G19/429920-1,2)</f>
        <v>-0.01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2295</v>
      </c>
      <c r="F20" s="10"/>
      <c r="G20" s="10">
        <f t="shared" si="0"/>
        <v>2295</v>
      </c>
      <c r="H20" s="16">
        <f t="shared" si="1"/>
        <v>0.28999999999999998</v>
      </c>
      <c r="I20" s="15">
        <f t="shared" si="2"/>
        <v>1E-3</v>
      </c>
      <c r="J20" s="15">
        <f>ROUND(G20/2242-1,2)</f>
        <v>0.02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1848</v>
      </c>
      <c r="F21" s="10"/>
      <c r="G21" s="10">
        <f t="shared" si="0"/>
        <v>1848</v>
      </c>
      <c r="H21" s="16">
        <f t="shared" si="1"/>
        <v>0.23</v>
      </c>
      <c r="I21" s="15">
        <f t="shared" si="2"/>
        <v>1E-3</v>
      </c>
      <c r="J21" s="15">
        <f>ROUND(G21/1944-1,2)</f>
        <v>-0.05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2910</v>
      </c>
      <c r="F22" s="10"/>
      <c r="G22" s="10">
        <f t="shared" si="0"/>
        <v>2910</v>
      </c>
      <c r="H22" s="16">
        <f t="shared" si="1"/>
        <v>0.37</v>
      </c>
      <c r="I22" s="15">
        <f t="shared" si="2"/>
        <v>1E-3</v>
      </c>
      <c r="J22" s="15">
        <f>ROUND(G22/6000-1,2)</f>
        <v>-0.52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2180</v>
      </c>
      <c r="F23" s="10"/>
      <c r="G23" s="10">
        <f t="shared" si="0"/>
        <v>2180</v>
      </c>
      <c r="H23" s="16">
        <f t="shared" si="1"/>
        <v>0.28000000000000003</v>
      </c>
      <c r="I23" s="15">
        <f t="shared" si="2"/>
        <v>1E-3</v>
      </c>
      <c r="J23" s="15">
        <f>ROUND(G23/2150-1,2)</f>
        <v>0.01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1000</v>
      </c>
      <c r="F24" s="10"/>
      <c r="G24" s="10">
        <f t="shared" si="0"/>
        <v>1000</v>
      </c>
      <c r="H24" s="16">
        <f t="shared" si="1"/>
        <v>0.13</v>
      </c>
      <c r="I24" s="15">
        <f t="shared" si="2"/>
        <v>0</v>
      </c>
      <c r="J24" s="15">
        <f>ROUND(G24/720-1,2)</f>
        <v>0.39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1694</v>
      </c>
      <c r="F25" s="10"/>
      <c r="G25" s="10">
        <f t="shared" si="0"/>
        <v>1694</v>
      </c>
      <c r="H25" s="16">
        <f t="shared" si="1"/>
        <v>0.22</v>
      </c>
      <c r="I25" s="15">
        <f t="shared" si="2"/>
        <v>1E-3</v>
      </c>
      <c r="J25" s="15">
        <f>ROUND(G25/1995-1,2)</f>
        <v>-0.15</v>
      </c>
    </row>
    <row r="26" spans="1:10" x14ac:dyDescent="0.25">
      <c r="A26" s="1" t="s">
        <v>16</v>
      </c>
      <c r="B26" s="1" t="s">
        <v>33</v>
      </c>
      <c r="C26" s="10"/>
      <c r="D26" s="10">
        <v>432</v>
      </c>
      <c r="E26" s="10">
        <v>149</v>
      </c>
      <c r="F26" s="10"/>
      <c r="G26" s="10">
        <f t="shared" si="0"/>
        <v>581</v>
      </c>
      <c r="H26" s="16">
        <f t="shared" si="1"/>
        <v>7.0000000000000007E-2</v>
      </c>
      <c r="I26" s="15">
        <f t="shared" si="2"/>
        <v>0</v>
      </c>
      <c r="J26" s="15">
        <f>ROUND(G26/693-1,2)</f>
        <v>-0.16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860</v>
      </c>
      <c r="F27" s="10"/>
      <c r="G27" s="10">
        <f t="shared" si="0"/>
        <v>860</v>
      </c>
      <c r="H27" s="16">
        <f t="shared" si="1"/>
        <v>0.11</v>
      </c>
      <c r="I27" s="15">
        <f t="shared" si="2"/>
        <v>0</v>
      </c>
      <c r="J27" s="15">
        <f>ROUND(G27/1045-1,2)</f>
        <v>-0.18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270</v>
      </c>
      <c r="F28" s="10"/>
      <c r="G28" s="10">
        <f t="shared" si="0"/>
        <v>270</v>
      </c>
      <c r="H28" s="16">
        <f t="shared" si="1"/>
        <v>0.03</v>
      </c>
      <c r="I28" s="15">
        <f t="shared" si="2"/>
        <v>0</v>
      </c>
      <c r="J28" s="15">
        <f>ROUND(G28/670-1,2)</f>
        <v>-0.6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1650</v>
      </c>
      <c r="F29" s="10"/>
      <c r="G29" s="10">
        <f t="shared" si="0"/>
        <v>1650</v>
      </c>
      <c r="H29" s="16">
        <f t="shared" si="1"/>
        <v>0.21</v>
      </c>
      <c r="I29" s="15">
        <f t="shared" si="2"/>
        <v>1E-3</v>
      </c>
      <c r="J29" s="15">
        <f>ROUND(G29/4730-1,2)</f>
        <v>-0.65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8270</v>
      </c>
      <c r="F30" s="10"/>
      <c r="G30" s="10">
        <f t="shared" si="0"/>
        <v>8270</v>
      </c>
      <c r="H30" s="16">
        <f t="shared" si="1"/>
        <v>1.05</v>
      </c>
      <c r="I30" s="15">
        <f t="shared" si="2"/>
        <v>4.0000000000000001E-3</v>
      </c>
      <c r="J30" s="15">
        <f>ROUND(G30/6490-1,2)</f>
        <v>0.27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7779</v>
      </c>
      <c r="F31" s="10"/>
      <c r="G31" s="10">
        <f t="shared" si="0"/>
        <v>7779</v>
      </c>
      <c r="H31" s="16">
        <f t="shared" si="1"/>
        <v>0.99</v>
      </c>
      <c r="I31" s="15">
        <f t="shared" si="2"/>
        <v>3.0000000000000001E-3</v>
      </c>
      <c r="J31" s="15">
        <f>ROUND(G31/19002-1,2)</f>
        <v>-0.59</v>
      </c>
    </row>
    <row r="32" spans="1:10" x14ac:dyDescent="0.25">
      <c r="A32" s="1" t="s">
        <v>16</v>
      </c>
      <c r="B32" s="1" t="s">
        <v>38</v>
      </c>
      <c r="C32" s="10"/>
      <c r="D32" s="10"/>
      <c r="E32" s="10">
        <v>133700</v>
      </c>
      <c r="F32" s="10"/>
      <c r="G32" s="10">
        <f t="shared" si="0"/>
        <v>133700</v>
      </c>
      <c r="H32" s="16">
        <f t="shared" si="1"/>
        <v>16.989999999999998</v>
      </c>
      <c r="I32" s="15">
        <f t="shared" si="2"/>
        <v>5.7000000000000002E-2</v>
      </c>
      <c r="J32" s="15">
        <f>ROUND(G32/117100-1,2)</f>
        <v>0.14000000000000001</v>
      </c>
    </row>
    <row r="33" spans="1:10" x14ac:dyDescent="0.25">
      <c r="A33" s="1" t="s">
        <v>16</v>
      </c>
      <c r="B33" s="1" t="s">
        <v>39</v>
      </c>
      <c r="C33" s="10"/>
      <c r="D33" s="10"/>
      <c r="E33" s="10">
        <v>6910</v>
      </c>
      <c r="F33" s="10"/>
      <c r="G33" s="10">
        <f t="shared" si="0"/>
        <v>6910</v>
      </c>
      <c r="H33" s="16">
        <f t="shared" si="1"/>
        <v>0.88</v>
      </c>
      <c r="I33" s="15">
        <f t="shared" si="2"/>
        <v>3.0000000000000001E-3</v>
      </c>
      <c r="J33" s="15">
        <f>ROUND(G33/8925-1,2)</f>
        <v>-0.23</v>
      </c>
    </row>
    <row r="34" spans="1:10" x14ac:dyDescent="0.25">
      <c r="A34" s="1" t="s">
        <v>16</v>
      </c>
      <c r="B34" s="1" t="s">
        <v>40</v>
      </c>
      <c r="C34" s="10"/>
      <c r="D34" s="10"/>
      <c r="E34" s="10">
        <v>27100</v>
      </c>
      <c r="F34" s="10"/>
      <c r="G34" s="10">
        <f t="shared" si="0"/>
        <v>27100</v>
      </c>
      <c r="H34" s="16">
        <f t="shared" si="1"/>
        <v>3.44</v>
      </c>
      <c r="I34" s="15">
        <f t="shared" si="2"/>
        <v>1.0999999999999999E-2</v>
      </c>
      <c r="J34" s="15">
        <f>ROUND(G34/29750-1,2)</f>
        <v>-0.09</v>
      </c>
    </row>
    <row r="35" spans="1:10" x14ac:dyDescent="0.25">
      <c r="A35" s="1" t="s">
        <v>16</v>
      </c>
      <c r="B35" s="1" t="s">
        <v>41</v>
      </c>
      <c r="C35" s="10"/>
      <c r="D35" s="10"/>
      <c r="E35" s="10">
        <v>368810</v>
      </c>
      <c r="F35" s="10">
        <v>1540</v>
      </c>
      <c r="G35" s="10">
        <f t="shared" si="0"/>
        <v>370350</v>
      </c>
      <c r="H35" s="16">
        <f t="shared" si="1"/>
        <v>47.06</v>
      </c>
      <c r="I35" s="15">
        <f t="shared" si="2"/>
        <v>0.157</v>
      </c>
      <c r="J35" s="15">
        <f>ROUND(G35/329310-1,2)</f>
        <v>0.12</v>
      </c>
    </row>
    <row r="36" spans="1:10" x14ac:dyDescent="0.25">
      <c r="A36" s="1" t="s">
        <v>16</v>
      </c>
      <c r="B36" s="1" t="s">
        <v>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ROUND(G36/160-1,2)</f>
        <v>-1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ROUND(G37/271-1,2)</f>
        <v>-1</v>
      </c>
    </row>
    <row r="38" spans="1:10" x14ac:dyDescent="0.25">
      <c r="A38" s="1" t="s">
        <v>16</v>
      </c>
      <c r="B38" s="1" t="s">
        <v>115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116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44</v>
      </c>
      <c r="B40" s="1" t="s">
        <v>45</v>
      </c>
      <c r="C40" s="10">
        <v>343410</v>
      </c>
      <c r="D40" s="10"/>
      <c r="E40" s="10"/>
      <c r="F40" s="10">
        <v>50</v>
      </c>
      <c r="G40" s="10">
        <f t="shared" si="0"/>
        <v>343460</v>
      </c>
      <c r="H40" s="16">
        <f t="shared" si="1"/>
        <v>43.65</v>
      </c>
      <c r="I40" s="15">
        <f t="shared" si="2"/>
        <v>0.14499999999999999</v>
      </c>
      <c r="J40" s="15">
        <f>ROUND(G40/324400-1,2)</f>
        <v>0.06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>
        <v>45570</v>
      </c>
      <c r="G41" s="10">
        <f t="shared" si="0"/>
        <v>45570</v>
      </c>
      <c r="H41" s="16">
        <f t="shared" si="1"/>
        <v>5.79</v>
      </c>
      <c r="I41" s="15">
        <f t="shared" si="2"/>
        <v>1.9E-2</v>
      </c>
      <c r="J41" s="15">
        <f>ROUND(G41/69705-1,2)</f>
        <v>-0.35</v>
      </c>
    </row>
    <row r="42" spans="1:10" x14ac:dyDescent="0.25">
      <c r="A42" s="1" t="s">
        <v>44</v>
      </c>
      <c r="B42" s="1" t="s">
        <v>46</v>
      </c>
      <c r="C42" s="10"/>
      <c r="D42" s="10"/>
      <c r="E42" s="10">
        <v>89840</v>
      </c>
      <c r="F42" s="10"/>
      <c r="G42" s="10">
        <f t="shared" si="0"/>
        <v>89840</v>
      </c>
      <c r="H42" s="16">
        <f t="shared" si="1"/>
        <v>11.42</v>
      </c>
      <c r="I42" s="15">
        <f t="shared" si="2"/>
        <v>3.7999999999999999E-2</v>
      </c>
      <c r="J42" s="15">
        <f>ROUND(G42/75440-1,2)</f>
        <v>0.19</v>
      </c>
    </row>
    <row r="43" spans="1:10" x14ac:dyDescent="0.25">
      <c r="A43" s="1" t="s">
        <v>48</v>
      </c>
      <c r="B43" s="1" t="s">
        <v>51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ROUND(G43/29-1,2)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ROUND(G45/1130-1,2)</f>
        <v>-1</v>
      </c>
    </row>
    <row r="46" spans="1:10" x14ac:dyDescent="0.25">
      <c r="A46" s="1" t="s">
        <v>48</v>
      </c>
      <c r="B46" s="1" t="s">
        <v>49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ROUND(G46/20-1,2)</f>
        <v>-1</v>
      </c>
    </row>
    <row r="47" spans="1:10" x14ac:dyDescent="0.25">
      <c r="A47" s="25" t="s">
        <v>12</v>
      </c>
      <c r="B47" s="25"/>
      <c r="C47" s="11">
        <f t="shared" ref="C47:H47" si="3">SUM(C8:C46)</f>
        <v>1500330</v>
      </c>
      <c r="D47" s="11">
        <f t="shared" si="3"/>
        <v>432</v>
      </c>
      <c r="E47" s="11">
        <f t="shared" si="3"/>
        <v>800555</v>
      </c>
      <c r="F47" s="11">
        <f t="shared" si="3"/>
        <v>59560</v>
      </c>
      <c r="G47" s="11">
        <f t="shared" si="3"/>
        <v>2360877</v>
      </c>
      <c r="H47" s="14">
        <f t="shared" si="3"/>
        <v>300.01000000000005</v>
      </c>
      <c r="I47" s="17"/>
      <c r="J47" s="17"/>
    </row>
    <row r="48" spans="1:10" x14ac:dyDescent="0.25">
      <c r="A48" s="25" t="s">
        <v>14</v>
      </c>
      <c r="B48" s="25"/>
      <c r="C48" s="12">
        <f>ROUND(C47/G47,2)</f>
        <v>0.64</v>
      </c>
      <c r="D48" s="12">
        <f>ROUND(D47/G47,2)</f>
        <v>0</v>
      </c>
      <c r="E48" s="12">
        <f>ROUND(E47/G47,2)</f>
        <v>0.34</v>
      </c>
      <c r="F48" s="12">
        <f>ROUND(F47/G47,2)</f>
        <v>0.03</v>
      </c>
      <c r="G48" s="13"/>
      <c r="H48" s="13"/>
      <c r="I48" s="17"/>
      <c r="J48" s="17"/>
    </row>
    <row r="49" spans="1:10" x14ac:dyDescent="0.25">
      <c r="A49" s="2" t="s">
        <v>52</v>
      </c>
      <c r="B49" s="2"/>
      <c r="C49" s="13"/>
      <c r="D49" s="13"/>
      <c r="E49" s="13"/>
      <c r="F49" s="13"/>
      <c r="G49" s="13"/>
      <c r="H49" s="13"/>
      <c r="I49" s="17"/>
      <c r="J49" s="17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53</v>
      </c>
      <c r="B53" s="25"/>
      <c r="C53" s="11" t="s">
        <v>8</v>
      </c>
      <c r="D53" s="11" t="s">
        <v>9</v>
      </c>
      <c r="E53" s="11" t="s">
        <v>10</v>
      </c>
      <c r="F53" s="11" t="s">
        <v>11</v>
      </c>
      <c r="G53" s="11" t="s">
        <v>12</v>
      </c>
      <c r="H53" s="14" t="s">
        <v>13</v>
      </c>
      <c r="I53" s="17"/>
      <c r="J53" s="17"/>
    </row>
    <row r="54" spans="1:10" x14ac:dyDescent="0.25">
      <c r="A54" s="20" t="s">
        <v>54</v>
      </c>
      <c r="B54" s="20"/>
      <c r="C54" s="10">
        <v>1156920</v>
      </c>
      <c r="D54" s="10">
        <v>432</v>
      </c>
      <c r="E54" s="10">
        <v>710715</v>
      </c>
      <c r="F54" s="10">
        <v>13940</v>
      </c>
      <c r="G54" s="10">
        <f>SUM(C54:F54)</f>
        <v>1882007</v>
      </c>
      <c r="H54" s="16">
        <f>ROUND(G54/7869,2)</f>
        <v>239.17</v>
      </c>
      <c r="I54" s="9"/>
      <c r="J54" s="9"/>
    </row>
    <row r="55" spans="1:10" x14ac:dyDescent="0.25">
      <c r="A55" s="20" t="s">
        <v>55</v>
      </c>
      <c r="B55" s="20"/>
      <c r="C55" s="10">
        <v>343410</v>
      </c>
      <c r="D55" s="10">
        <v>0</v>
      </c>
      <c r="E55" s="10">
        <v>89840</v>
      </c>
      <c r="F55" s="10">
        <v>45620</v>
      </c>
      <c r="G55" s="10">
        <f>SUM(C55:F55)</f>
        <v>478870</v>
      </c>
      <c r="H55" s="16">
        <f>ROUND(G55/7869,2)</f>
        <v>60.86</v>
      </c>
      <c r="I55" s="9"/>
      <c r="J55" s="9"/>
    </row>
    <row r="56" spans="1:10" x14ac:dyDescent="0.25">
      <c r="A56" s="20" t="s">
        <v>56</v>
      </c>
      <c r="B56" s="20"/>
      <c r="C56" s="10">
        <v>0</v>
      </c>
      <c r="D56" s="10">
        <v>0</v>
      </c>
      <c r="E56" s="10">
        <v>0</v>
      </c>
      <c r="F56" s="10">
        <v>0</v>
      </c>
      <c r="G56" s="10">
        <f>SUM(C56:F56)</f>
        <v>0</v>
      </c>
      <c r="H56" s="16">
        <f>ROUND(G56/7869,2)</f>
        <v>0</v>
      </c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5" t="s">
        <v>57</v>
      </c>
      <c r="B61" s="25"/>
      <c r="C61" s="14" t="s">
        <v>2</v>
      </c>
      <c r="D61" s="14">
        <v>2023</v>
      </c>
      <c r="E61" s="14" t="s">
        <v>59</v>
      </c>
      <c r="F61" s="13"/>
      <c r="G61" s="14" t="s">
        <v>60</v>
      </c>
      <c r="H61" s="14" t="s">
        <v>2</v>
      </c>
      <c r="I61" s="12" t="s">
        <v>61</v>
      </c>
      <c r="J61" s="12" t="s">
        <v>59</v>
      </c>
    </row>
    <row r="62" spans="1:10" x14ac:dyDescent="0.25">
      <c r="A62" s="20" t="s">
        <v>58</v>
      </c>
      <c r="B62" s="20"/>
      <c r="C62" s="15">
        <f>ROUND(0.8425, 4)</f>
        <v>0.84250000000000003</v>
      </c>
      <c r="D62" s="15">
        <f>ROUND(0.8445, 4)</f>
        <v>0.84450000000000003</v>
      </c>
      <c r="E62" s="15">
        <f>ROUND(0.777, 4)</f>
        <v>0.77700000000000002</v>
      </c>
      <c r="F62" s="8"/>
      <c r="G62" s="14" t="s">
        <v>62</v>
      </c>
      <c r="H62" s="26" t="s">
        <v>63</v>
      </c>
      <c r="I62" s="23" t="s">
        <v>64</v>
      </c>
      <c r="J62" s="23" t="s">
        <v>65</v>
      </c>
    </row>
    <row r="63" spans="1:10" x14ac:dyDescent="0.25">
      <c r="A63" s="20" t="s">
        <v>66</v>
      </c>
      <c r="B63" s="20"/>
      <c r="C63" s="15">
        <f>ROUND(0.8306, 4)</f>
        <v>0.8306</v>
      </c>
      <c r="D63" s="15">
        <f>ROUND(0.8321, 4)</f>
        <v>0.83209999999999995</v>
      </c>
      <c r="E63" s="15">
        <f>ROUND(0.7608, 4)</f>
        <v>0.76080000000000003</v>
      </c>
      <c r="F63" s="8"/>
      <c r="G63" s="14" t="s">
        <v>67</v>
      </c>
      <c r="H63" s="27"/>
      <c r="I63" s="24"/>
      <c r="J63" s="24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5" t="s">
        <v>68</v>
      </c>
      <c r="B67" s="25"/>
      <c r="C67" s="14" t="s">
        <v>2</v>
      </c>
      <c r="D67" s="14" t="s">
        <v>117</v>
      </c>
      <c r="E67" s="14" t="s">
        <v>70</v>
      </c>
      <c r="F67" s="14" t="s">
        <v>71</v>
      </c>
      <c r="G67" s="14" t="s">
        <v>72</v>
      </c>
      <c r="H67" s="13"/>
      <c r="I67" s="17"/>
      <c r="J67" s="17"/>
    </row>
    <row r="68" spans="1:10" x14ac:dyDescent="0.25">
      <c r="A68" s="20" t="s">
        <v>73</v>
      </c>
      <c r="B68" s="20"/>
      <c r="C68" s="16">
        <v>43.65</v>
      </c>
      <c r="D68" s="16">
        <v>48.26</v>
      </c>
      <c r="E68" s="16">
        <v>91.13</v>
      </c>
      <c r="F68" s="16">
        <v>54.95</v>
      </c>
      <c r="G68" s="16">
        <f>12/10*C68</f>
        <v>52.379999999999995</v>
      </c>
      <c r="H68" s="8"/>
      <c r="I68" s="9"/>
      <c r="J68" s="9"/>
    </row>
    <row r="69" spans="1:10" x14ac:dyDescent="0.25">
      <c r="A69" s="20" t="s">
        <v>74</v>
      </c>
      <c r="B69" s="20"/>
      <c r="C69" s="16">
        <v>54.05</v>
      </c>
      <c r="D69" s="16">
        <v>64.45</v>
      </c>
      <c r="E69" s="16">
        <v>61.18</v>
      </c>
      <c r="F69" s="16">
        <v>62.89</v>
      </c>
      <c r="G69" s="16">
        <f>12/10*C69</f>
        <v>64.86</v>
      </c>
      <c r="H69" s="8"/>
      <c r="I69" s="9"/>
      <c r="J69" s="9"/>
    </row>
    <row r="70" spans="1:10" x14ac:dyDescent="0.25">
      <c r="A70" s="20" t="s">
        <v>75</v>
      </c>
      <c r="B70" s="20"/>
      <c r="C70" s="16">
        <v>239.17</v>
      </c>
      <c r="D70" s="16">
        <v>253.4</v>
      </c>
      <c r="E70" s="16">
        <v>287.25</v>
      </c>
      <c r="F70" s="16">
        <v>278.91000000000003</v>
      </c>
      <c r="G70" s="16">
        <f>12/10*C70</f>
        <v>287.00399999999996</v>
      </c>
      <c r="H70" s="8"/>
      <c r="I70" s="9"/>
      <c r="J70" s="9"/>
    </row>
    <row r="71" spans="1:10" x14ac:dyDescent="0.25">
      <c r="A71" s="20" t="s">
        <v>76</v>
      </c>
      <c r="B71" s="20"/>
      <c r="C71" s="16">
        <v>60.86</v>
      </c>
      <c r="D71" s="16">
        <v>66.83</v>
      </c>
      <c r="E71" s="16">
        <v>114.69</v>
      </c>
      <c r="F71" s="16">
        <v>78.319999999999993</v>
      </c>
      <c r="G71" s="16">
        <f>12/10*C71</f>
        <v>73.031999999999996</v>
      </c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4" spans="1:10" x14ac:dyDescent="0.25">
      <c r="A74" s="21" t="s">
        <v>60</v>
      </c>
      <c r="B74" s="22"/>
    </row>
    <row r="75" spans="1:10" x14ac:dyDescent="0.25">
      <c r="A75" s="3" t="s">
        <v>77</v>
      </c>
      <c r="B75" s="1" t="s">
        <v>118</v>
      </c>
    </row>
    <row r="76" spans="1:10" x14ac:dyDescent="0.25">
      <c r="A76" s="3" t="s">
        <v>70</v>
      </c>
      <c r="B76" s="1" t="s">
        <v>79</v>
      </c>
    </row>
    <row r="77" spans="1:10" x14ac:dyDescent="0.25">
      <c r="A77" s="3" t="s">
        <v>71</v>
      </c>
      <c r="B77" s="1" t="s">
        <v>80</v>
      </c>
    </row>
    <row r="78" spans="1:10" x14ac:dyDescent="0.25">
      <c r="A78" s="3" t="s">
        <v>72</v>
      </c>
      <c r="B78" s="1" t="s">
        <v>81</v>
      </c>
    </row>
  </sheetData>
  <mergeCells count="19">
    <mergeCell ref="C7:G7"/>
    <mergeCell ref="A47:B47"/>
    <mergeCell ref="A48:B48"/>
    <mergeCell ref="A53:B53"/>
    <mergeCell ref="A54:B54"/>
    <mergeCell ref="J62:J63"/>
    <mergeCell ref="A63:B63"/>
    <mergeCell ref="A67:B67"/>
    <mergeCell ref="A68:B68"/>
    <mergeCell ref="A55:B55"/>
    <mergeCell ref="A56:B56"/>
    <mergeCell ref="A61:B61"/>
    <mergeCell ref="A62:B62"/>
    <mergeCell ref="H62:H63"/>
    <mergeCell ref="A69:B69"/>
    <mergeCell ref="A70:B70"/>
    <mergeCell ref="A71:B71"/>
    <mergeCell ref="A74:B74"/>
    <mergeCell ref="I62:I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1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955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32</v>
      </c>
      <c r="F9" s="10"/>
      <c r="G9" s="10">
        <f t="shared" ref="G9:G40" si="0">SUM(C9:F9)</f>
        <v>32</v>
      </c>
      <c r="H9" s="16">
        <f t="shared" ref="H9:H40" si="1">ROUND(G9/955,2)</f>
        <v>0.03</v>
      </c>
      <c r="I9" s="15">
        <f t="shared" ref="I9:I40" si="2">ROUND(G9/$G$41,3)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3429</v>
      </c>
      <c r="F10" s="10"/>
      <c r="G10" s="10">
        <f t="shared" si="0"/>
        <v>3429</v>
      </c>
      <c r="H10" s="16">
        <f t="shared" si="1"/>
        <v>3.59</v>
      </c>
      <c r="I10" s="15">
        <f t="shared" si="2"/>
        <v>0.01</v>
      </c>
      <c r="J10" s="15"/>
    </row>
    <row r="11" spans="1:10" x14ac:dyDescent="0.25">
      <c r="A11" s="1" t="s">
        <v>16</v>
      </c>
      <c r="B11" s="1" t="s">
        <v>19</v>
      </c>
      <c r="C11" s="10">
        <v>27780</v>
      </c>
      <c r="D11" s="10"/>
      <c r="E11" s="10">
        <v>5941</v>
      </c>
      <c r="F11" s="10"/>
      <c r="G11" s="10">
        <f t="shared" si="0"/>
        <v>33721</v>
      </c>
      <c r="H11" s="16">
        <f t="shared" si="1"/>
        <v>35.31</v>
      </c>
      <c r="I11" s="15">
        <f t="shared" si="2"/>
        <v>9.8000000000000004E-2</v>
      </c>
      <c r="J11" s="15">
        <f>ROUND(G11/28626.85-1,2)</f>
        <v>0.18</v>
      </c>
    </row>
    <row r="12" spans="1:10" x14ac:dyDescent="0.25">
      <c r="A12" s="1" t="s">
        <v>16</v>
      </c>
      <c r="B12" s="1" t="s">
        <v>20</v>
      </c>
      <c r="C12" s="10">
        <v>35215</v>
      </c>
      <c r="D12" s="10"/>
      <c r="E12" s="10"/>
      <c r="F12" s="10"/>
      <c r="G12" s="10">
        <f t="shared" si="0"/>
        <v>35215</v>
      </c>
      <c r="H12" s="16">
        <f t="shared" si="1"/>
        <v>36.869999999999997</v>
      </c>
      <c r="I12" s="15">
        <f t="shared" si="2"/>
        <v>0.10199999999999999</v>
      </c>
      <c r="J12" s="15">
        <f>ROUND(G12/42566.11-1,2)</f>
        <v>-0.17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93</v>
      </c>
      <c r="F13" s="10"/>
      <c r="G13" s="10">
        <f t="shared" si="0"/>
        <v>93</v>
      </c>
      <c r="H13" s="16">
        <f t="shared" si="1"/>
        <v>0.1</v>
      </c>
      <c r="I13" s="15">
        <f t="shared" si="2"/>
        <v>0</v>
      </c>
      <c r="J13" s="15">
        <f>ROUND(G13/10.38-1,2)</f>
        <v>7.96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584</v>
      </c>
      <c r="F14" s="10"/>
      <c r="G14" s="10">
        <f t="shared" si="0"/>
        <v>584</v>
      </c>
      <c r="H14" s="16">
        <f t="shared" si="1"/>
        <v>0.61</v>
      </c>
      <c r="I14" s="15">
        <f t="shared" si="2"/>
        <v>2E-3</v>
      </c>
      <c r="J14" s="15">
        <f>ROUND(G14/156.25-1,2)</f>
        <v>2.74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26091</v>
      </c>
      <c r="F15" s="10"/>
      <c r="G15" s="10">
        <f t="shared" si="0"/>
        <v>26091</v>
      </c>
      <c r="H15" s="16">
        <f t="shared" si="1"/>
        <v>27.32</v>
      </c>
      <c r="I15" s="15">
        <f t="shared" si="2"/>
        <v>7.5999999999999998E-2</v>
      </c>
      <c r="J15" s="15">
        <f>ROUND(G15/14471.28-1,2)</f>
        <v>0.8</v>
      </c>
    </row>
    <row r="16" spans="1:10" x14ac:dyDescent="0.25">
      <c r="A16" s="1" t="s">
        <v>16</v>
      </c>
      <c r="B16" s="1" t="s">
        <v>24</v>
      </c>
      <c r="C16" s="10">
        <v>30910</v>
      </c>
      <c r="D16" s="10"/>
      <c r="E16" s="10">
        <v>14186</v>
      </c>
      <c r="F16" s="10"/>
      <c r="G16" s="10">
        <f t="shared" si="0"/>
        <v>45096</v>
      </c>
      <c r="H16" s="16">
        <f t="shared" si="1"/>
        <v>47.22</v>
      </c>
      <c r="I16" s="15">
        <f t="shared" si="2"/>
        <v>0.13100000000000001</v>
      </c>
      <c r="J16" s="15">
        <f>ROUND(G16/36548.82-1,2)</f>
        <v>0.23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1648</v>
      </c>
      <c r="F17" s="10"/>
      <c r="G17" s="10">
        <f t="shared" si="0"/>
        <v>1648</v>
      </c>
      <c r="H17" s="16">
        <f t="shared" si="1"/>
        <v>1.73</v>
      </c>
      <c r="I17" s="15">
        <f t="shared" si="2"/>
        <v>5.0000000000000001E-3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39630</v>
      </c>
      <c r="D18" s="10"/>
      <c r="E18" s="10"/>
      <c r="F18" s="10"/>
      <c r="G18" s="10">
        <f t="shared" si="0"/>
        <v>39630</v>
      </c>
      <c r="H18" s="16">
        <f t="shared" si="1"/>
        <v>41.5</v>
      </c>
      <c r="I18" s="15">
        <f t="shared" si="2"/>
        <v>0.115</v>
      </c>
      <c r="J18" s="15">
        <f>ROUND(G18/39740-1,2)</f>
        <v>0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201</v>
      </c>
      <c r="F19" s="10"/>
      <c r="G19" s="10">
        <f t="shared" si="0"/>
        <v>201</v>
      </c>
      <c r="H19" s="16">
        <f t="shared" si="1"/>
        <v>0.21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96</v>
      </c>
      <c r="F20" s="10"/>
      <c r="G20" s="10">
        <f t="shared" si="0"/>
        <v>96</v>
      </c>
      <c r="H20" s="16">
        <f t="shared" si="1"/>
        <v>0.1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486</v>
      </c>
      <c r="F21" s="10"/>
      <c r="G21" s="10">
        <f t="shared" si="0"/>
        <v>486</v>
      </c>
      <c r="H21" s="16">
        <f t="shared" si="1"/>
        <v>0.51</v>
      </c>
      <c r="I21" s="15">
        <f t="shared" si="2"/>
        <v>1E-3</v>
      </c>
      <c r="J21" s="15">
        <f>ROUND(G21/431.82-1,2)</f>
        <v>0.13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368</v>
      </c>
      <c r="F22" s="10"/>
      <c r="G22" s="10">
        <f t="shared" si="0"/>
        <v>368</v>
      </c>
      <c r="H22" s="16">
        <f t="shared" si="1"/>
        <v>0.39</v>
      </c>
      <c r="I22" s="15">
        <f t="shared" si="2"/>
        <v>1E-3</v>
      </c>
      <c r="J22" s="15">
        <f>ROUND(G22/118.46-1,2)</f>
        <v>2.11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113</v>
      </c>
      <c r="F23" s="10"/>
      <c r="G23" s="10">
        <f t="shared" si="0"/>
        <v>113</v>
      </c>
      <c r="H23" s="16">
        <f t="shared" si="1"/>
        <v>0.12</v>
      </c>
      <c r="I23" s="15">
        <f t="shared" si="2"/>
        <v>0</v>
      </c>
      <c r="J23" s="15">
        <f>ROUND(G23/16.48-1,2)</f>
        <v>5.86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392</v>
      </c>
      <c r="F24" s="10"/>
      <c r="G24" s="10">
        <f t="shared" si="0"/>
        <v>392</v>
      </c>
      <c r="H24" s="16">
        <f t="shared" si="1"/>
        <v>0.41</v>
      </c>
      <c r="I24" s="15">
        <f t="shared" si="2"/>
        <v>1E-3</v>
      </c>
      <c r="J24" s="15">
        <f>ROUND(G24/742.88-1,2)</f>
        <v>-0.47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133</v>
      </c>
      <c r="F25" s="10"/>
      <c r="G25" s="10">
        <f t="shared" si="0"/>
        <v>133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503</v>
      </c>
      <c r="F26" s="10"/>
      <c r="G26" s="10">
        <f t="shared" si="0"/>
        <v>503</v>
      </c>
      <c r="H26" s="16">
        <f t="shared" si="1"/>
        <v>0.53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190</v>
      </c>
      <c r="F27" s="10"/>
      <c r="G27" s="10">
        <f t="shared" si="0"/>
        <v>190</v>
      </c>
      <c r="H27" s="16">
        <f t="shared" si="1"/>
        <v>0.2</v>
      </c>
      <c r="I27" s="15">
        <f t="shared" si="2"/>
        <v>1E-3</v>
      </c>
      <c r="J27" s="15">
        <f>ROUND(G27/20.66-1,2)</f>
        <v>8.1999999999999993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107</v>
      </c>
      <c r="F28" s="10"/>
      <c r="G28" s="10">
        <f t="shared" si="0"/>
        <v>107</v>
      </c>
      <c r="H28" s="16">
        <f t="shared" si="1"/>
        <v>0.11</v>
      </c>
      <c r="I28" s="15">
        <f t="shared" si="2"/>
        <v>0</v>
      </c>
      <c r="J28" s="15">
        <f>ROUND(G28/702.45-1,2)</f>
        <v>-0.85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28894</v>
      </c>
      <c r="F29" s="10"/>
      <c r="G29" s="10">
        <f t="shared" si="0"/>
        <v>28894</v>
      </c>
      <c r="H29" s="16">
        <f t="shared" si="1"/>
        <v>30.26</v>
      </c>
      <c r="I29" s="15">
        <f t="shared" si="2"/>
        <v>8.4000000000000005E-2</v>
      </c>
      <c r="J29" s="15">
        <f>ROUND(G29/8165.47-1,2)</f>
        <v>2.54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2535</v>
      </c>
      <c r="F30" s="10"/>
      <c r="G30" s="10">
        <f t="shared" si="0"/>
        <v>2535</v>
      </c>
      <c r="H30" s="16">
        <f t="shared" si="1"/>
        <v>2.65</v>
      </c>
      <c r="I30" s="15">
        <f t="shared" si="2"/>
        <v>7.0000000000000001E-3</v>
      </c>
      <c r="J30" s="15">
        <f>ROUND(G30/1100.26-1,2)</f>
        <v>1.3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9735</v>
      </c>
      <c r="F31" s="10"/>
      <c r="G31" s="10">
        <f t="shared" si="0"/>
        <v>9735</v>
      </c>
      <c r="H31" s="16">
        <f t="shared" si="1"/>
        <v>10.19</v>
      </c>
      <c r="I31" s="15">
        <f t="shared" si="2"/>
        <v>2.8000000000000001E-2</v>
      </c>
      <c r="J31" s="15">
        <f>ROUND(G31/4485.29-1,2)</f>
        <v>1.17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20237</v>
      </c>
      <c r="F32" s="10"/>
      <c r="G32" s="10">
        <f t="shared" si="0"/>
        <v>20237</v>
      </c>
      <c r="H32" s="16">
        <f t="shared" si="1"/>
        <v>21.19</v>
      </c>
      <c r="I32" s="15">
        <f t="shared" si="2"/>
        <v>5.8999999999999997E-2</v>
      </c>
      <c r="J32" s="15">
        <f>ROUND(G32/7987-1,2)</f>
        <v>1.53</v>
      </c>
    </row>
    <row r="33" spans="1:10" x14ac:dyDescent="0.25">
      <c r="A33" s="1" t="s">
        <v>16</v>
      </c>
      <c r="B33" s="1" t="s">
        <v>37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ROUND(G33/617.96-1,2)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ROUND(G34/25.87-1,2)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73460</v>
      </c>
      <c r="D36" s="10"/>
      <c r="E36" s="10"/>
      <c r="F36" s="10"/>
      <c r="G36" s="10">
        <f t="shared" si="0"/>
        <v>73460</v>
      </c>
      <c r="H36" s="16">
        <f t="shared" si="1"/>
        <v>76.92</v>
      </c>
      <c r="I36" s="15">
        <f t="shared" si="2"/>
        <v>0.21299999999999999</v>
      </c>
      <c r="J36" s="15">
        <f>ROUND(G36/63590-1,2)</f>
        <v>0.16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21924</v>
      </c>
      <c r="F37" s="10"/>
      <c r="G37" s="10">
        <f t="shared" si="0"/>
        <v>21924</v>
      </c>
      <c r="H37" s="16">
        <f t="shared" si="1"/>
        <v>22.96</v>
      </c>
      <c r="I37" s="15">
        <f t="shared" si="2"/>
        <v>6.4000000000000001E-2</v>
      </c>
      <c r="J37" s="15">
        <f>ROUND(G37/10787.89-1,2)</f>
        <v>1.03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5" t="s">
        <v>12</v>
      </c>
      <c r="B41" s="25"/>
      <c r="C41" s="11">
        <f t="shared" ref="C41:H41" si="3">SUM(C8:C40)</f>
        <v>206995</v>
      </c>
      <c r="D41" s="11">
        <f t="shared" si="3"/>
        <v>0</v>
      </c>
      <c r="E41" s="11">
        <f t="shared" si="3"/>
        <v>137918</v>
      </c>
      <c r="F41" s="11">
        <f t="shared" si="3"/>
        <v>0</v>
      </c>
      <c r="G41" s="11">
        <f t="shared" si="3"/>
        <v>344913</v>
      </c>
      <c r="H41" s="14">
        <f t="shared" si="3"/>
        <v>361.16999999999996</v>
      </c>
      <c r="I41" s="17"/>
      <c r="J41" s="17"/>
    </row>
    <row r="42" spans="1:10" x14ac:dyDescent="0.25">
      <c r="A42" s="25" t="s">
        <v>14</v>
      </c>
      <c r="B42" s="25"/>
      <c r="C42" s="12">
        <f>ROUND(C41/G41,2)</f>
        <v>0.6</v>
      </c>
      <c r="D42" s="12">
        <f>ROUND(D41/G41,2)</f>
        <v>0</v>
      </c>
      <c r="E42" s="12">
        <f>ROUND(E41/G41,2)</f>
        <v>0.4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5" t="s">
        <v>53</v>
      </c>
      <c r="B47" s="25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0" t="s">
        <v>54</v>
      </c>
      <c r="B48" s="20"/>
      <c r="C48" s="10">
        <v>133535</v>
      </c>
      <c r="D48" s="10">
        <v>0</v>
      </c>
      <c r="E48" s="10">
        <v>115994</v>
      </c>
      <c r="F48" s="10">
        <v>0</v>
      </c>
      <c r="G48" s="10">
        <f>SUM(C48:F48)</f>
        <v>249529</v>
      </c>
      <c r="H48" s="16">
        <f>ROUND(G48/955,2)</f>
        <v>261.29000000000002</v>
      </c>
      <c r="I48" s="9"/>
      <c r="J48" s="9"/>
    </row>
    <row r="49" spans="1:10" x14ac:dyDescent="0.25">
      <c r="A49" s="20" t="s">
        <v>55</v>
      </c>
      <c r="B49" s="20"/>
      <c r="C49" s="10">
        <v>73460</v>
      </c>
      <c r="D49" s="10">
        <v>0</v>
      </c>
      <c r="E49" s="10">
        <v>21924</v>
      </c>
      <c r="F49" s="10">
        <v>0</v>
      </c>
      <c r="G49" s="10">
        <f>SUM(C49:F49)</f>
        <v>95384</v>
      </c>
      <c r="H49" s="16">
        <f>ROUND(G49/955,2)</f>
        <v>99.88</v>
      </c>
      <c r="I49" s="9"/>
      <c r="J49" s="9"/>
    </row>
    <row r="50" spans="1:10" x14ac:dyDescent="0.25">
      <c r="A50" s="20" t="s">
        <v>56</v>
      </c>
      <c r="B50" s="20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ROUND(G50/955,2)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57</v>
      </c>
      <c r="B55" s="25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0" t="s">
        <v>58</v>
      </c>
      <c r="B56" s="20"/>
      <c r="C56" s="15">
        <f>ROUND(0.7617, 4)</f>
        <v>0.76170000000000004</v>
      </c>
      <c r="D56" s="15">
        <f>ROUND(0.7195, 4)</f>
        <v>0.71950000000000003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3" t="s">
        <v>64</v>
      </c>
      <c r="J56" s="23" t="s">
        <v>65</v>
      </c>
    </row>
    <row r="57" spans="1:10" x14ac:dyDescent="0.25">
      <c r="A57" s="20" t="s">
        <v>66</v>
      </c>
      <c r="B57" s="20"/>
      <c r="C57" s="15">
        <f>ROUND(0.7224, 4)</f>
        <v>0.72240000000000004</v>
      </c>
      <c r="D57" s="15">
        <f>ROUND(0.6757, 4)</f>
        <v>0.67569999999999997</v>
      </c>
      <c r="E57" s="15">
        <f>ROUND(0.7608, 4)</f>
        <v>0.76080000000000003</v>
      </c>
      <c r="F57" s="8"/>
      <c r="G57" s="14" t="s">
        <v>67</v>
      </c>
      <c r="H57" s="27"/>
      <c r="I57" s="24"/>
      <c r="J57" s="24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5" t="s">
        <v>68</v>
      </c>
      <c r="B61" s="25"/>
      <c r="C61" s="14" t="s">
        <v>2</v>
      </c>
      <c r="D61" s="14" t="s">
        <v>121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0" t="s">
        <v>73</v>
      </c>
      <c r="B62" s="20"/>
      <c r="C62" s="16">
        <v>76.92</v>
      </c>
      <c r="D62" s="16">
        <v>79.81</v>
      </c>
      <c r="E62" s="16">
        <v>91.13</v>
      </c>
      <c r="F62" s="16">
        <v>54.95</v>
      </c>
      <c r="G62" s="16">
        <f>12/10*C62</f>
        <v>92.304000000000002</v>
      </c>
      <c r="H62" s="8"/>
      <c r="I62" s="9"/>
      <c r="J62" s="9"/>
    </row>
    <row r="63" spans="1:10" x14ac:dyDescent="0.25">
      <c r="A63" s="20" t="s">
        <v>74</v>
      </c>
      <c r="B63" s="20"/>
      <c r="C63" s="16">
        <v>41.5</v>
      </c>
      <c r="D63" s="16">
        <v>46.6</v>
      </c>
      <c r="E63" s="16">
        <v>61.18</v>
      </c>
      <c r="F63" s="16">
        <v>62.89</v>
      </c>
      <c r="G63" s="16">
        <f>12/10*C63</f>
        <v>49.8</v>
      </c>
      <c r="H63" s="8"/>
      <c r="I63" s="9"/>
      <c r="J63" s="9"/>
    </row>
    <row r="64" spans="1:10" x14ac:dyDescent="0.25">
      <c r="A64" s="20" t="s">
        <v>75</v>
      </c>
      <c r="B64" s="20"/>
      <c r="C64" s="16">
        <v>261.29000000000002</v>
      </c>
      <c r="D64" s="16">
        <v>254.74</v>
      </c>
      <c r="E64" s="16">
        <v>287.25</v>
      </c>
      <c r="F64" s="16">
        <v>278.91000000000003</v>
      </c>
      <c r="G64" s="16">
        <f>12/10*C64</f>
        <v>313.548</v>
      </c>
      <c r="H64" s="8"/>
      <c r="I64" s="9"/>
      <c r="J64" s="9"/>
    </row>
    <row r="65" spans="1:10" x14ac:dyDescent="0.25">
      <c r="A65" s="20" t="s">
        <v>76</v>
      </c>
      <c r="B65" s="20"/>
      <c r="C65" s="16">
        <v>99.88</v>
      </c>
      <c r="D65" s="16">
        <v>99.71</v>
      </c>
      <c r="E65" s="16">
        <v>114.69</v>
      </c>
      <c r="F65" s="16">
        <v>78.319999999999993</v>
      </c>
      <c r="G65" s="16">
        <f>12/10*C65</f>
        <v>119.85599999999999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2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122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5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123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640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</v>
      </c>
      <c r="F9" s="10"/>
      <c r="G9" s="10">
        <f t="shared" ref="G9:G39" si="0">SUM(C9:F9)</f>
        <v>13</v>
      </c>
      <c r="H9" s="16">
        <f t="shared" ref="H9:H39" si="1">ROUND(G9/640,2)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11600</v>
      </c>
      <c r="D10" s="10"/>
      <c r="E10" s="10">
        <v>2343</v>
      </c>
      <c r="F10" s="10"/>
      <c r="G10" s="10">
        <f t="shared" si="0"/>
        <v>13943</v>
      </c>
      <c r="H10" s="16">
        <f t="shared" si="1"/>
        <v>21.79</v>
      </c>
      <c r="I10" s="15">
        <f t="shared" si="2"/>
        <v>7.0999999999999994E-2</v>
      </c>
      <c r="J10" s="15">
        <f>ROUND(G10/12721.55-1,2)</f>
        <v>0.1</v>
      </c>
    </row>
    <row r="11" spans="1:10" x14ac:dyDescent="0.25">
      <c r="A11" s="1" t="s">
        <v>16</v>
      </c>
      <c r="B11" s="1" t="s">
        <v>20</v>
      </c>
      <c r="C11" s="10">
        <v>17235</v>
      </c>
      <c r="D11" s="10"/>
      <c r="E11" s="10"/>
      <c r="F11" s="10"/>
      <c r="G11" s="10">
        <f t="shared" si="0"/>
        <v>17235</v>
      </c>
      <c r="H11" s="16">
        <f t="shared" si="1"/>
        <v>26.93</v>
      </c>
      <c r="I11" s="15">
        <f t="shared" si="2"/>
        <v>8.7999999999999995E-2</v>
      </c>
      <c r="J11" s="15">
        <f>ROUND(G11/14295-1,2)</f>
        <v>0.21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62</v>
      </c>
      <c r="F12" s="10"/>
      <c r="G12" s="10">
        <f t="shared" si="0"/>
        <v>62</v>
      </c>
      <c r="H12" s="16">
        <f t="shared" si="1"/>
        <v>0.1</v>
      </c>
      <c r="I12" s="15">
        <f t="shared" si="2"/>
        <v>0</v>
      </c>
      <c r="J12" s="15">
        <f>ROUND(G12/35.4-1,2)</f>
        <v>0.75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458</v>
      </c>
      <c r="F13" s="10"/>
      <c r="G13" s="10">
        <f t="shared" si="0"/>
        <v>458</v>
      </c>
      <c r="H13" s="16">
        <f t="shared" si="1"/>
        <v>0.72</v>
      </c>
      <c r="I13" s="15">
        <f t="shared" si="2"/>
        <v>2E-3</v>
      </c>
      <c r="J13" s="15">
        <f>ROUND(G13/285.71-1,2)</f>
        <v>0.6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22103</v>
      </c>
      <c r="F14" s="10"/>
      <c r="G14" s="10">
        <f t="shared" si="0"/>
        <v>22103</v>
      </c>
      <c r="H14" s="16">
        <f t="shared" si="1"/>
        <v>34.54</v>
      </c>
      <c r="I14" s="15">
        <f t="shared" si="2"/>
        <v>0.113</v>
      </c>
      <c r="J14" s="15">
        <f>ROUND(G14/13826.77-1,2)</f>
        <v>0.6</v>
      </c>
    </row>
    <row r="15" spans="1:10" x14ac:dyDescent="0.25">
      <c r="A15" s="1" t="s">
        <v>16</v>
      </c>
      <c r="B15" s="1" t="s">
        <v>24</v>
      </c>
      <c r="C15" s="10">
        <v>14910</v>
      </c>
      <c r="D15" s="10"/>
      <c r="E15" s="10">
        <v>8263</v>
      </c>
      <c r="F15" s="10"/>
      <c r="G15" s="10">
        <f t="shared" si="0"/>
        <v>23173</v>
      </c>
      <c r="H15" s="16">
        <f t="shared" si="1"/>
        <v>36.21</v>
      </c>
      <c r="I15" s="15">
        <f t="shared" si="2"/>
        <v>0.11799999999999999</v>
      </c>
      <c r="J15" s="15">
        <f>ROUND(G15/16359.95-1,2)</f>
        <v>0.42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2044</v>
      </c>
      <c r="F16" s="10"/>
      <c r="G16" s="10">
        <f t="shared" si="0"/>
        <v>2044</v>
      </c>
      <c r="H16" s="16">
        <f t="shared" si="1"/>
        <v>3.19</v>
      </c>
      <c r="I16" s="15">
        <f t="shared" si="2"/>
        <v>0.01</v>
      </c>
      <c r="J16" s="15"/>
    </row>
    <row r="17" spans="1:10" x14ac:dyDescent="0.25">
      <c r="A17" s="1" t="s">
        <v>16</v>
      </c>
      <c r="B17" s="1" t="s">
        <v>26</v>
      </c>
      <c r="C17" s="10">
        <v>12390</v>
      </c>
      <c r="D17" s="10"/>
      <c r="E17" s="10"/>
      <c r="F17" s="10"/>
      <c r="G17" s="10">
        <f t="shared" si="0"/>
        <v>12390</v>
      </c>
      <c r="H17" s="16">
        <f t="shared" si="1"/>
        <v>19.36</v>
      </c>
      <c r="I17" s="15">
        <f t="shared" si="2"/>
        <v>6.3E-2</v>
      </c>
      <c r="J17" s="15">
        <f>ROUND(G17/20260-1,2)</f>
        <v>-0.39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255</v>
      </c>
      <c r="F18" s="10"/>
      <c r="G18" s="10">
        <f t="shared" si="0"/>
        <v>255</v>
      </c>
      <c r="H18" s="16">
        <f t="shared" si="1"/>
        <v>0.4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131</v>
      </c>
      <c r="F19" s="10"/>
      <c r="G19" s="10">
        <f t="shared" si="0"/>
        <v>131</v>
      </c>
      <c r="H19" s="16">
        <f t="shared" si="1"/>
        <v>0.2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34</v>
      </c>
      <c r="F20" s="10"/>
      <c r="G20" s="10">
        <f t="shared" si="0"/>
        <v>34</v>
      </c>
      <c r="H20" s="16">
        <f t="shared" si="1"/>
        <v>0.05</v>
      </c>
      <c r="I20" s="15">
        <f t="shared" si="2"/>
        <v>0</v>
      </c>
      <c r="J20" s="15">
        <f>ROUND(G20/4.9-1,2)</f>
        <v>5.94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413</v>
      </c>
      <c r="F21" s="10"/>
      <c r="G21" s="10">
        <f t="shared" si="0"/>
        <v>413</v>
      </c>
      <c r="H21" s="16">
        <f t="shared" si="1"/>
        <v>0.65</v>
      </c>
      <c r="I21" s="15">
        <f t="shared" si="2"/>
        <v>2E-3</v>
      </c>
      <c r="J21" s="15">
        <f>ROUND(G21/481.98-1,2)</f>
        <v>-0.14000000000000001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146</v>
      </c>
      <c r="F22" s="10"/>
      <c r="G22" s="10">
        <f t="shared" si="0"/>
        <v>146</v>
      </c>
      <c r="H22" s="16">
        <f t="shared" si="1"/>
        <v>0.23</v>
      </c>
      <c r="I22" s="15">
        <f t="shared" si="2"/>
        <v>1E-3</v>
      </c>
      <c r="J22" s="15">
        <f>ROUND(G22/164.03-1,2)</f>
        <v>-0.11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37</v>
      </c>
      <c r="F23" s="10"/>
      <c r="G23" s="10">
        <f t="shared" si="0"/>
        <v>37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546</v>
      </c>
      <c r="F24" s="10"/>
      <c r="G24" s="10">
        <f t="shared" si="0"/>
        <v>546</v>
      </c>
      <c r="H24" s="16">
        <f t="shared" si="1"/>
        <v>0.85</v>
      </c>
      <c r="I24" s="15">
        <f t="shared" si="2"/>
        <v>3.0000000000000001E-3</v>
      </c>
      <c r="J24" s="15">
        <f>ROUND(G24/362.87-1,2)</f>
        <v>0.5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47</v>
      </c>
      <c r="F25" s="10"/>
      <c r="G25" s="10">
        <f t="shared" si="0"/>
        <v>47</v>
      </c>
      <c r="H25" s="16">
        <f t="shared" si="1"/>
        <v>7.0000000000000007E-2</v>
      </c>
      <c r="I25" s="15">
        <f t="shared" si="2"/>
        <v>0</v>
      </c>
      <c r="J25" s="15">
        <f>ROUND(G25/5.45-1,2)</f>
        <v>7.62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69</v>
      </c>
      <c r="F26" s="10"/>
      <c r="G26" s="10">
        <f t="shared" si="0"/>
        <v>69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103</v>
      </c>
      <c r="F27" s="10"/>
      <c r="G27" s="10">
        <f t="shared" si="0"/>
        <v>103</v>
      </c>
      <c r="H27" s="16">
        <f t="shared" si="1"/>
        <v>0.16</v>
      </c>
      <c r="I27" s="15">
        <f t="shared" si="2"/>
        <v>1E-3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1286</v>
      </c>
      <c r="F28" s="10"/>
      <c r="G28" s="10">
        <f t="shared" si="0"/>
        <v>1286</v>
      </c>
      <c r="H28" s="16">
        <f t="shared" si="1"/>
        <v>2.0099999999999998</v>
      </c>
      <c r="I28" s="15">
        <f t="shared" si="2"/>
        <v>7.0000000000000001E-3</v>
      </c>
      <c r="J28" s="15">
        <f>ROUND(G28/694.63-1,2)</f>
        <v>0.85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721</v>
      </c>
      <c r="F29" s="10"/>
      <c r="G29" s="10">
        <f t="shared" si="0"/>
        <v>721</v>
      </c>
      <c r="H29" s="16">
        <f t="shared" si="1"/>
        <v>1.1299999999999999</v>
      </c>
      <c r="I29" s="15">
        <f t="shared" si="2"/>
        <v>4.0000000000000001E-3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20770</v>
      </c>
      <c r="F30" s="10"/>
      <c r="G30" s="10">
        <f t="shared" si="0"/>
        <v>20770</v>
      </c>
      <c r="H30" s="16">
        <f t="shared" si="1"/>
        <v>32.450000000000003</v>
      </c>
      <c r="I30" s="15">
        <f t="shared" si="2"/>
        <v>0.106</v>
      </c>
      <c r="J30" s="15">
        <f>ROUND(G30/10144.31-1,2)</f>
        <v>1.05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1736</v>
      </c>
      <c r="F31" s="10"/>
      <c r="G31" s="10">
        <f t="shared" si="0"/>
        <v>1736</v>
      </c>
      <c r="H31" s="16">
        <f t="shared" si="1"/>
        <v>2.71</v>
      </c>
      <c r="I31" s="15">
        <f t="shared" si="2"/>
        <v>8.9999999999999993E-3</v>
      </c>
      <c r="J31" s="15">
        <f>ROUND(G31/550.29-1,2)</f>
        <v>2.15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5456</v>
      </c>
      <c r="F32" s="10"/>
      <c r="G32" s="10">
        <f t="shared" si="0"/>
        <v>5456</v>
      </c>
      <c r="H32" s="16">
        <f t="shared" si="1"/>
        <v>8.5299999999999994</v>
      </c>
      <c r="I32" s="15">
        <f t="shared" si="2"/>
        <v>2.8000000000000001E-2</v>
      </c>
      <c r="J32" s="15">
        <f>ROUND(G32/3150.74-1,2)</f>
        <v>0.73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6491</v>
      </c>
      <c r="F33" s="10"/>
      <c r="G33" s="10">
        <f t="shared" si="0"/>
        <v>6491</v>
      </c>
      <c r="H33" s="16">
        <f t="shared" si="1"/>
        <v>10.14</v>
      </c>
      <c r="I33" s="15">
        <f t="shared" si="2"/>
        <v>3.3000000000000002E-2</v>
      </c>
      <c r="J33" s="15">
        <f>ROUND(G33/2014.74-1,2)</f>
        <v>2.2200000000000002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ROUND(G34/464.09-1,2)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54720</v>
      </c>
      <c r="D36" s="10"/>
      <c r="E36" s="10"/>
      <c r="F36" s="10"/>
      <c r="G36" s="10">
        <f t="shared" si="0"/>
        <v>54720</v>
      </c>
      <c r="H36" s="16">
        <f t="shared" si="1"/>
        <v>85.5</v>
      </c>
      <c r="I36" s="15">
        <f t="shared" si="2"/>
        <v>0.28000000000000003</v>
      </c>
      <c r="J36" s="15">
        <f>ROUND(G36/52070-1,2)</f>
        <v>0.05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11389</v>
      </c>
      <c r="F37" s="10"/>
      <c r="G37" s="10">
        <f t="shared" si="0"/>
        <v>11389</v>
      </c>
      <c r="H37" s="16">
        <f t="shared" si="1"/>
        <v>17.8</v>
      </c>
      <c r="I37" s="15">
        <f t="shared" si="2"/>
        <v>5.8000000000000003E-2</v>
      </c>
      <c r="J37" s="15">
        <f>ROUND(G37/5447.32-1,2)</f>
        <v>1.0900000000000001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5" t="s">
        <v>12</v>
      </c>
      <c r="B40" s="25"/>
      <c r="C40" s="11">
        <f t="shared" ref="C40:H40" si="3">SUM(C8:C39)</f>
        <v>110855</v>
      </c>
      <c r="D40" s="11">
        <f t="shared" si="3"/>
        <v>0</v>
      </c>
      <c r="E40" s="11">
        <f t="shared" si="3"/>
        <v>84916</v>
      </c>
      <c r="F40" s="11">
        <f t="shared" si="3"/>
        <v>0</v>
      </c>
      <c r="G40" s="11">
        <f t="shared" si="3"/>
        <v>195771</v>
      </c>
      <c r="H40" s="14">
        <f t="shared" si="3"/>
        <v>305.91000000000003</v>
      </c>
      <c r="I40" s="17"/>
      <c r="J40" s="17"/>
    </row>
    <row r="41" spans="1:10" x14ac:dyDescent="0.25">
      <c r="A41" s="25" t="s">
        <v>14</v>
      </c>
      <c r="B41" s="25"/>
      <c r="C41" s="12">
        <f>ROUND(C40/G40,2)</f>
        <v>0.56999999999999995</v>
      </c>
      <c r="D41" s="12">
        <f>ROUND(D40/G40,2)</f>
        <v>0</v>
      </c>
      <c r="E41" s="12">
        <f>ROUND(E40/G40,2)</f>
        <v>0.43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5" t="s">
        <v>53</v>
      </c>
      <c r="B46" s="25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0" t="s">
        <v>54</v>
      </c>
      <c r="B47" s="20"/>
      <c r="C47" s="10">
        <v>56135</v>
      </c>
      <c r="D47" s="10">
        <v>0</v>
      </c>
      <c r="E47" s="10">
        <v>73527</v>
      </c>
      <c r="F47" s="10">
        <v>0</v>
      </c>
      <c r="G47" s="10">
        <f>SUM(C47:F47)</f>
        <v>129662</v>
      </c>
      <c r="H47" s="16">
        <f>ROUND(G47/640,2)</f>
        <v>202.6</v>
      </c>
      <c r="I47" s="9"/>
      <c r="J47" s="9"/>
    </row>
    <row r="48" spans="1:10" x14ac:dyDescent="0.25">
      <c r="A48" s="20" t="s">
        <v>55</v>
      </c>
      <c r="B48" s="20"/>
      <c r="C48" s="10">
        <v>54720</v>
      </c>
      <c r="D48" s="10">
        <v>0</v>
      </c>
      <c r="E48" s="10">
        <v>11389</v>
      </c>
      <c r="F48" s="10">
        <v>0</v>
      </c>
      <c r="G48" s="10">
        <f>SUM(C48:F48)</f>
        <v>66109</v>
      </c>
      <c r="H48" s="16">
        <f>ROUND(G48/640,2)</f>
        <v>103.3</v>
      </c>
      <c r="I48" s="9"/>
      <c r="J48" s="9"/>
    </row>
    <row r="49" spans="1:10" x14ac:dyDescent="0.25">
      <c r="A49" s="20" t="s">
        <v>56</v>
      </c>
      <c r="B49" s="20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ROUND(G49/640,2)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57</v>
      </c>
      <c r="B54" s="25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0" t="s">
        <v>58</v>
      </c>
      <c r="B55" s="20"/>
      <c r="C55" s="15">
        <f>ROUND(0.682, 4)</f>
        <v>0.68200000000000005</v>
      </c>
      <c r="D55" s="15">
        <f>ROUND(0.6018, 4)</f>
        <v>0.6018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3" t="s">
        <v>64</v>
      </c>
      <c r="J55" s="23" t="s">
        <v>65</v>
      </c>
    </row>
    <row r="56" spans="1:10" x14ac:dyDescent="0.25">
      <c r="A56" s="20" t="s">
        <v>66</v>
      </c>
      <c r="B56" s="20"/>
      <c r="C56" s="15">
        <f>ROUND(0.6521, 4)</f>
        <v>0.65210000000000001</v>
      </c>
      <c r="D56" s="15">
        <f>ROUND(0.5671, 4)</f>
        <v>0.56710000000000005</v>
      </c>
      <c r="E56" s="15">
        <f>ROUND(0.7608, 4)</f>
        <v>0.76080000000000003</v>
      </c>
      <c r="F56" s="8"/>
      <c r="G56" s="14" t="s">
        <v>67</v>
      </c>
      <c r="H56" s="27"/>
      <c r="I56" s="24"/>
      <c r="J56" s="24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68</v>
      </c>
      <c r="B60" s="25"/>
      <c r="C60" s="14" t="s">
        <v>2</v>
      </c>
      <c r="D60" s="14" t="s">
        <v>124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0" t="s">
        <v>73</v>
      </c>
      <c r="B61" s="20"/>
      <c r="C61" s="16">
        <v>85.5</v>
      </c>
      <c r="D61" s="16">
        <v>72.86</v>
      </c>
      <c r="E61" s="16">
        <v>91.13</v>
      </c>
      <c r="F61" s="16">
        <v>54.95</v>
      </c>
      <c r="G61" s="16">
        <f>12/10*C61</f>
        <v>102.6</v>
      </c>
      <c r="H61" s="8"/>
      <c r="I61" s="9"/>
      <c r="J61" s="9"/>
    </row>
    <row r="62" spans="1:10" x14ac:dyDescent="0.25">
      <c r="A62" s="20" t="s">
        <v>74</v>
      </c>
      <c r="B62" s="20"/>
      <c r="C62" s="16">
        <v>19.36</v>
      </c>
      <c r="D62" s="16">
        <v>33.32</v>
      </c>
      <c r="E62" s="16">
        <v>61.18</v>
      </c>
      <c r="F62" s="16">
        <v>62.89</v>
      </c>
      <c r="G62" s="16">
        <f>12/10*C62</f>
        <v>23.231999999999999</v>
      </c>
      <c r="H62" s="8"/>
      <c r="I62" s="9"/>
      <c r="J62" s="9"/>
    </row>
    <row r="63" spans="1:10" x14ac:dyDescent="0.25">
      <c r="A63" s="20" t="s">
        <v>75</v>
      </c>
      <c r="B63" s="20"/>
      <c r="C63" s="16">
        <v>202.6</v>
      </c>
      <c r="D63" s="16">
        <v>206.66</v>
      </c>
      <c r="E63" s="16">
        <v>287.25</v>
      </c>
      <c r="F63" s="16">
        <v>278.91000000000003</v>
      </c>
      <c r="G63" s="16">
        <f>12/10*C63</f>
        <v>243.11999999999998</v>
      </c>
      <c r="H63" s="8"/>
      <c r="I63" s="9"/>
      <c r="J63" s="9"/>
    </row>
    <row r="64" spans="1:10" x14ac:dyDescent="0.25">
      <c r="A64" s="20" t="s">
        <v>76</v>
      </c>
      <c r="B64" s="20"/>
      <c r="C64" s="16">
        <v>103.3</v>
      </c>
      <c r="D64" s="16">
        <v>90.37</v>
      </c>
      <c r="E64" s="16">
        <v>114.69</v>
      </c>
      <c r="F64" s="16">
        <v>78.319999999999993</v>
      </c>
      <c r="G64" s="16">
        <f>12/10*C64</f>
        <v>123.96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2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125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  <row r="80" spans="1:10" x14ac:dyDescent="0.25">
      <c r="C80" s="8"/>
      <c r="D80" s="8"/>
      <c r="E80" s="8"/>
      <c r="F80" s="8"/>
      <c r="G80" s="8"/>
      <c r="H80" s="8"/>
      <c r="I80" s="9"/>
      <c r="J80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15906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479</v>
      </c>
      <c r="F9" s="10"/>
      <c r="G9" s="10">
        <f t="shared" ref="G9:G48" si="0">SUM(C9:F9)</f>
        <v>479</v>
      </c>
      <c r="H9" s="16">
        <f t="shared" ref="H9:H48" si="1">ROUND(G9/15906,2)</f>
        <v>0.03</v>
      </c>
      <c r="I9" s="15">
        <f t="shared" ref="I9:I48" si="2">ROUND(G9/$G$49,3)</f>
        <v>0</v>
      </c>
      <c r="J9" s="15">
        <f>ROUND(G9/348-1,2)</f>
        <v>0.38</v>
      </c>
    </row>
    <row r="10" spans="1:10" x14ac:dyDescent="0.25">
      <c r="A10" s="1" t="s">
        <v>16</v>
      </c>
      <c r="B10" s="1" t="s">
        <v>19</v>
      </c>
      <c r="C10" s="10">
        <v>410810</v>
      </c>
      <c r="D10" s="10"/>
      <c r="E10" s="10">
        <v>28900</v>
      </c>
      <c r="F10" s="10">
        <v>4320</v>
      </c>
      <c r="G10" s="10">
        <f t="shared" si="0"/>
        <v>444030</v>
      </c>
      <c r="H10" s="16">
        <f t="shared" si="1"/>
        <v>27.92</v>
      </c>
      <c r="I10" s="15">
        <f t="shared" si="2"/>
        <v>7.0999999999999994E-2</v>
      </c>
      <c r="J10" s="15">
        <f>ROUND(G10/434010-1,2)</f>
        <v>0.02</v>
      </c>
    </row>
    <row r="11" spans="1:10" x14ac:dyDescent="0.25">
      <c r="A11" s="1" t="s">
        <v>16</v>
      </c>
      <c r="B11" s="1" t="s">
        <v>20</v>
      </c>
      <c r="C11" s="10">
        <v>553650</v>
      </c>
      <c r="D11" s="10"/>
      <c r="E11" s="10"/>
      <c r="F11" s="10"/>
      <c r="G11" s="10">
        <f t="shared" si="0"/>
        <v>553650</v>
      </c>
      <c r="H11" s="16">
        <f t="shared" si="1"/>
        <v>34.81</v>
      </c>
      <c r="I11" s="15">
        <f t="shared" si="2"/>
        <v>8.8999999999999996E-2</v>
      </c>
      <c r="J11" s="15">
        <f>ROUND(G11/566700-1,2)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355</v>
      </c>
      <c r="F12" s="10"/>
      <c r="G12" s="10">
        <f t="shared" si="0"/>
        <v>355</v>
      </c>
      <c r="H12" s="16">
        <f t="shared" si="1"/>
        <v>0.02</v>
      </c>
      <c r="I12" s="15">
        <f t="shared" si="2"/>
        <v>0</v>
      </c>
      <c r="J12" s="15">
        <f>ROUND(G12/400-1,2)</f>
        <v>-0.11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710</v>
      </c>
      <c r="F13" s="10"/>
      <c r="G13" s="10">
        <f t="shared" si="0"/>
        <v>710</v>
      </c>
      <c r="H13" s="16">
        <f t="shared" si="1"/>
        <v>0.04</v>
      </c>
      <c r="I13" s="15">
        <f t="shared" si="2"/>
        <v>0</v>
      </c>
      <c r="J13" s="15">
        <f>ROUND(G13/647-1,2)</f>
        <v>0.1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3300</v>
      </c>
      <c r="F14" s="10"/>
      <c r="G14" s="10">
        <f t="shared" si="0"/>
        <v>3300</v>
      </c>
      <c r="H14" s="16">
        <f t="shared" si="1"/>
        <v>0.21</v>
      </c>
      <c r="I14" s="15">
        <f t="shared" si="2"/>
        <v>1E-3</v>
      </c>
      <c r="J14" s="15">
        <f>ROUND(G14/3620-1,2)</f>
        <v>-0.09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306980</v>
      </c>
      <c r="F15" s="10"/>
      <c r="G15" s="10">
        <f t="shared" si="0"/>
        <v>306980</v>
      </c>
      <c r="H15" s="16">
        <f t="shared" si="1"/>
        <v>19.3</v>
      </c>
      <c r="I15" s="15">
        <f t="shared" si="2"/>
        <v>4.9000000000000002E-2</v>
      </c>
      <c r="J15" s="15">
        <f>ROUND(G15/231500-1,2)</f>
        <v>0.33</v>
      </c>
    </row>
    <row r="16" spans="1:10" x14ac:dyDescent="0.25">
      <c r="A16" s="1" t="s">
        <v>16</v>
      </c>
      <c r="B16" s="1" t="s">
        <v>24</v>
      </c>
      <c r="C16" s="10">
        <v>650170</v>
      </c>
      <c r="D16" s="10"/>
      <c r="E16" s="10">
        <v>113740</v>
      </c>
      <c r="F16" s="10">
        <v>24320</v>
      </c>
      <c r="G16" s="10">
        <f t="shared" si="0"/>
        <v>788230</v>
      </c>
      <c r="H16" s="16">
        <f t="shared" si="1"/>
        <v>49.56</v>
      </c>
      <c r="I16" s="15">
        <f t="shared" si="2"/>
        <v>0.126</v>
      </c>
      <c r="J16" s="15">
        <f>ROUND(G16/759120-1,2)</f>
        <v>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18375</v>
      </c>
      <c r="F17" s="10"/>
      <c r="G17" s="10">
        <f t="shared" si="0"/>
        <v>18375</v>
      </c>
      <c r="H17" s="16">
        <f t="shared" si="1"/>
        <v>1.1599999999999999</v>
      </c>
      <c r="I17" s="15">
        <f t="shared" si="2"/>
        <v>3.0000000000000001E-3</v>
      </c>
      <c r="J17" s="15">
        <f>ROUND(G17/21480-1,2)</f>
        <v>-0.14000000000000001</v>
      </c>
    </row>
    <row r="18" spans="1:10" x14ac:dyDescent="0.25">
      <c r="A18" s="1" t="s">
        <v>16</v>
      </c>
      <c r="B18" s="1" t="s">
        <v>26</v>
      </c>
      <c r="C18" s="10">
        <v>940350</v>
      </c>
      <c r="D18" s="10"/>
      <c r="E18" s="10"/>
      <c r="F18" s="10">
        <v>4490</v>
      </c>
      <c r="G18" s="10">
        <f t="shared" si="0"/>
        <v>944840</v>
      </c>
      <c r="H18" s="16">
        <f t="shared" si="1"/>
        <v>59.4</v>
      </c>
      <c r="I18" s="15">
        <f t="shared" si="2"/>
        <v>0.151</v>
      </c>
      <c r="J18" s="15">
        <f>ROUND(G18/921470-1,2)</f>
        <v>0.03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4657</v>
      </c>
      <c r="F19" s="10"/>
      <c r="G19" s="10">
        <f t="shared" si="0"/>
        <v>4657</v>
      </c>
      <c r="H19" s="16">
        <f t="shared" si="1"/>
        <v>0.28999999999999998</v>
      </c>
      <c r="I19" s="15">
        <f t="shared" si="2"/>
        <v>1E-3</v>
      </c>
      <c r="J19" s="15">
        <f>ROUND(G19/4866-1,2)</f>
        <v>-0.04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3089</v>
      </c>
      <c r="F20" s="10"/>
      <c r="G20" s="10">
        <f t="shared" si="0"/>
        <v>3089</v>
      </c>
      <c r="H20" s="16">
        <f t="shared" si="1"/>
        <v>0.19</v>
      </c>
      <c r="I20" s="15">
        <f t="shared" si="2"/>
        <v>0</v>
      </c>
      <c r="J20" s="15">
        <f>ROUND(G20/3388-1,2)</f>
        <v>-0.09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607</v>
      </c>
      <c r="F21" s="10"/>
      <c r="G21" s="10">
        <f t="shared" si="0"/>
        <v>607</v>
      </c>
      <c r="H21" s="16">
        <f t="shared" si="1"/>
        <v>0.04</v>
      </c>
      <c r="I21" s="15">
        <f t="shared" si="2"/>
        <v>0</v>
      </c>
      <c r="J21" s="15">
        <f>ROUND(G21/510-1,2)</f>
        <v>0.19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11120</v>
      </c>
      <c r="F22" s="10"/>
      <c r="G22" s="10">
        <f t="shared" si="0"/>
        <v>11120</v>
      </c>
      <c r="H22" s="16">
        <f t="shared" si="1"/>
        <v>0.7</v>
      </c>
      <c r="I22" s="15">
        <f t="shared" si="2"/>
        <v>2E-3</v>
      </c>
      <c r="J22" s="15">
        <f>ROUND(G22/17380-1,2)</f>
        <v>-0.36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5150</v>
      </c>
      <c r="F23" s="10"/>
      <c r="G23" s="10">
        <f t="shared" si="0"/>
        <v>5150</v>
      </c>
      <c r="H23" s="16">
        <f t="shared" si="1"/>
        <v>0.32</v>
      </c>
      <c r="I23" s="15">
        <f t="shared" si="2"/>
        <v>1E-3</v>
      </c>
      <c r="J23" s="15">
        <f>ROUND(G23/5960-1,2)</f>
        <v>-0.14000000000000001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2240</v>
      </c>
      <c r="F24" s="10"/>
      <c r="G24" s="10">
        <f t="shared" si="0"/>
        <v>2240</v>
      </c>
      <c r="H24" s="16">
        <f t="shared" si="1"/>
        <v>0.14000000000000001</v>
      </c>
      <c r="I24" s="15">
        <f t="shared" si="2"/>
        <v>0</v>
      </c>
      <c r="J24" s="15">
        <f>ROUND(G24/1860-1,2)</f>
        <v>0.2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7084</v>
      </c>
      <c r="F25" s="10"/>
      <c r="G25" s="10">
        <f t="shared" si="0"/>
        <v>7084</v>
      </c>
      <c r="H25" s="16">
        <f t="shared" si="1"/>
        <v>0.45</v>
      </c>
      <c r="I25" s="15">
        <f t="shared" si="2"/>
        <v>1E-3</v>
      </c>
      <c r="J25" s="15">
        <f>ROUND(G25/8280-1,2)</f>
        <v>-0.14000000000000001</v>
      </c>
    </row>
    <row r="26" spans="1:10" x14ac:dyDescent="0.25">
      <c r="A26" s="1" t="s">
        <v>16</v>
      </c>
      <c r="B26" s="1" t="s">
        <v>33</v>
      </c>
      <c r="C26" s="10"/>
      <c r="D26" s="10">
        <v>1208</v>
      </c>
      <c r="E26" s="10">
        <v>182</v>
      </c>
      <c r="F26" s="10"/>
      <c r="G26" s="10">
        <f t="shared" si="0"/>
        <v>1390</v>
      </c>
      <c r="H26" s="16">
        <f t="shared" si="1"/>
        <v>0.09</v>
      </c>
      <c r="I26" s="15">
        <f t="shared" si="2"/>
        <v>0</v>
      </c>
      <c r="J26" s="15">
        <f>ROUND(G26/1382-1,2)</f>
        <v>0.01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3530</v>
      </c>
      <c r="F27" s="10"/>
      <c r="G27" s="10">
        <f t="shared" si="0"/>
        <v>3530</v>
      </c>
      <c r="H27" s="16">
        <f t="shared" si="1"/>
        <v>0.22</v>
      </c>
      <c r="I27" s="15">
        <f t="shared" si="2"/>
        <v>1E-3</v>
      </c>
      <c r="J27" s="15">
        <f>ROUND(G27/3110-1,2)</f>
        <v>0.14000000000000001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1530</v>
      </c>
      <c r="F28" s="10"/>
      <c r="G28" s="10">
        <f t="shared" si="0"/>
        <v>1530</v>
      </c>
      <c r="H28" s="16">
        <f t="shared" si="1"/>
        <v>0.1</v>
      </c>
      <c r="I28" s="15">
        <f t="shared" si="2"/>
        <v>0</v>
      </c>
      <c r="J28" s="15">
        <f>ROUND(G28/2174-1,2)</f>
        <v>-0.3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19240</v>
      </c>
      <c r="F29" s="10"/>
      <c r="G29" s="10">
        <f t="shared" si="0"/>
        <v>19240</v>
      </c>
      <c r="H29" s="16">
        <f t="shared" si="1"/>
        <v>1.21</v>
      </c>
      <c r="I29" s="15">
        <f t="shared" si="2"/>
        <v>3.0000000000000001E-3</v>
      </c>
      <c r="J29" s="15">
        <f>ROUND(G29/20900-1,2)</f>
        <v>-0.08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2700</v>
      </c>
      <c r="F30" s="10"/>
      <c r="G30" s="10">
        <f t="shared" si="0"/>
        <v>2700</v>
      </c>
      <c r="H30" s="16">
        <f t="shared" si="1"/>
        <v>0.17</v>
      </c>
      <c r="I30" s="15">
        <f t="shared" si="2"/>
        <v>0</v>
      </c>
      <c r="J30" s="15">
        <f>ROUND(G30/37290-1,2)</f>
        <v>-0.93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406305</v>
      </c>
      <c r="F31" s="10"/>
      <c r="G31" s="10">
        <f t="shared" si="0"/>
        <v>406305</v>
      </c>
      <c r="H31" s="16">
        <f t="shared" si="1"/>
        <v>25.54</v>
      </c>
      <c r="I31" s="15">
        <f t="shared" si="2"/>
        <v>6.5000000000000002E-2</v>
      </c>
      <c r="J31" s="15">
        <f>ROUND(G31/364370-1,2)</f>
        <v>0.12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26265</v>
      </c>
      <c r="F32" s="10"/>
      <c r="G32" s="10">
        <f t="shared" si="0"/>
        <v>26265</v>
      </c>
      <c r="H32" s="16">
        <f t="shared" si="1"/>
        <v>1.65</v>
      </c>
      <c r="I32" s="15">
        <f t="shared" si="2"/>
        <v>4.0000000000000001E-3</v>
      </c>
      <c r="J32" s="15">
        <f>ROUND(G32/26105-1,2)</f>
        <v>0.01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88820</v>
      </c>
      <c r="F33" s="10"/>
      <c r="G33" s="10">
        <f t="shared" si="0"/>
        <v>88820</v>
      </c>
      <c r="H33" s="16">
        <f t="shared" si="1"/>
        <v>5.58</v>
      </c>
      <c r="I33" s="15">
        <f t="shared" si="2"/>
        <v>1.4E-2</v>
      </c>
      <c r="J33" s="15">
        <f>ROUND(G33/82580-1,2)</f>
        <v>0.08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991410</v>
      </c>
      <c r="F34" s="10"/>
      <c r="G34" s="10">
        <f t="shared" si="0"/>
        <v>991410</v>
      </c>
      <c r="H34" s="16">
        <f t="shared" si="1"/>
        <v>62.33</v>
      </c>
      <c r="I34" s="15">
        <f t="shared" si="2"/>
        <v>0.159</v>
      </c>
      <c r="J34" s="15">
        <f>ROUND(G34/788960-1,2)</f>
        <v>0.26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ROUND(G35/10980-1,2)</f>
        <v>-1</v>
      </c>
    </row>
    <row r="36" spans="1:10" x14ac:dyDescent="0.25">
      <c r="A36" s="1" t="s">
        <v>16</v>
      </c>
      <c r="B36" s="1" t="s">
        <v>127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ROUND(G36/2292-1,2)</f>
        <v>-1</v>
      </c>
    </row>
    <row r="37" spans="1:10" x14ac:dyDescent="0.25">
      <c r="A37" s="1" t="s">
        <v>16</v>
      </c>
      <c r="B37" s="1" t="s">
        <v>115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128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ROUND(G38/216-1,2)</f>
        <v>-1</v>
      </c>
    </row>
    <row r="39" spans="1:10" x14ac:dyDescent="0.25">
      <c r="A39" s="1" t="s">
        <v>16</v>
      </c>
      <c r="B39" s="1" t="s">
        <v>98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ROUND(G39/45-1,2)</f>
        <v>-1</v>
      </c>
    </row>
    <row r="40" spans="1:10" x14ac:dyDescent="0.25">
      <c r="A40" s="1" t="s">
        <v>16</v>
      </c>
      <c r="B40" s="1" t="s">
        <v>129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1243820</v>
      </c>
      <c r="D41" s="10"/>
      <c r="E41" s="10"/>
      <c r="F41" s="10">
        <v>21570</v>
      </c>
      <c r="G41" s="10">
        <f t="shared" si="0"/>
        <v>1265390</v>
      </c>
      <c r="H41" s="16">
        <f t="shared" si="1"/>
        <v>79.55</v>
      </c>
      <c r="I41" s="15">
        <f t="shared" si="2"/>
        <v>0.20300000000000001</v>
      </c>
      <c r="J41" s="15">
        <f>ROUND(G41/1205280-1,2)</f>
        <v>0.05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115090</v>
      </c>
      <c r="G42" s="10">
        <f t="shared" si="0"/>
        <v>115090</v>
      </c>
      <c r="H42" s="16">
        <f t="shared" si="1"/>
        <v>7.24</v>
      </c>
      <c r="I42" s="15">
        <f t="shared" si="2"/>
        <v>1.7999999999999999E-2</v>
      </c>
      <c r="J42" s="15">
        <f>ROUND(G42/188015-1,2)</f>
        <v>-0.39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222860</v>
      </c>
      <c r="F43" s="10"/>
      <c r="G43" s="10">
        <f t="shared" si="0"/>
        <v>222860</v>
      </c>
      <c r="H43" s="16">
        <f t="shared" si="1"/>
        <v>14.01</v>
      </c>
      <c r="I43" s="15">
        <f t="shared" si="2"/>
        <v>3.5999999999999997E-2</v>
      </c>
      <c r="J43" s="15">
        <f>ROUND(G43/186980-1,2)</f>
        <v>0.19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94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50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ROUND(G46/1140-1,2)</f>
        <v>-1</v>
      </c>
    </row>
    <row r="47" spans="1:10" x14ac:dyDescent="0.25">
      <c r="A47" s="1" t="s">
        <v>48</v>
      </c>
      <c r="B47" s="1" t="s">
        <v>49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1" t="s">
        <v>48</v>
      </c>
      <c r="B48" s="1" t="s">
        <v>86</v>
      </c>
      <c r="C48" s="10"/>
      <c r="D48" s="10"/>
      <c r="E48" s="10"/>
      <c r="F48" s="10"/>
      <c r="G48" s="10">
        <f t="shared" si="0"/>
        <v>0</v>
      </c>
      <c r="H48" s="16">
        <f t="shared" si="1"/>
        <v>0</v>
      </c>
      <c r="I48" s="15">
        <f t="shared" si="2"/>
        <v>0</v>
      </c>
      <c r="J48" s="15"/>
    </row>
    <row r="49" spans="1:10" x14ac:dyDescent="0.25">
      <c r="A49" s="25" t="s">
        <v>12</v>
      </c>
      <c r="B49" s="25"/>
      <c r="C49" s="11">
        <f t="shared" ref="C49:H49" si="3">SUM(C8:C48)</f>
        <v>3798800</v>
      </c>
      <c r="D49" s="11">
        <f t="shared" si="3"/>
        <v>1208</v>
      </c>
      <c r="E49" s="11">
        <f t="shared" si="3"/>
        <v>2269628</v>
      </c>
      <c r="F49" s="11">
        <f t="shared" si="3"/>
        <v>169790</v>
      </c>
      <c r="G49" s="11">
        <f t="shared" si="3"/>
        <v>6239426</v>
      </c>
      <c r="H49" s="14">
        <f t="shared" si="3"/>
        <v>392.27</v>
      </c>
      <c r="I49" s="17"/>
      <c r="J49" s="17"/>
    </row>
    <row r="50" spans="1:10" x14ac:dyDescent="0.25">
      <c r="A50" s="25" t="s">
        <v>14</v>
      </c>
      <c r="B50" s="25"/>
      <c r="C50" s="12">
        <f>ROUND(C49/G49,2)</f>
        <v>0.61</v>
      </c>
      <c r="D50" s="12">
        <f>ROUND(D49/G49,2)</f>
        <v>0</v>
      </c>
      <c r="E50" s="12">
        <f>ROUND(E49/G49,2)</f>
        <v>0.36</v>
      </c>
      <c r="F50" s="12">
        <f>ROUND(F49/G49,2)</f>
        <v>0.03</v>
      </c>
      <c r="G50" s="13"/>
      <c r="H50" s="13"/>
      <c r="I50" s="17"/>
      <c r="J50" s="17"/>
    </row>
    <row r="51" spans="1:10" x14ac:dyDescent="0.25">
      <c r="A51" s="2" t="s">
        <v>52</v>
      </c>
      <c r="B51" s="2"/>
      <c r="C51" s="13"/>
      <c r="D51" s="13"/>
      <c r="E51" s="13"/>
      <c r="F51" s="13"/>
      <c r="G51" s="13"/>
      <c r="H51" s="13"/>
      <c r="I51" s="17"/>
      <c r="J51" s="17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53</v>
      </c>
      <c r="B55" s="25"/>
      <c r="C55" s="11" t="s">
        <v>8</v>
      </c>
      <c r="D55" s="11" t="s">
        <v>9</v>
      </c>
      <c r="E55" s="11" t="s">
        <v>10</v>
      </c>
      <c r="F55" s="11" t="s">
        <v>11</v>
      </c>
      <c r="G55" s="11" t="s">
        <v>12</v>
      </c>
      <c r="H55" s="14" t="s">
        <v>13</v>
      </c>
      <c r="I55" s="17"/>
      <c r="J55" s="17"/>
    </row>
    <row r="56" spans="1:10" x14ac:dyDescent="0.25">
      <c r="A56" s="20" t="s">
        <v>54</v>
      </c>
      <c r="B56" s="20"/>
      <c r="C56" s="10">
        <v>2554980</v>
      </c>
      <c r="D56" s="10">
        <v>1208</v>
      </c>
      <c r="E56" s="10">
        <v>2046768</v>
      </c>
      <c r="F56" s="10">
        <v>33130</v>
      </c>
      <c r="G56" s="10">
        <f>SUM(C56:F56)</f>
        <v>4636086</v>
      </c>
      <c r="H56" s="16">
        <f>ROUND(G56/15906,2)</f>
        <v>291.47000000000003</v>
      </c>
      <c r="I56" s="9"/>
      <c r="J56" s="9"/>
    </row>
    <row r="57" spans="1:10" x14ac:dyDescent="0.25">
      <c r="A57" s="20" t="s">
        <v>55</v>
      </c>
      <c r="B57" s="20"/>
      <c r="C57" s="10">
        <v>1243820</v>
      </c>
      <c r="D57" s="10">
        <v>0</v>
      </c>
      <c r="E57" s="10">
        <v>222860</v>
      </c>
      <c r="F57" s="10">
        <v>136660</v>
      </c>
      <c r="G57" s="10">
        <f>SUM(C57:F57)</f>
        <v>1603340</v>
      </c>
      <c r="H57" s="16">
        <f>ROUND(G57/15906,2)</f>
        <v>100.8</v>
      </c>
      <c r="I57" s="9"/>
      <c r="J57" s="9"/>
    </row>
    <row r="58" spans="1:10" x14ac:dyDescent="0.25">
      <c r="A58" s="20" t="s">
        <v>56</v>
      </c>
      <c r="B58" s="20"/>
      <c r="C58" s="10">
        <v>0</v>
      </c>
      <c r="D58" s="10">
        <v>0</v>
      </c>
      <c r="E58" s="10">
        <v>0</v>
      </c>
      <c r="F58" s="10">
        <v>0</v>
      </c>
      <c r="G58" s="10">
        <f>SUM(C58:F58)</f>
        <v>0</v>
      </c>
      <c r="H58" s="16">
        <f>ROUND(G58/15906,2)</f>
        <v>0</v>
      </c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5" t="s">
        <v>57</v>
      </c>
      <c r="B63" s="25"/>
      <c r="C63" s="14" t="s">
        <v>2</v>
      </c>
      <c r="D63" s="14">
        <v>2023</v>
      </c>
      <c r="E63" s="14" t="s">
        <v>59</v>
      </c>
      <c r="F63" s="13"/>
      <c r="G63" s="14" t="s">
        <v>60</v>
      </c>
      <c r="H63" s="14" t="s">
        <v>2</v>
      </c>
      <c r="I63" s="12" t="s">
        <v>61</v>
      </c>
      <c r="J63" s="12" t="s">
        <v>59</v>
      </c>
    </row>
    <row r="64" spans="1:10" x14ac:dyDescent="0.25">
      <c r="A64" s="20" t="s">
        <v>58</v>
      </c>
      <c r="B64" s="20"/>
      <c r="C64" s="15">
        <f>ROUND(0.7833, 4)</f>
        <v>0.7833</v>
      </c>
      <c r="D64" s="15">
        <f>ROUND(0.7813, 4)</f>
        <v>0.78129999999999999</v>
      </c>
      <c r="E64" s="15">
        <f>ROUND(0.777, 4)</f>
        <v>0.77700000000000002</v>
      </c>
      <c r="F64" s="8"/>
      <c r="G64" s="14" t="s">
        <v>62</v>
      </c>
      <c r="H64" s="26" t="s">
        <v>63</v>
      </c>
      <c r="I64" s="23" t="s">
        <v>64</v>
      </c>
      <c r="J64" s="23" t="s">
        <v>65</v>
      </c>
    </row>
    <row r="65" spans="1:10" x14ac:dyDescent="0.25">
      <c r="A65" s="20" t="s">
        <v>66</v>
      </c>
      <c r="B65" s="20"/>
      <c r="C65" s="15">
        <f>ROUND(0.7737, 4)</f>
        <v>0.77370000000000005</v>
      </c>
      <c r="D65" s="15">
        <f>ROUND(0.7721, 4)</f>
        <v>0.77210000000000001</v>
      </c>
      <c r="E65" s="15">
        <f>ROUND(0.7608, 4)</f>
        <v>0.76080000000000003</v>
      </c>
      <c r="F65" s="8"/>
      <c r="G65" s="14" t="s">
        <v>67</v>
      </c>
      <c r="H65" s="27"/>
      <c r="I65" s="24"/>
      <c r="J65" s="24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9" spans="1:10" x14ac:dyDescent="0.25">
      <c r="A69" s="25" t="s">
        <v>68</v>
      </c>
      <c r="B69" s="25"/>
      <c r="C69" s="3" t="s">
        <v>2</v>
      </c>
      <c r="D69" s="3" t="s">
        <v>130</v>
      </c>
      <c r="E69" s="3" t="s">
        <v>70</v>
      </c>
      <c r="F69" s="3" t="s">
        <v>71</v>
      </c>
      <c r="G69" s="3" t="s">
        <v>72</v>
      </c>
      <c r="H69" s="2"/>
      <c r="I69" s="2"/>
      <c r="J69" s="2"/>
    </row>
    <row r="70" spans="1:10" x14ac:dyDescent="0.25">
      <c r="A70" s="20" t="s">
        <v>73</v>
      </c>
      <c r="B70" s="20"/>
      <c r="C70" s="1">
        <v>79.55</v>
      </c>
      <c r="D70" s="1">
        <v>90.4</v>
      </c>
      <c r="E70" s="1">
        <v>91.13</v>
      </c>
      <c r="F70" s="1">
        <v>54.95</v>
      </c>
      <c r="G70" s="1">
        <f>12/10*C70</f>
        <v>95.46</v>
      </c>
    </row>
    <row r="71" spans="1:10" x14ac:dyDescent="0.25">
      <c r="A71" s="20" t="s">
        <v>74</v>
      </c>
      <c r="B71" s="20"/>
      <c r="C71" s="1">
        <v>59.4</v>
      </c>
      <c r="D71" s="1">
        <v>72.87</v>
      </c>
      <c r="E71" s="1">
        <v>61.18</v>
      </c>
      <c r="F71" s="1">
        <v>62.89</v>
      </c>
      <c r="G71" s="1">
        <f>12/10*C71</f>
        <v>71.28</v>
      </c>
    </row>
    <row r="72" spans="1:10" x14ac:dyDescent="0.25">
      <c r="A72" s="20" t="s">
        <v>75</v>
      </c>
      <c r="B72" s="20"/>
      <c r="C72" s="1">
        <v>291.47000000000003</v>
      </c>
      <c r="D72" s="1">
        <v>321.12</v>
      </c>
      <c r="E72" s="1">
        <v>287.25</v>
      </c>
      <c r="F72" s="1">
        <v>278.91000000000003</v>
      </c>
      <c r="G72" s="1">
        <f>12/10*C72</f>
        <v>349.76400000000001</v>
      </c>
    </row>
    <row r="73" spans="1:10" x14ac:dyDescent="0.25">
      <c r="A73" s="20" t="s">
        <v>76</v>
      </c>
      <c r="B73" s="20"/>
      <c r="C73" s="1">
        <v>100.8</v>
      </c>
      <c r="D73" s="1">
        <v>117.02</v>
      </c>
      <c r="E73" s="1">
        <v>114.69</v>
      </c>
      <c r="F73" s="1">
        <v>78.319999999999993</v>
      </c>
      <c r="G73" s="1">
        <f>12/10*C73</f>
        <v>120.96</v>
      </c>
    </row>
    <row r="76" spans="1:10" x14ac:dyDescent="0.25">
      <c r="A76" s="21" t="s">
        <v>60</v>
      </c>
      <c r="B76" s="22"/>
    </row>
    <row r="77" spans="1:10" x14ac:dyDescent="0.25">
      <c r="A77" s="3" t="s">
        <v>77</v>
      </c>
      <c r="B77" s="1" t="s">
        <v>131</v>
      </c>
    </row>
    <row r="78" spans="1:10" x14ac:dyDescent="0.25">
      <c r="A78" s="3" t="s">
        <v>70</v>
      </c>
      <c r="B78" s="1" t="s">
        <v>79</v>
      </c>
    </row>
    <row r="79" spans="1:10" x14ac:dyDescent="0.25">
      <c r="A79" s="3" t="s">
        <v>71</v>
      </c>
      <c r="B79" s="1" t="s">
        <v>80</v>
      </c>
    </row>
    <row r="80" spans="1:10" x14ac:dyDescent="0.25">
      <c r="A80" s="3" t="s">
        <v>72</v>
      </c>
      <c r="B80" s="1" t="s">
        <v>81</v>
      </c>
    </row>
  </sheetData>
  <mergeCells count="19">
    <mergeCell ref="C7:G7"/>
    <mergeCell ref="A49:B49"/>
    <mergeCell ref="A50:B50"/>
    <mergeCell ref="A55:B55"/>
    <mergeCell ref="A56:B56"/>
    <mergeCell ref="J64:J65"/>
    <mergeCell ref="A65:B65"/>
    <mergeCell ref="A69:B69"/>
    <mergeCell ref="A70:B70"/>
    <mergeCell ref="A57:B57"/>
    <mergeCell ref="A58:B58"/>
    <mergeCell ref="A63:B63"/>
    <mergeCell ref="A64:B64"/>
    <mergeCell ref="H64:H65"/>
    <mergeCell ref="A71:B71"/>
    <mergeCell ref="A72:B72"/>
    <mergeCell ref="A73:B73"/>
    <mergeCell ref="A76:B76"/>
    <mergeCell ref="I64:I6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65.7109375" bestFit="1" customWidth="1"/>
    <col min="3" max="3" width="14.5703125" customWidth="1"/>
    <col min="4" max="4" width="4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2177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39</v>
      </c>
      <c r="F9" s="10"/>
      <c r="G9" s="10">
        <f t="shared" ref="G9:G34" si="0">SUM(C9:F9)</f>
        <v>39</v>
      </c>
      <c r="H9" s="16">
        <f t="shared" ref="H9:H34" si="1">ROUND(G9/2177,2)</f>
        <v>0.02</v>
      </c>
      <c r="I9" s="15">
        <f t="shared" ref="I9:I34" si="2">ROUND(G9/$G$35,3)</f>
        <v>0</v>
      </c>
      <c r="J9" s="15"/>
    </row>
    <row r="10" spans="1:10" x14ac:dyDescent="0.25">
      <c r="A10" s="1" t="s">
        <v>16</v>
      </c>
      <c r="B10" s="1" t="s">
        <v>90</v>
      </c>
      <c r="C10" s="10"/>
      <c r="D10" s="10">
        <v>91000</v>
      </c>
      <c r="E10" s="10"/>
      <c r="F10" s="10"/>
      <c r="G10" s="10">
        <f t="shared" si="0"/>
        <v>91000</v>
      </c>
      <c r="H10" s="16">
        <f t="shared" si="1"/>
        <v>41.8</v>
      </c>
      <c r="I10" s="15">
        <f t="shared" si="2"/>
        <v>0.13400000000000001</v>
      </c>
      <c r="J10" s="15">
        <f>ROUND(G10/85740-1,2)</f>
        <v>0.06</v>
      </c>
    </row>
    <row r="11" spans="1:10" x14ac:dyDescent="0.25">
      <c r="A11" s="1" t="s">
        <v>16</v>
      </c>
      <c r="B11" s="1" t="s">
        <v>133</v>
      </c>
      <c r="C11" s="10"/>
      <c r="D11" s="10">
        <v>4960</v>
      </c>
      <c r="E11" s="10">
        <v>1960</v>
      </c>
      <c r="F11" s="10"/>
      <c r="G11" s="10">
        <f t="shared" si="0"/>
        <v>6920</v>
      </c>
      <c r="H11" s="16">
        <f t="shared" si="1"/>
        <v>3.18</v>
      </c>
      <c r="I11" s="15">
        <f t="shared" si="2"/>
        <v>0.01</v>
      </c>
      <c r="J11" s="15">
        <f>ROUND(G11/6400-1,2)</f>
        <v>0.08</v>
      </c>
    </row>
    <row r="12" spans="1:10" x14ac:dyDescent="0.25">
      <c r="A12" s="1" t="s">
        <v>16</v>
      </c>
      <c r="B12" s="1" t="s">
        <v>20</v>
      </c>
      <c r="C12" s="10"/>
      <c r="D12" s="10">
        <v>79730</v>
      </c>
      <c r="E12" s="10"/>
      <c r="F12" s="10"/>
      <c r="G12" s="10">
        <f t="shared" si="0"/>
        <v>79730</v>
      </c>
      <c r="H12" s="16">
        <f t="shared" si="1"/>
        <v>36.619999999999997</v>
      </c>
      <c r="I12" s="15">
        <f t="shared" si="2"/>
        <v>0.11799999999999999</v>
      </c>
      <c r="J12" s="15">
        <f>ROUND(G12/82740-1,2)</f>
        <v>-0.04</v>
      </c>
    </row>
    <row r="13" spans="1:10" x14ac:dyDescent="0.25">
      <c r="A13" s="1" t="s">
        <v>16</v>
      </c>
      <c r="B13" s="1" t="s">
        <v>24</v>
      </c>
      <c r="C13" s="10"/>
      <c r="D13" s="10">
        <v>89460</v>
      </c>
      <c r="E13" s="10"/>
      <c r="F13" s="10"/>
      <c r="G13" s="10">
        <f t="shared" si="0"/>
        <v>89460</v>
      </c>
      <c r="H13" s="16">
        <f t="shared" si="1"/>
        <v>41.09</v>
      </c>
      <c r="I13" s="15">
        <f t="shared" si="2"/>
        <v>0.13200000000000001</v>
      </c>
      <c r="J13" s="15">
        <f>ROUND(G13/89340-1,2)</f>
        <v>0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2495</v>
      </c>
      <c r="F14" s="10"/>
      <c r="G14" s="10">
        <f t="shared" si="0"/>
        <v>2495</v>
      </c>
      <c r="H14" s="16">
        <f t="shared" si="1"/>
        <v>1.1499999999999999</v>
      </c>
      <c r="I14" s="15">
        <f t="shared" si="2"/>
        <v>4.0000000000000001E-3</v>
      </c>
      <c r="J14" s="15">
        <f>ROUND(G14/940-1,2)</f>
        <v>1.65</v>
      </c>
    </row>
    <row r="15" spans="1:10" x14ac:dyDescent="0.25">
      <c r="A15" s="1" t="s">
        <v>16</v>
      </c>
      <c r="B15" s="1" t="s">
        <v>26</v>
      </c>
      <c r="C15" s="10"/>
      <c r="D15" s="10">
        <v>178120</v>
      </c>
      <c r="E15" s="10"/>
      <c r="F15" s="10"/>
      <c r="G15" s="10">
        <f t="shared" si="0"/>
        <v>178120</v>
      </c>
      <c r="H15" s="16">
        <f t="shared" si="1"/>
        <v>81.819999999999993</v>
      </c>
      <c r="I15" s="15">
        <f t="shared" si="2"/>
        <v>0.26300000000000001</v>
      </c>
      <c r="J15" s="15">
        <f>ROUND(G15/124540-1,2)</f>
        <v>0.43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1270</v>
      </c>
      <c r="F16" s="10"/>
      <c r="G16" s="10">
        <f t="shared" si="0"/>
        <v>1270</v>
      </c>
      <c r="H16" s="16">
        <f t="shared" si="1"/>
        <v>0.57999999999999996</v>
      </c>
      <c r="I16" s="15">
        <f t="shared" si="2"/>
        <v>2E-3</v>
      </c>
      <c r="J16" s="15">
        <f>ROUND(G16/2580-1,2)</f>
        <v>-0.51</v>
      </c>
    </row>
    <row r="17" spans="1:10" x14ac:dyDescent="0.25">
      <c r="A17" s="1" t="s">
        <v>16</v>
      </c>
      <c r="B17" s="1" t="s">
        <v>33</v>
      </c>
      <c r="C17" s="10"/>
      <c r="D17" s="10">
        <v>120</v>
      </c>
      <c r="E17" s="10">
        <v>11</v>
      </c>
      <c r="F17" s="10"/>
      <c r="G17" s="10">
        <f t="shared" si="0"/>
        <v>131</v>
      </c>
      <c r="H17" s="16">
        <f t="shared" si="1"/>
        <v>0.06</v>
      </c>
      <c r="I17" s="15">
        <f t="shared" si="2"/>
        <v>0</v>
      </c>
      <c r="J17" s="15">
        <f>ROUND(G17/110-1,2)</f>
        <v>0.19</v>
      </c>
    </row>
    <row r="18" spans="1:10" x14ac:dyDescent="0.25">
      <c r="A18" s="1" t="s">
        <v>16</v>
      </c>
      <c r="B18" s="1" t="s">
        <v>35</v>
      </c>
      <c r="C18" s="10"/>
      <c r="D18" s="10">
        <v>50</v>
      </c>
      <c r="E18" s="10"/>
      <c r="F18" s="10"/>
      <c r="G18" s="10">
        <f t="shared" si="0"/>
        <v>50</v>
      </c>
      <c r="H18" s="16">
        <f t="shared" si="1"/>
        <v>0.02</v>
      </c>
      <c r="I18" s="15">
        <f t="shared" si="2"/>
        <v>0</v>
      </c>
      <c r="J18" s="15">
        <f>ROUND(G18/210-1,2)</f>
        <v>-0.76</v>
      </c>
    </row>
    <row r="19" spans="1:10" x14ac:dyDescent="0.25">
      <c r="A19" s="1" t="s">
        <v>16</v>
      </c>
      <c r="B19" s="1" t="s">
        <v>36</v>
      </c>
      <c r="C19" s="10"/>
      <c r="D19" s="10"/>
      <c r="E19" s="10">
        <v>900</v>
      </c>
      <c r="F19" s="10"/>
      <c r="G19" s="10">
        <f t="shared" si="0"/>
        <v>900</v>
      </c>
      <c r="H19" s="16">
        <f t="shared" si="1"/>
        <v>0.41</v>
      </c>
      <c r="I19" s="15">
        <f t="shared" si="2"/>
        <v>1E-3</v>
      </c>
      <c r="J19" s="15">
        <f>ROUND(G19/1340-1,2)</f>
        <v>-0.33</v>
      </c>
    </row>
    <row r="20" spans="1:10" x14ac:dyDescent="0.25">
      <c r="A20" s="1" t="s">
        <v>16</v>
      </c>
      <c r="B20" s="1" t="s">
        <v>37</v>
      </c>
      <c r="C20" s="10"/>
      <c r="D20" s="10"/>
      <c r="E20" s="10">
        <v>1260</v>
      </c>
      <c r="F20" s="10"/>
      <c r="G20" s="10">
        <f t="shared" si="0"/>
        <v>1260</v>
      </c>
      <c r="H20" s="16">
        <f t="shared" si="1"/>
        <v>0.57999999999999996</v>
      </c>
      <c r="I20" s="15">
        <f t="shared" si="2"/>
        <v>2E-3</v>
      </c>
      <c r="J20" s="15">
        <f>ROUND(G20/1170-1,2)</f>
        <v>0.08</v>
      </c>
    </row>
    <row r="21" spans="1:10" x14ac:dyDescent="0.25">
      <c r="A21" s="1" t="s">
        <v>16</v>
      </c>
      <c r="B21" s="1" t="s">
        <v>43</v>
      </c>
      <c r="C21" s="10"/>
      <c r="D21" s="10"/>
      <c r="E21" s="10">
        <v>2080</v>
      </c>
      <c r="F21" s="10"/>
      <c r="G21" s="10">
        <f t="shared" si="0"/>
        <v>2080</v>
      </c>
      <c r="H21" s="16">
        <f t="shared" si="1"/>
        <v>0.96</v>
      </c>
      <c r="I21" s="15">
        <f t="shared" si="2"/>
        <v>3.0000000000000001E-3</v>
      </c>
      <c r="J21" s="15">
        <f>ROUND(G21/3352-1,2)</f>
        <v>-0.38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34060</v>
      </c>
      <c r="F22" s="10"/>
      <c r="G22" s="10">
        <f t="shared" si="0"/>
        <v>34060</v>
      </c>
      <c r="H22" s="16">
        <f t="shared" si="1"/>
        <v>15.65</v>
      </c>
      <c r="I22" s="15">
        <f t="shared" si="2"/>
        <v>0.05</v>
      </c>
      <c r="J22" s="15">
        <f>ROUND(G22/15470-1,2)</f>
        <v>1.2</v>
      </c>
    </row>
    <row r="23" spans="1:10" x14ac:dyDescent="0.25">
      <c r="A23" s="1" t="s">
        <v>16</v>
      </c>
      <c r="B23" s="1" t="s">
        <v>40</v>
      </c>
      <c r="C23" s="10"/>
      <c r="D23" s="10"/>
      <c r="E23" s="10">
        <v>4200</v>
      </c>
      <c r="F23" s="10"/>
      <c r="G23" s="10">
        <f t="shared" si="0"/>
        <v>4200</v>
      </c>
      <c r="H23" s="16">
        <f t="shared" si="1"/>
        <v>1.93</v>
      </c>
      <c r="I23" s="15">
        <f t="shared" si="2"/>
        <v>6.0000000000000001E-3</v>
      </c>
      <c r="J23" s="15"/>
    </row>
    <row r="24" spans="1:10" x14ac:dyDescent="0.25">
      <c r="A24" s="1" t="s">
        <v>16</v>
      </c>
      <c r="B24" s="1" t="s">
        <v>41</v>
      </c>
      <c r="C24" s="10"/>
      <c r="D24" s="10"/>
      <c r="E24" s="10">
        <v>27620</v>
      </c>
      <c r="F24" s="10"/>
      <c r="G24" s="10">
        <f t="shared" si="0"/>
        <v>27620</v>
      </c>
      <c r="H24" s="16">
        <f t="shared" si="1"/>
        <v>12.69</v>
      </c>
      <c r="I24" s="15">
        <f t="shared" si="2"/>
        <v>4.1000000000000002E-2</v>
      </c>
      <c r="J24" s="15">
        <f>ROUND(G24/24590-1,2)</f>
        <v>0.12</v>
      </c>
    </row>
    <row r="25" spans="1:10" x14ac:dyDescent="0.25">
      <c r="A25" s="1" t="s">
        <v>16</v>
      </c>
      <c r="B25" s="1" t="s">
        <v>22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ROUND(G25/630-1,2)</f>
        <v>-1</v>
      </c>
    </row>
    <row r="26" spans="1:10" x14ac:dyDescent="0.25">
      <c r="A26" s="1" t="s">
        <v>16</v>
      </c>
      <c r="B26" s="1" t="s">
        <v>42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ROUND(G26/227-1,2)</f>
        <v>-1</v>
      </c>
    </row>
    <row r="27" spans="1:10" x14ac:dyDescent="0.25">
      <c r="A27" s="1" t="s">
        <v>16</v>
      </c>
      <c r="B27" s="1" t="s">
        <v>98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ROUND(G27/400-1,2)</f>
        <v>-1</v>
      </c>
    </row>
    <row r="28" spans="1:10" x14ac:dyDescent="0.25">
      <c r="A28" s="1" t="s">
        <v>16</v>
      </c>
      <c r="B28" s="1" t="s">
        <v>30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ROUND(G28/70-1,2)</f>
        <v>-1</v>
      </c>
    </row>
    <row r="29" spans="1:10" x14ac:dyDescent="0.25">
      <c r="A29" s="1" t="s">
        <v>16</v>
      </c>
      <c r="B29" s="1" t="s">
        <v>34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ROUND(G29/580-1,2)</f>
        <v>-1</v>
      </c>
    </row>
    <row r="30" spans="1:10" x14ac:dyDescent="0.25">
      <c r="A30" s="1" t="s">
        <v>44</v>
      </c>
      <c r="B30" s="1" t="s">
        <v>45</v>
      </c>
      <c r="C30" s="10">
        <v>125640</v>
      </c>
      <c r="D30" s="10"/>
      <c r="E30" s="10"/>
      <c r="F30" s="10"/>
      <c r="G30" s="10">
        <f t="shared" si="0"/>
        <v>125640</v>
      </c>
      <c r="H30" s="16">
        <f t="shared" si="1"/>
        <v>57.71</v>
      </c>
      <c r="I30" s="15">
        <f t="shared" si="2"/>
        <v>0.186</v>
      </c>
      <c r="J30" s="15">
        <f>ROUND(G30/122370-1,2)</f>
        <v>0.03</v>
      </c>
    </row>
    <row r="31" spans="1:10" x14ac:dyDescent="0.25">
      <c r="A31" s="1" t="s">
        <v>44</v>
      </c>
      <c r="B31" s="1" t="s">
        <v>46</v>
      </c>
      <c r="C31" s="10"/>
      <c r="D31" s="10"/>
      <c r="E31" s="10">
        <v>31710</v>
      </c>
      <c r="F31" s="10"/>
      <c r="G31" s="10">
        <f t="shared" si="0"/>
        <v>31710</v>
      </c>
      <c r="H31" s="16">
        <f t="shared" si="1"/>
        <v>14.57</v>
      </c>
      <c r="I31" s="15">
        <f t="shared" si="2"/>
        <v>4.7E-2</v>
      </c>
      <c r="J31" s="15">
        <f>ROUND(G31/1960-1,2)</f>
        <v>15.18</v>
      </c>
    </row>
    <row r="32" spans="1:10" x14ac:dyDescent="0.25">
      <c r="A32" s="1" t="s">
        <v>48</v>
      </c>
      <c r="B32" s="1" t="s">
        <v>49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ROUND(G32/425-1,2)</f>
        <v>-1</v>
      </c>
    </row>
    <row r="33" spans="1:10" x14ac:dyDescent="0.25">
      <c r="A33" s="1" t="s">
        <v>48</v>
      </c>
      <c r="B33" s="1" t="s">
        <v>50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ROUND(G33/450-1,2)</f>
        <v>-1</v>
      </c>
    </row>
    <row r="34" spans="1:10" x14ac:dyDescent="0.25">
      <c r="A34" s="1" t="s">
        <v>48</v>
      </c>
      <c r="B34" s="1" t="s">
        <v>51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25" t="s">
        <v>12</v>
      </c>
      <c r="B35" s="25"/>
      <c r="C35" s="11">
        <f t="shared" ref="C35:H35" si="3">SUM(C8:C34)</f>
        <v>125640</v>
      </c>
      <c r="D35" s="11">
        <f t="shared" si="3"/>
        <v>443440</v>
      </c>
      <c r="E35" s="11">
        <f t="shared" si="3"/>
        <v>107605</v>
      </c>
      <c r="F35" s="11">
        <f t="shared" si="3"/>
        <v>0</v>
      </c>
      <c r="G35" s="11">
        <f t="shared" si="3"/>
        <v>676685</v>
      </c>
      <c r="H35" s="14">
        <f t="shared" si="3"/>
        <v>310.84000000000003</v>
      </c>
      <c r="I35" s="17"/>
      <c r="J35" s="17"/>
    </row>
    <row r="36" spans="1:10" x14ac:dyDescent="0.25">
      <c r="A36" s="25" t="s">
        <v>14</v>
      </c>
      <c r="B36" s="25"/>
      <c r="C36" s="12">
        <f>ROUND(C35/G35,2)</f>
        <v>0.19</v>
      </c>
      <c r="D36" s="12">
        <f>ROUND(D35/G35,2)</f>
        <v>0.66</v>
      </c>
      <c r="E36" s="12">
        <f>ROUND(E35/G35,2)</f>
        <v>0.16</v>
      </c>
      <c r="F36" s="12">
        <f>ROUND(F35/G35,2)</f>
        <v>0</v>
      </c>
      <c r="G36" s="13"/>
      <c r="H36" s="13"/>
      <c r="I36" s="17"/>
      <c r="J36" s="17"/>
    </row>
    <row r="37" spans="1:10" x14ac:dyDescent="0.25">
      <c r="A37" s="2" t="s">
        <v>52</v>
      </c>
      <c r="B37" s="2"/>
      <c r="C37" s="13"/>
      <c r="D37" s="13"/>
      <c r="E37" s="13"/>
      <c r="F37" s="13"/>
      <c r="G37" s="13"/>
      <c r="H37" s="13"/>
      <c r="I37" s="17"/>
      <c r="J37" s="17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5" t="s">
        <v>53</v>
      </c>
      <c r="B41" s="25"/>
      <c r="C41" s="11" t="s">
        <v>8</v>
      </c>
      <c r="D41" s="11" t="s">
        <v>9</v>
      </c>
      <c r="E41" s="11" t="s">
        <v>10</v>
      </c>
      <c r="F41" s="11" t="s">
        <v>11</v>
      </c>
      <c r="G41" s="11" t="s">
        <v>12</v>
      </c>
      <c r="H41" s="14" t="s">
        <v>13</v>
      </c>
      <c r="I41" s="17"/>
      <c r="J41" s="17"/>
    </row>
    <row r="42" spans="1:10" x14ac:dyDescent="0.25">
      <c r="A42" s="20" t="s">
        <v>54</v>
      </c>
      <c r="B42" s="20"/>
      <c r="C42" s="10">
        <v>0</v>
      </c>
      <c r="D42" s="10">
        <v>443440</v>
      </c>
      <c r="E42" s="10">
        <v>75895</v>
      </c>
      <c r="F42" s="10">
        <v>0</v>
      </c>
      <c r="G42" s="10">
        <f>SUM(C42:F42)</f>
        <v>519335</v>
      </c>
      <c r="H42" s="16">
        <f>ROUND(G42/2177,2)</f>
        <v>238.56</v>
      </c>
      <c r="I42" s="9"/>
      <c r="J42" s="9"/>
    </row>
    <row r="43" spans="1:10" x14ac:dyDescent="0.25">
      <c r="A43" s="20" t="s">
        <v>55</v>
      </c>
      <c r="B43" s="20"/>
      <c r="C43" s="10">
        <v>125640</v>
      </c>
      <c r="D43" s="10">
        <v>0</v>
      </c>
      <c r="E43" s="10">
        <v>31710</v>
      </c>
      <c r="F43" s="10">
        <v>0</v>
      </c>
      <c r="G43" s="10">
        <f>SUM(C43:F43)</f>
        <v>157350</v>
      </c>
      <c r="H43" s="16">
        <f>ROUND(G43/2177,2)</f>
        <v>72.28</v>
      </c>
      <c r="I43" s="9"/>
      <c r="J43" s="9"/>
    </row>
    <row r="44" spans="1:10" x14ac:dyDescent="0.25">
      <c r="A44" s="20" t="s">
        <v>56</v>
      </c>
      <c r="B44" s="20"/>
      <c r="C44" s="10">
        <v>0</v>
      </c>
      <c r="D44" s="10">
        <v>0</v>
      </c>
      <c r="E44" s="10">
        <v>0</v>
      </c>
      <c r="F44" s="10">
        <v>0</v>
      </c>
      <c r="G44" s="10">
        <f>SUM(C44:F44)</f>
        <v>0</v>
      </c>
      <c r="H44" s="16">
        <f>ROUND(G44/2177,2)</f>
        <v>0</v>
      </c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5" t="s">
        <v>57</v>
      </c>
      <c r="B49" s="25"/>
      <c r="C49" s="14" t="s">
        <v>2</v>
      </c>
      <c r="D49" s="14">
        <v>2023</v>
      </c>
      <c r="E49" s="14" t="s">
        <v>59</v>
      </c>
      <c r="F49" s="13"/>
      <c r="G49" s="14" t="s">
        <v>60</v>
      </c>
      <c r="H49" s="14" t="s">
        <v>2</v>
      </c>
      <c r="I49" s="12" t="s">
        <v>61</v>
      </c>
      <c r="J49" s="12" t="s">
        <v>59</v>
      </c>
    </row>
    <row r="50" spans="1:10" x14ac:dyDescent="0.25">
      <c r="A50" s="20" t="s">
        <v>58</v>
      </c>
      <c r="B50" s="20"/>
      <c r="C50" s="15">
        <f>ROUND(0.8132, 4)</f>
        <v>0.81320000000000003</v>
      </c>
      <c r="D50" s="15">
        <f>ROUND(0.7849, 4)</f>
        <v>0.78490000000000004</v>
      </c>
      <c r="E50" s="15">
        <f>ROUND(0.777, 4)</f>
        <v>0.77700000000000002</v>
      </c>
      <c r="F50" s="8"/>
      <c r="G50" s="14" t="s">
        <v>62</v>
      </c>
      <c r="H50" s="26" t="s">
        <v>63</v>
      </c>
      <c r="I50" s="23" t="s">
        <v>64</v>
      </c>
      <c r="J50" s="23" t="s">
        <v>65</v>
      </c>
    </row>
    <row r="51" spans="1:10" x14ac:dyDescent="0.25">
      <c r="A51" s="20" t="s">
        <v>66</v>
      </c>
      <c r="B51" s="20"/>
      <c r="C51" s="15">
        <f>ROUND(0.7488, 4)</f>
        <v>0.74880000000000002</v>
      </c>
      <c r="D51" s="15">
        <f>ROUND(0.7148, 4)</f>
        <v>0.71479999999999999</v>
      </c>
      <c r="E51" s="15">
        <f>ROUND(0.7608, 4)</f>
        <v>0.76080000000000003</v>
      </c>
      <c r="F51" s="8"/>
      <c r="G51" s="14" t="s">
        <v>67</v>
      </c>
      <c r="H51" s="27"/>
      <c r="I51" s="24"/>
      <c r="J51" s="24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68</v>
      </c>
      <c r="B55" s="25"/>
      <c r="C55" s="14" t="s">
        <v>2</v>
      </c>
      <c r="D55" s="14" t="s">
        <v>134</v>
      </c>
      <c r="E55" s="14" t="s">
        <v>70</v>
      </c>
      <c r="F55" s="14" t="s">
        <v>71</v>
      </c>
      <c r="G55" s="14" t="s">
        <v>72</v>
      </c>
      <c r="H55" s="13"/>
      <c r="I55" s="17"/>
      <c r="J55" s="17"/>
    </row>
    <row r="56" spans="1:10" x14ac:dyDescent="0.25">
      <c r="A56" s="20" t="s">
        <v>73</v>
      </c>
      <c r="B56" s="20"/>
      <c r="C56" s="16">
        <v>57.71</v>
      </c>
      <c r="D56" s="16">
        <v>62.91</v>
      </c>
      <c r="E56" s="16">
        <v>91.13</v>
      </c>
      <c r="F56" s="16">
        <v>54.95</v>
      </c>
      <c r="G56" s="16">
        <f>12/10*C56</f>
        <v>69.251999999999995</v>
      </c>
      <c r="H56" s="8"/>
      <c r="I56" s="9"/>
      <c r="J56" s="9"/>
    </row>
    <row r="57" spans="1:10" x14ac:dyDescent="0.25">
      <c r="A57" s="20" t="s">
        <v>74</v>
      </c>
      <c r="B57" s="20"/>
      <c r="C57" s="16">
        <v>81.819999999999993</v>
      </c>
      <c r="D57" s="16">
        <v>73.05</v>
      </c>
      <c r="E57" s="16">
        <v>61.18</v>
      </c>
      <c r="F57" s="16">
        <v>62.89</v>
      </c>
      <c r="G57" s="16">
        <f>12/10*C57</f>
        <v>98.183999999999983</v>
      </c>
      <c r="H57" s="8"/>
      <c r="I57" s="9"/>
      <c r="J57" s="9"/>
    </row>
    <row r="58" spans="1:10" x14ac:dyDescent="0.25">
      <c r="A58" s="20" t="s">
        <v>75</v>
      </c>
      <c r="B58" s="20"/>
      <c r="C58" s="16">
        <v>238.56</v>
      </c>
      <c r="D58" s="16">
        <v>246.25</v>
      </c>
      <c r="E58" s="16">
        <v>287.25</v>
      </c>
      <c r="F58" s="16">
        <v>278.91000000000003</v>
      </c>
      <c r="G58" s="16">
        <f>12/10*C58</f>
        <v>286.27199999999999</v>
      </c>
      <c r="H58" s="8"/>
      <c r="I58" s="9"/>
      <c r="J58" s="9"/>
    </row>
    <row r="59" spans="1:10" x14ac:dyDescent="0.25">
      <c r="A59" s="20" t="s">
        <v>76</v>
      </c>
      <c r="B59" s="20"/>
      <c r="C59" s="16">
        <v>72.28</v>
      </c>
      <c r="D59" s="16">
        <v>73.33</v>
      </c>
      <c r="E59" s="16">
        <v>114.69</v>
      </c>
      <c r="F59" s="16">
        <v>78.319999999999993</v>
      </c>
      <c r="G59" s="16">
        <f>12/10*C59</f>
        <v>86.736000000000004</v>
      </c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1" t="s">
        <v>60</v>
      </c>
      <c r="B62" s="22"/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" t="s">
        <v>77</v>
      </c>
      <c r="B63" s="1" t="s">
        <v>135</v>
      </c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70</v>
      </c>
      <c r="B64" s="1" t="s">
        <v>79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71</v>
      </c>
      <c r="B65" s="1" t="s">
        <v>80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72</v>
      </c>
      <c r="B66" s="1" t="s">
        <v>81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35:B35"/>
    <mergeCell ref="A36:B36"/>
    <mergeCell ref="A41:B41"/>
    <mergeCell ref="A42:B42"/>
    <mergeCell ref="J50:J51"/>
    <mergeCell ref="A51:B51"/>
    <mergeCell ref="A55:B55"/>
    <mergeCell ref="A56:B56"/>
    <mergeCell ref="A43:B43"/>
    <mergeCell ref="A44:B44"/>
    <mergeCell ref="A49:B49"/>
    <mergeCell ref="A50:B50"/>
    <mergeCell ref="H50:H51"/>
    <mergeCell ref="A57:B57"/>
    <mergeCell ref="A58:B58"/>
    <mergeCell ref="A59:B59"/>
    <mergeCell ref="A62:B62"/>
    <mergeCell ref="I50:I5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6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426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</v>
      </c>
      <c r="F9" s="10"/>
      <c r="G9" s="10">
        <f t="shared" ref="G9:G38" si="0">SUM(C9:F9)</f>
        <v>9</v>
      </c>
      <c r="H9" s="16">
        <f t="shared" ref="H9:H38" si="1">ROUND(G9/426,2)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14650</v>
      </c>
      <c r="D10" s="10"/>
      <c r="E10" s="10">
        <v>1226</v>
      </c>
      <c r="F10" s="10"/>
      <c r="G10" s="10">
        <f t="shared" si="0"/>
        <v>15876</v>
      </c>
      <c r="H10" s="16">
        <f t="shared" si="1"/>
        <v>37.270000000000003</v>
      </c>
      <c r="I10" s="15">
        <f t="shared" si="2"/>
        <v>8.8999999999999996E-2</v>
      </c>
      <c r="J10" s="15">
        <f>ROUND(G10/17067.66-1,2)</f>
        <v>-7.0000000000000007E-2</v>
      </c>
    </row>
    <row r="11" spans="1:10" x14ac:dyDescent="0.25">
      <c r="A11" s="1" t="s">
        <v>16</v>
      </c>
      <c r="B11" s="1" t="s">
        <v>20</v>
      </c>
      <c r="C11" s="10">
        <v>30625</v>
      </c>
      <c r="D11" s="10"/>
      <c r="E11" s="10"/>
      <c r="F11" s="10"/>
      <c r="G11" s="10">
        <f t="shared" si="0"/>
        <v>30625</v>
      </c>
      <c r="H11" s="16">
        <f t="shared" si="1"/>
        <v>71.89</v>
      </c>
      <c r="I11" s="15">
        <f t="shared" si="2"/>
        <v>0.17100000000000001</v>
      </c>
      <c r="J11" s="15">
        <f>ROUND(G11/27610-1,2)</f>
        <v>0.11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46</v>
      </c>
      <c r="F12" s="10"/>
      <c r="G12" s="10">
        <f t="shared" si="0"/>
        <v>46</v>
      </c>
      <c r="H12" s="16">
        <f t="shared" si="1"/>
        <v>0.11</v>
      </c>
      <c r="I12" s="15">
        <f t="shared" si="2"/>
        <v>0</v>
      </c>
      <c r="J12" s="15">
        <f>ROUND(G12/34.29-1,2)</f>
        <v>0.34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155</v>
      </c>
      <c r="F13" s="10"/>
      <c r="G13" s="10">
        <f t="shared" si="0"/>
        <v>155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20423</v>
      </c>
      <c r="F14" s="10"/>
      <c r="G14" s="10">
        <f t="shared" si="0"/>
        <v>20423</v>
      </c>
      <c r="H14" s="16">
        <f t="shared" si="1"/>
        <v>47.94</v>
      </c>
      <c r="I14" s="15">
        <f t="shared" si="2"/>
        <v>0.114</v>
      </c>
      <c r="J14" s="15">
        <f>ROUND(G14/4286.17-1,2)</f>
        <v>3.76</v>
      </c>
    </row>
    <row r="15" spans="1:10" x14ac:dyDescent="0.25">
      <c r="A15" s="1" t="s">
        <v>16</v>
      </c>
      <c r="B15" s="1" t="s">
        <v>24</v>
      </c>
      <c r="C15" s="10">
        <v>21270</v>
      </c>
      <c r="D15" s="10"/>
      <c r="E15" s="10">
        <v>3381</v>
      </c>
      <c r="F15" s="10"/>
      <c r="G15" s="10">
        <f t="shared" si="0"/>
        <v>24651</v>
      </c>
      <c r="H15" s="16">
        <f t="shared" si="1"/>
        <v>57.87</v>
      </c>
      <c r="I15" s="15">
        <f t="shared" si="2"/>
        <v>0.13800000000000001</v>
      </c>
      <c r="J15" s="15">
        <f>ROUND(G15/23491.06-1,2)</f>
        <v>0.05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766</v>
      </c>
      <c r="F16" s="10"/>
      <c r="G16" s="10">
        <f t="shared" si="0"/>
        <v>766</v>
      </c>
      <c r="H16" s="16">
        <f t="shared" si="1"/>
        <v>1.8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15570</v>
      </c>
      <c r="D17" s="10"/>
      <c r="E17" s="10"/>
      <c r="F17" s="10"/>
      <c r="G17" s="10">
        <f t="shared" si="0"/>
        <v>15570</v>
      </c>
      <c r="H17" s="16">
        <f t="shared" si="1"/>
        <v>36.549999999999997</v>
      </c>
      <c r="I17" s="15">
        <f t="shared" si="2"/>
        <v>8.6999999999999994E-2</v>
      </c>
      <c r="J17" s="15">
        <f>ROUND(G17/16410-1,2)</f>
        <v>-0.05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209</v>
      </c>
      <c r="F18" s="10"/>
      <c r="G18" s="10">
        <f t="shared" si="0"/>
        <v>209</v>
      </c>
      <c r="H18" s="16">
        <f t="shared" si="1"/>
        <v>0.49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111</v>
      </c>
      <c r="F19" s="10"/>
      <c r="G19" s="10">
        <f t="shared" si="0"/>
        <v>111</v>
      </c>
      <c r="H19" s="16">
        <f t="shared" si="1"/>
        <v>0.26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442</v>
      </c>
      <c r="F20" s="10"/>
      <c r="G20" s="10">
        <f t="shared" si="0"/>
        <v>442</v>
      </c>
      <c r="H20" s="16">
        <f t="shared" si="1"/>
        <v>1.04</v>
      </c>
      <c r="I20" s="15">
        <f t="shared" si="2"/>
        <v>2E-3</v>
      </c>
      <c r="J20" s="15">
        <f>ROUND(G20/208.89-1,2)</f>
        <v>1.1200000000000001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109</v>
      </c>
      <c r="F21" s="10"/>
      <c r="G21" s="10">
        <f t="shared" si="0"/>
        <v>109</v>
      </c>
      <c r="H21" s="16">
        <f t="shared" si="1"/>
        <v>0.26</v>
      </c>
      <c r="I21" s="15">
        <f t="shared" si="2"/>
        <v>1E-3</v>
      </c>
      <c r="J21" s="15">
        <f>ROUND(G21/76.13-1,2)</f>
        <v>0.43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465</v>
      </c>
      <c r="F22" s="10"/>
      <c r="G22" s="10">
        <f t="shared" si="0"/>
        <v>465</v>
      </c>
      <c r="H22" s="16">
        <f t="shared" si="1"/>
        <v>1.0900000000000001</v>
      </c>
      <c r="I22" s="15">
        <f t="shared" si="2"/>
        <v>3.0000000000000001E-3</v>
      </c>
      <c r="J22" s="15">
        <f>ROUND(G22/520-1,2)</f>
        <v>-0.11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53</v>
      </c>
      <c r="F23" s="10"/>
      <c r="G23" s="10">
        <f t="shared" si="0"/>
        <v>53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62</v>
      </c>
      <c r="F24" s="10"/>
      <c r="G24" s="10">
        <f t="shared" si="0"/>
        <v>62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43</v>
      </c>
      <c r="C25" s="10"/>
      <c r="D25" s="10"/>
      <c r="E25" s="10">
        <v>564</v>
      </c>
      <c r="F25" s="10"/>
      <c r="G25" s="10">
        <f t="shared" si="0"/>
        <v>564</v>
      </c>
      <c r="H25" s="16">
        <f t="shared" si="1"/>
        <v>1.32</v>
      </c>
      <c r="I25" s="15">
        <f t="shared" si="2"/>
        <v>3.0000000000000001E-3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676</v>
      </c>
      <c r="F26" s="10"/>
      <c r="G26" s="10">
        <f t="shared" si="0"/>
        <v>676</v>
      </c>
      <c r="H26" s="16">
        <f t="shared" si="1"/>
        <v>1.59</v>
      </c>
      <c r="I26" s="15">
        <f t="shared" si="2"/>
        <v>4.0000000000000001E-3</v>
      </c>
      <c r="J26" s="15">
        <f>ROUND(G26/162.22-1,2)</f>
        <v>3.17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13288</v>
      </c>
      <c r="F27" s="10"/>
      <c r="G27" s="10">
        <f t="shared" si="0"/>
        <v>13288</v>
      </c>
      <c r="H27" s="16">
        <f t="shared" si="1"/>
        <v>31.19</v>
      </c>
      <c r="I27" s="15">
        <f t="shared" si="2"/>
        <v>7.3999999999999996E-2</v>
      </c>
      <c r="J27" s="15">
        <f>ROUND(G27/6641.66-1,2)</f>
        <v>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4858</v>
      </c>
      <c r="F28" s="10"/>
      <c r="G28" s="10">
        <f t="shared" si="0"/>
        <v>4858</v>
      </c>
      <c r="H28" s="16">
        <f t="shared" si="1"/>
        <v>11.4</v>
      </c>
      <c r="I28" s="15">
        <f t="shared" si="2"/>
        <v>2.7E-2</v>
      </c>
      <c r="J28" s="15">
        <f>ROUND(G28/2472.19-1,2)</f>
        <v>0.97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2298</v>
      </c>
      <c r="F29" s="10"/>
      <c r="G29" s="10">
        <f t="shared" si="0"/>
        <v>2298</v>
      </c>
      <c r="H29" s="16">
        <f t="shared" si="1"/>
        <v>5.39</v>
      </c>
      <c r="I29" s="15">
        <f t="shared" si="2"/>
        <v>1.2999999999999999E-2</v>
      </c>
      <c r="J29" s="15">
        <f>ROUND(G29/1039.82-1,2)</f>
        <v>1.21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ROUND(G30/541.9-1,2)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ROUND(G31/188.33-1,2)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40640</v>
      </c>
      <c r="D35" s="10"/>
      <c r="E35" s="10"/>
      <c r="F35" s="10"/>
      <c r="G35" s="10">
        <f t="shared" si="0"/>
        <v>40640</v>
      </c>
      <c r="H35" s="16">
        <f t="shared" si="1"/>
        <v>95.4</v>
      </c>
      <c r="I35" s="15">
        <f t="shared" si="2"/>
        <v>0.22700000000000001</v>
      </c>
      <c r="J35" s="15">
        <f>ROUND(G35/54510-1,2)</f>
        <v>-0.25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7317</v>
      </c>
      <c r="F36" s="10"/>
      <c r="G36" s="10">
        <f t="shared" si="0"/>
        <v>7317</v>
      </c>
      <c r="H36" s="16">
        <f t="shared" si="1"/>
        <v>17.18</v>
      </c>
      <c r="I36" s="15">
        <f t="shared" si="2"/>
        <v>4.1000000000000002E-2</v>
      </c>
      <c r="J36" s="15">
        <f>ROUND(G36/4301.25-1,2)</f>
        <v>0.7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5" t="s">
        <v>12</v>
      </c>
      <c r="B39" s="25"/>
      <c r="C39" s="11">
        <f t="shared" ref="C39:H39" si="3">SUM(C8:C38)</f>
        <v>122755</v>
      </c>
      <c r="D39" s="11">
        <f t="shared" si="3"/>
        <v>0</v>
      </c>
      <c r="E39" s="11">
        <f t="shared" si="3"/>
        <v>56458</v>
      </c>
      <c r="F39" s="11">
        <f t="shared" si="3"/>
        <v>0</v>
      </c>
      <c r="G39" s="11">
        <f t="shared" si="3"/>
        <v>179213</v>
      </c>
      <c r="H39" s="14">
        <f t="shared" si="3"/>
        <v>420.68999999999988</v>
      </c>
      <c r="I39" s="17"/>
      <c r="J39" s="17"/>
    </row>
    <row r="40" spans="1:10" x14ac:dyDescent="0.25">
      <c r="A40" s="25" t="s">
        <v>14</v>
      </c>
      <c r="B40" s="25"/>
      <c r="C40" s="12">
        <f>ROUND(C39/G39,2)</f>
        <v>0.68</v>
      </c>
      <c r="D40" s="12">
        <f>ROUND(D39/G39,2)</f>
        <v>0</v>
      </c>
      <c r="E40" s="12">
        <f>ROUND(E39/G39,2)</f>
        <v>0.32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5" t="s">
        <v>53</v>
      </c>
      <c r="B45" s="25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0" t="s">
        <v>54</v>
      </c>
      <c r="B46" s="20"/>
      <c r="C46" s="10">
        <v>82115</v>
      </c>
      <c r="D46" s="10">
        <v>0</v>
      </c>
      <c r="E46" s="10">
        <v>49141</v>
      </c>
      <c r="F46" s="10">
        <v>0</v>
      </c>
      <c r="G46" s="10">
        <f>SUM(C46:F46)</f>
        <v>131256</v>
      </c>
      <c r="H46" s="16">
        <f>ROUND(G46/426,2)</f>
        <v>308.11</v>
      </c>
      <c r="I46" s="9"/>
      <c r="J46" s="9"/>
    </row>
    <row r="47" spans="1:10" x14ac:dyDescent="0.25">
      <c r="A47" s="20" t="s">
        <v>55</v>
      </c>
      <c r="B47" s="20"/>
      <c r="C47" s="10">
        <v>40640</v>
      </c>
      <c r="D47" s="10">
        <v>0</v>
      </c>
      <c r="E47" s="10">
        <v>7317</v>
      </c>
      <c r="F47" s="10">
        <v>0</v>
      </c>
      <c r="G47" s="10">
        <f>SUM(C47:F47)</f>
        <v>47957</v>
      </c>
      <c r="H47" s="16">
        <f>ROUND(G47/426,2)</f>
        <v>112.58</v>
      </c>
      <c r="I47" s="9"/>
      <c r="J47" s="9"/>
    </row>
    <row r="48" spans="1:10" x14ac:dyDescent="0.25">
      <c r="A48" s="20" t="s">
        <v>56</v>
      </c>
      <c r="B48" s="20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ROUND(G48/426,2)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57</v>
      </c>
      <c r="B53" s="25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0" t="s">
        <v>58</v>
      </c>
      <c r="B54" s="20"/>
      <c r="C54" s="15">
        <f>ROUND(0.7427, 4)</f>
        <v>0.74270000000000003</v>
      </c>
      <c r="D54" s="15">
        <f>ROUND(0.6353, 4)</f>
        <v>0.63529999999999998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3" t="s">
        <v>64</v>
      </c>
      <c r="J54" s="23" t="s">
        <v>65</v>
      </c>
    </row>
    <row r="55" spans="1:10" x14ac:dyDescent="0.25">
      <c r="A55" s="20" t="s">
        <v>66</v>
      </c>
      <c r="B55" s="20"/>
      <c r="C55" s="15">
        <f>ROUND(0.7055, 4)</f>
        <v>0.70550000000000002</v>
      </c>
      <c r="D55" s="15">
        <f>ROUND(0.5952, 4)</f>
        <v>0.59519999999999995</v>
      </c>
      <c r="E55" s="15">
        <f>ROUND(0.7608, 4)</f>
        <v>0.76080000000000003</v>
      </c>
      <c r="F55" s="8"/>
      <c r="G55" s="14" t="s">
        <v>67</v>
      </c>
      <c r="H55" s="27"/>
      <c r="I55" s="24"/>
      <c r="J55" s="24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68</v>
      </c>
      <c r="B59" s="25"/>
      <c r="C59" s="14" t="s">
        <v>2</v>
      </c>
      <c r="D59" s="14" t="s">
        <v>137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0" t="s">
        <v>73</v>
      </c>
      <c r="B60" s="20"/>
      <c r="C60" s="16">
        <v>95.4</v>
      </c>
      <c r="D60" s="16">
        <v>119</v>
      </c>
      <c r="E60" s="16">
        <v>91.13</v>
      </c>
      <c r="F60" s="16">
        <v>54.95</v>
      </c>
      <c r="G60" s="16">
        <f>12/10*C60</f>
        <v>114.48</v>
      </c>
      <c r="H60" s="8"/>
      <c r="I60" s="9"/>
      <c r="J60" s="9"/>
    </row>
    <row r="61" spans="1:10" x14ac:dyDescent="0.25">
      <c r="A61" s="20" t="s">
        <v>74</v>
      </c>
      <c r="B61" s="20"/>
      <c r="C61" s="16">
        <v>36.549999999999997</v>
      </c>
      <c r="D61" s="16">
        <v>50.93</v>
      </c>
      <c r="E61" s="16">
        <v>61.18</v>
      </c>
      <c r="F61" s="16">
        <v>62.89</v>
      </c>
      <c r="G61" s="16">
        <f>12/10*C61</f>
        <v>43.859999999999992</v>
      </c>
      <c r="H61" s="8"/>
      <c r="I61" s="9"/>
      <c r="J61" s="9"/>
    </row>
    <row r="62" spans="1:10" x14ac:dyDescent="0.25">
      <c r="A62" s="20" t="s">
        <v>75</v>
      </c>
      <c r="B62" s="20"/>
      <c r="C62" s="16">
        <v>308.11</v>
      </c>
      <c r="D62" s="16">
        <v>314.69</v>
      </c>
      <c r="E62" s="16">
        <v>287.25</v>
      </c>
      <c r="F62" s="16">
        <v>278.91000000000003</v>
      </c>
      <c r="G62" s="16">
        <f>12/10*C62</f>
        <v>369.73200000000003</v>
      </c>
      <c r="H62" s="8"/>
      <c r="I62" s="9"/>
      <c r="J62" s="9"/>
    </row>
    <row r="63" spans="1:10" x14ac:dyDescent="0.25">
      <c r="A63" s="20" t="s">
        <v>76</v>
      </c>
      <c r="B63" s="20"/>
      <c r="C63" s="16">
        <v>112.58</v>
      </c>
      <c r="D63" s="16">
        <v>153.11000000000001</v>
      </c>
      <c r="E63" s="16">
        <v>114.69</v>
      </c>
      <c r="F63" s="16">
        <v>78.319999999999993</v>
      </c>
      <c r="G63" s="16">
        <f>12/10*C63</f>
        <v>135.096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2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138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2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3143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24</v>
      </c>
      <c r="F9" s="10"/>
      <c r="G9" s="10">
        <f t="shared" ref="G9:G38" si="0">SUM(C9:F9)</f>
        <v>24</v>
      </c>
      <c r="H9" s="16">
        <f t="shared" ref="H9:H38" si="1">ROUND(G9/3143,2)</f>
        <v>0.01</v>
      </c>
      <c r="I9" s="15">
        <f t="shared" ref="I9:I38" si="2">ROUND(G9/$G$39,3)</f>
        <v>0</v>
      </c>
      <c r="J9" s="15">
        <f>ROUND(G9/80-1,2)</f>
        <v>-0.7</v>
      </c>
    </row>
    <row r="10" spans="1:10" x14ac:dyDescent="0.25">
      <c r="A10" s="1" t="s">
        <v>16</v>
      </c>
      <c r="B10" s="1" t="s">
        <v>19</v>
      </c>
      <c r="C10" s="10">
        <v>84990</v>
      </c>
      <c r="D10" s="10"/>
      <c r="E10" s="10"/>
      <c r="F10" s="10">
        <v>420</v>
      </c>
      <c r="G10" s="10">
        <f t="shared" si="0"/>
        <v>85410</v>
      </c>
      <c r="H10" s="16">
        <f t="shared" si="1"/>
        <v>27.17</v>
      </c>
      <c r="I10" s="15">
        <f t="shared" si="2"/>
        <v>0.104</v>
      </c>
      <c r="J10" s="15">
        <f>ROUND(G10/82080-1,2)</f>
        <v>0.04</v>
      </c>
    </row>
    <row r="11" spans="1:10" x14ac:dyDescent="0.25">
      <c r="A11" s="1" t="s">
        <v>16</v>
      </c>
      <c r="B11" s="1" t="s">
        <v>20</v>
      </c>
      <c r="C11" s="10">
        <v>104400</v>
      </c>
      <c r="D11" s="10"/>
      <c r="E11" s="10"/>
      <c r="F11" s="10"/>
      <c r="G11" s="10">
        <f t="shared" si="0"/>
        <v>104400</v>
      </c>
      <c r="H11" s="16">
        <f t="shared" si="1"/>
        <v>33.22</v>
      </c>
      <c r="I11" s="15">
        <f t="shared" si="2"/>
        <v>0.127</v>
      </c>
      <c r="J11" s="15">
        <f>ROUND(G11/121210-1,2)</f>
        <v>-0.14000000000000001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84</v>
      </c>
      <c r="F12" s="10"/>
      <c r="G12" s="10">
        <f t="shared" si="0"/>
        <v>84</v>
      </c>
      <c r="H12" s="16">
        <f t="shared" si="1"/>
        <v>0.03</v>
      </c>
      <c r="I12" s="15">
        <f t="shared" si="2"/>
        <v>0</v>
      </c>
      <c r="J12" s="15">
        <f>ROUND(G12/81-1,2)</f>
        <v>0.04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181</v>
      </c>
      <c r="F13" s="10"/>
      <c r="G13" s="10">
        <f t="shared" si="0"/>
        <v>181</v>
      </c>
      <c r="H13" s="16">
        <f t="shared" si="1"/>
        <v>0.06</v>
      </c>
      <c r="I13" s="15">
        <f t="shared" si="2"/>
        <v>0</v>
      </c>
      <c r="J13" s="15">
        <f>ROUND(G13/204-1,2)</f>
        <v>-0.11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35100</v>
      </c>
      <c r="F14" s="10"/>
      <c r="G14" s="10">
        <f t="shared" si="0"/>
        <v>35100</v>
      </c>
      <c r="H14" s="16">
        <f t="shared" si="1"/>
        <v>11.17</v>
      </c>
      <c r="I14" s="15">
        <f t="shared" si="2"/>
        <v>4.2999999999999997E-2</v>
      </c>
      <c r="J14" s="15">
        <f>ROUND(G14/20300-1,2)</f>
        <v>0.73</v>
      </c>
    </row>
    <row r="15" spans="1:10" x14ac:dyDescent="0.25">
      <c r="A15" s="1" t="s">
        <v>16</v>
      </c>
      <c r="B15" s="1" t="s">
        <v>24</v>
      </c>
      <c r="C15" s="10">
        <v>123000</v>
      </c>
      <c r="D15" s="10"/>
      <c r="E15" s="10"/>
      <c r="F15" s="10">
        <v>300</v>
      </c>
      <c r="G15" s="10">
        <f t="shared" si="0"/>
        <v>123300</v>
      </c>
      <c r="H15" s="16">
        <f t="shared" si="1"/>
        <v>39.229999999999997</v>
      </c>
      <c r="I15" s="15">
        <f t="shared" si="2"/>
        <v>0.15</v>
      </c>
      <c r="J15" s="15">
        <f>ROUND(G15/118900-1,2)</f>
        <v>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2955</v>
      </c>
      <c r="F16" s="10"/>
      <c r="G16" s="10">
        <f t="shared" si="0"/>
        <v>2955</v>
      </c>
      <c r="H16" s="16">
        <f t="shared" si="1"/>
        <v>0.94</v>
      </c>
      <c r="I16" s="15">
        <f t="shared" si="2"/>
        <v>4.0000000000000001E-3</v>
      </c>
      <c r="J16" s="15">
        <f>ROUND(G16/3880-1,2)</f>
        <v>-0.24</v>
      </c>
    </row>
    <row r="17" spans="1:10" x14ac:dyDescent="0.25">
      <c r="A17" s="1" t="s">
        <v>16</v>
      </c>
      <c r="B17" s="1" t="s">
        <v>26</v>
      </c>
      <c r="C17" s="10">
        <v>156850</v>
      </c>
      <c r="D17" s="10"/>
      <c r="E17" s="10"/>
      <c r="F17" s="10">
        <v>1090</v>
      </c>
      <c r="G17" s="10">
        <f t="shared" si="0"/>
        <v>157940</v>
      </c>
      <c r="H17" s="16">
        <f t="shared" si="1"/>
        <v>50.25</v>
      </c>
      <c r="I17" s="15">
        <f t="shared" si="2"/>
        <v>0.192</v>
      </c>
      <c r="J17" s="15">
        <f>ROUND(G17/158100-1,2)</f>
        <v>0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503</v>
      </c>
      <c r="F18" s="10"/>
      <c r="G18" s="10">
        <f t="shared" si="0"/>
        <v>503</v>
      </c>
      <c r="H18" s="16">
        <f t="shared" si="1"/>
        <v>0.16</v>
      </c>
      <c r="I18" s="15">
        <f t="shared" si="2"/>
        <v>1E-3</v>
      </c>
      <c r="J18" s="15">
        <f>ROUND(G18/152-1,2)</f>
        <v>2.31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319</v>
      </c>
      <c r="F19" s="10"/>
      <c r="G19" s="10">
        <f t="shared" si="0"/>
        <v>319</v>
      </c>
      <c r="H19" s="16">
        <f t="shared" si="1"/>
        <v>0.1</v>
      </c>
      <c r="I19" s="15">
        <f t="shared" si="2"/>
        <v>0</v>
      </c>
      <c r="J19" s="15">
        <f>ROUND(G19/100-1,2)</f>
        <v>2.19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1200</v>
      </c>
      <c r="F20" s="10"/>
      <c r="G20" s="10">
        <f t="shared" si="0"/>
        <v>1200</v>
      </c>
      <c r="H20" s="16">
        <f t="shared" si="1"/>
        <v>0.38</v>
      </c>
      <c r="I20" s="15">
        <f t="shared" si="2"/>
        <v>1E-3</v>
      </c>
      <c r="J20" s="15">
        <f>ROUND(G20/4628-1,2)</f>
        <v>-0.74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610</v>
      </c>
      <c r="F21" s="10"/>
      <c r="G21" s="10">
        <f t="shared" si="0"/>
        <v>610</v>
      </c>
      <c r="H21" s="16">
        <f t="shared" si="1"/>
        <v>0.19</v>
      </c>
      <c r="I21" s="15">
        <f t="shared" si="2"/>
        <v>1E-3</v>
      </c>
      <c r="J21" s="15">
        <f>ROUND(G21/640-1,2)</f>
        <v>-0.05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600</v>
      </c>
      <c r="F22" s="10"/>
      <c r="G22" s="10">
        <f t="shared" si="0"/>
        <v>600</v>
      </c>
      <c r="H22" s="16">
        <f t="shared" si="1"/>
        <v>0.19</v>
      </c>
      <c r="I22" s="15">
        <f t="shared" si="2"/>
        <v>1E-3</v>
      </c>
      <c r="J22" s="15">
        <f>ROUND(G22/350-1,2)</f>
        <v>0.71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675</v>
      </c>
      <c r="F23" s="10"/>
      <c r="G23" s="10">
        <f t="shared" si="0"/>
        <v>675</v>
      </c>
      <c r="H23" s="16">
        <f t="shared" si="1"/>
        <v>0.21</v>
      </c>
      <c r="I23" s="15">
        <f t="shared" si="2"/>
        <v>1E-3</v>
      </c>
      <c r="J23" s="15">
        <f>ROUND(G23/665-1,2)</f>
        <v>0.02</v>
      </c>
    </row>
    <row r="24" spans="1:10" x14ac:dyDescent="0.25">
      <c r="A24" s="1" t="s">
        <v>16</v>
      </c>
      <c r="B24" s="1" t="s">
        <v>33</v>
      </c>
      <c r="C24" s="10"/>
      <c r="D24" s="10">
        <v>286</v>
      </c>
      <c r="E24" s="10">
        <v>87</v>
      </c>
      <c r="F24" s="10"/>
      <c r="G24" s="10">
        <f t="shared" si="0"/>
        <v>373</v>
      </c>
      <c r="H24" s="16">
        <f t="shared" si="1"/>
        <v>0.12</v>
      </c>
      <c r="I24" s="15">
        <f t="shared" si="2"/>
        <v>0</v>
      </c>
      <c r="J24" s="15">
        <f>ROUND(G24/274-1,2)</f>
        <v>0.36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710</v>
      </c>
      <c r="F25" s="10"/>
      <c r="G25" s="10">
        <f t="shared" si="0"/>
        <v>710</v>
      </c>
      <c r="H25" s="16">
        <f t="shared" si="1"/>
        <v>0.23</v>
      </c>
      <c r="I25" s="15">
        <f t="shared" si="2"/>
        <v>1E-3</v>
      </c>
      <c r="J25" s="15">
        <f>ROUND(G25/570-1,2)</f>
        <v>0.25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580</v>
      </c>
      <c r="F26" s="10"/>
      <c r="G26" s="10">
        <f t="shared" si="0"/>
        <v>580</v>
      </c>
      <c r="H26" s="16">
        <f t="shared" si="1"/>
        <v>0.18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36</v>
      </c>
      <c r="C27" s="10"/>
      <c r="D27" s="10"/>
      <c r="E27" s="10">
        <v>752</v>
      </c>
      <c r="F27" s="10"/>
      <c r="G27" s="10">
        <f t="shared" si="0"/>
        <v>752</v>
      </c>
      <c r="H27" s="16">
        <f t="shared" si="1"/>
        <v>0.24</v>
      </c>
      <c r="I27" s="15">
        <f t="shared" si="2"/>
        <v>1E-3</v>
      </c>
      <c r="J27" s="15">
        <f>ROUND(G27/3372-1,2)</f>
        <v>-0.78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1176</v>
      </c>
      <c r="F28" s="10"/>
      <c r="G28" s="10">
        <f t="shared" si="0"/>
        <v>1176</v>
      </c>
      <c r="H28" s="16">
        <f t="shared" si="1"/>
        <v>0.37</v>
      </c>
      <c r="I28" s="15">
        <f t="shared" si="2"/>
        <v>1E-3</v>
      </c>
      <c r="J28" s="15">
        <f>ROUND(G28/3743-1,2)</f>
        <v>-0.69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3827</v>
      </c>
      <c r="F29" s="10"/>
      <c r="G29" s="10">
        <f t="shared" si="0"/>
        <v>3827</v>
      </c>
      <c r="H29" s="16">
        <f t="shared" si="1"/>
        <v>1.22</v>
      </c>
      <c r="I29" s="15">
        <f t="shared" si="2"/>
        <v>5.0000000000000001E-3</v>
      </c>
      <c r="J29" s="15">
        <f>ROUND(G29/6564-1,2)</f>
        <v>-0.42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50020</v>
      </c>
      <c r="F30" s="10"/>
      <c r="G30" s="10">
        <f t="shared" si="0"/>
        <v>50020</v>
      </c>
      <c r="H30" s="16">
        <f t="shared" si="1"/>
        <v>15.91</v>
      </c>
      <c r="I30" s="15">
        <f t="shared" si="2"/>
        <v>6.0999999999999999E-2</v>
      </c>
      <c r="J30" s="15">
        <f>ROUND(G30/35370-1,2)</f>
        <v>0.41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3790</v>
      </c>
      <c r="F31" s="10"/>
      <c r="G31" s="10">
        <f t="shared" si="0"/>
        <v>3790</v>
      </c>
      <c r="H31" s="16">
        <f t="shared" si="1"/>
        <v>1.21</v>
      </c>
      <c r="I31" s="15">
        <f t="shared" si="2"/>
        <v>5.0000000000000001E-3</v>
      </c>
      <c r="J31" s="15">
        <f>ROUND(G31/3475-1,2)</f>
        <v>0.09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13500</v>
      </c>
      <c r="F32" s="10"/>
      <c r="G32" s="10">
        <f t="shared" si="0"/>
        <v>13500</v>
      </c>
      <c r="H32" s="16">
        <f t="shared" si="1"/>
        <v>4.3</v>
      </c>
      <c r="I32" s="15">
        <f t="shared" si="2"/>
        <v>1.6E-2</v>
      </c>
      <c r="J32" s="15">
        <f>ROUND(G32/10390-1,2)</f>
        <v>0.3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46860</v>
      </c>
      <c r="F33" s="10">
        <v>1060</v>
      </c>
      <c r="G33" s="10">
        <f t="shared" si="0"/>
        <v>47920</v>
      </c>
      <c r="H33" s="16">
        <f t="shared" si="1"/>
        <v>15.25</v>
      </c>
      <c r="I33" s="15">
        <f t="shared" si="2"/>
        <v>5.8000000000000003E-2</v>
      </c>
      <c r="J33" s="15">
        <f>ROUND(G33/44080-1,2)</f>
        <v>0.09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ROUND(G34/234-1,2)</f>
        <v>-1</v>
      </c>
    </row>
    <row r="35" spans="1:10" x14ac:dyDescent="0.25">
      <c r="A35" s="1" t="s">
        <v>44</v>
      </c>
      <c r="B35" s="1" t="s">
        <v>45</v>
      </c>
      <c r="C35" s="10">
        <v>128150</v>
      </c>
      <c r="D35" s="10"/>
      <c r="E35" s="10"/>
      <c r="F35" s="10"/>
      <c r="G35" s="10">
        <f t="shared" si="0"/>
        <v>128150</v>
      </c>
      <c r="H35" s="16">
        <f t="shared" si="1"/>
        <v>40.770000000000003</v>
      </c>
      <c r="I35" s="15">
        <f t="shared" si="2"/>
        <v>0.156</v>
      </c>
      <c r="J35" s="15">
        <f>ROUND(G35/114250-1,2)</f>
        <v>0.12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>
        <v>17220</v>
      </c>
      <c r="G36" s="10">
        <f t="shared" si="0"/>
        <v>17220</v>
      </c>
      <c r="H36" s="16">
        <f t="shared" si="1"/>
        <v>5.48</v>
      </c>
      <c r="I36" s="15">
        <f t="shared" si="2"/>
        <v>2.1000000000000001E-2</v>
      </c>
      <c r="J36" s="15">
        <f>ROUND(G36/19740-1,2)</f>
        <v>-0.13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40140</v>
      </c>
      <c r="F37" s="10"/>
      <c r="G37" s="10">
        <f t="shared" si="0"/>
        <v>40140</v>
      </c>
      <c r="H37" s="16">
        <f t="shared" si="1"/>
        <v>12.77</v>
      </c>
      <c r="I37" s="15">
        <f t="shared" si="2"/>
        <v>4.9000000000000002E-2</v>
      </c>
      <c r="J37" s="15">
        <f>ROUND(G37/30130-1,2)</f>
        <v>0.33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ROUND(G38/10-1,2)</f>
        <v>-1</v>
      </c>
    </row>
    <row r="39" spans="1:10" x14ac:dyDescent="0.25">
      <c r="A39" s="25" t="s">
        <v>12</v>
      </c>
      <c r="B39" s="25"/>
      <c r="C39" s="11">
        <f t="shared" ref="C39:H39" si="3">SUM(C8:C38)</f>
        <v>597390</v>
      </c>
      <c r="D39" s="11">
        <f t="shared" si="3"/>
        <v>286</v>
      </c>
      <c r="E39" s="11">
        <f t="shared" si="3"/>
        <v>203693</v>
      </c>
      <c r="F39" s="11">
        <f t="shared" si="3"/>
        <v>20090</v>
      </c>
      <c r="G39" s="11">
        <f t="shared" si="3"/>
        <v>821459</v>
      </c>
      <c r="H39" s="14">
        <f t="shared" si="3"/>
        <v>261.36</v>
      </c>
      <c r="I39" s="17"/>
      <c r="J39" s="17"/>
    </row>
    <row r="40" spans="1:10" x14ac:dyDescent="0.25">
      <c r="A40" s="25" t="s">
        <v>14</v>
      </c>
      <c r="B40" s="25"/>
      <c r="C40" s="12">
        <f>ROUND(C39/G39,2)</f>
        <v>0.73</v>
      </c>
      <c r="D40" s="12">
        <f>ROUND(D39/G39,2)</f>
        <v>0</v>
      </c>
      <c r="E40" s="12">
        <f>ROUND(E39/G39,2)</f>
        <v>0.25</v>
      </c>
      <c r="F40" s="12">
        <f>ROUND(F39/G39,2)</f>
        <v>0.02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5" t="s">
        <v>53</v>
      </c>
      <c r="B45" s="25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0" t="s">
        <v>54</v>
      </c>
      <c r="B46" s="20"/>
      <c r="C46" s="10">
        <v>469240</v>
      </c>
      <c r="D46" s="10">
        <v>286</v>
      </c>
      <c r="E46" s="10">
        <v>163553</v>
      </c>
      <c r="F46" s="10">
        <v>2870</v>
      </c>
      <c r="G46" s="10">
        <f>SUM(C46:F46)</f>
        <v>635949</v>
      </c>
      <c r="H46" s="16">
        <f>ROUND(G46/3143,2)</f>
        <v>202.34</v>
      </c>
      <c r="I46" s="9"/>
      <c r="J46" s="9"/>
    </row>
    <row r="47" spans="1:10" x14ac:dyDescent="0.25">
      <c r="A47" s="20" t="s">
        <v>55</v>
      </c>
      <c r="B47" s="20"/>
      <c r="C47" s="10">
        <v>128150</v>
      </c>
      <c r="D47" s="10">
        <v>0</v>
      </c>
      <c r="E47" s="10">
        <v>40140</v>
      </c>
      <c r="F47" s="10">
        <v>17220</v>
      </c>
      <c r="G47" s="10">
        <f>SUM(C47:F47)</f>
        <v>185510</v>
      </c>
      <c r="H47" s="16">
        <f>ROUND(G47/3143,2)</f>
        <v>59.02</v>
      </c>
      <c r="I47" s="9"/>
      <c r="J47" s="9"/>
    </row>
    <row r="48" spans="1:10" x14ac:dyDescent="0.25">
      <c r="A48" s="20" t="s">
        <v>56</v>
      </c>
      <c r="B48" s="20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ROUND(G48/3143,2)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57</v>
      </c>
      <c r="B53" s="25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0" t="s">
        <v>58</v>
      </c>
      <c r="B54" s="20"/>
      <c r="C54" s="15">
        <f>ROUND(0.8293, 4)</f>
        <v>0.82930000000000004</v>
      </c>
      <c r="D54" s="15">
        <f>ROUND(0.8432, 4)</f>
        <v>0.84319999999999995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3" t="s">
        <v>64</v>
      </c>
      <c r="J54" s="23" t="s">
        <v>65</v>
      </c>
    </row>
    <row r="55" spans="1:10" x14ac:dyDescent="0.25">
      <c r="A55" s="20" t="s">
        <v>66</v>
      </c>
      <c r="B55" s="20"/>
      <c r="C55" s="15">
        <f>ROUND(0.8153, 4)</f>
        <v>0.81530000000000002</v>
      </c>
      <c r="D55" s="15">
        <f>ROUND(0.8294, 4)</f>
        <v>0.82940000000000003</v>
      </c>
      <c r="E55" s="15">
        <f>ROUND(0.7608, 4)</f>
        <v>0.76080000000000003</v>
      </c>
      <c r="F55" s="8"/>
      <c r="G55" s="14" t="s">
        <v>67</v>
      </c>
      <c r="H55" s="27"/>
      <c r="I55" s="24"/>
      <c r="J55" s="24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68</v>
      </c>
      <c r="B59" s="25"/>
      <c r="C59" s="14" t="s">
        <v>2</v>
      </c>
      <c r="D59" s="14" t="s">
        <v>140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0" t="s">
        <v>73</v>
      </c>
      <c r="B60" s="20"/>
      <c r="C60" s="16">
        <v>40.770000000000003</v>
      </c>
      <c r="D60" s="16">
        <v>49.27</v>
      </c>
      <c r="E60" s="16">
        <v>91.13</v>
      </c>
      <c r="F60" s="16">
        <v>54.95</v>
      </c>
      <c r="G60" s="16">
        <f>12/10*C60</f>
        <v>48.923999999999999</v>
      </c>
      <c r="H60" s="8"/>
      <c r="I60" s="9"/>
      <c r="J60" s="9"/>
    </row>
    <row r="61" spans="1:10" x14ac:dyDescent="0.25">
      <c r="A61" s="20" t="s">
        <v>74</v>
      </c>
      <c r="B61" s="20"/>
      <c r="C61" s="16">
        <v>50.25</v>
      </c>
      <c r="D61" s="16">
        <v>55.86</v>
      </c>
      <c r="E61" s="16">
        <v>61.18</v>
      </c>
      <c r="F61" s="16">
        <v>62.89</v>
      </c>
      <c r="G61" s="16">
        <f>12/10*C61</f>
        <v>60.3</v>
      </c>
      <c r="H61" s="8"/>
      <c r="I61" s="9"/>
      <c r="J61" s="9"/>
    </row>
    <row r="62" spans="1:10" x14ac:dyDescent="0.25">
      <c r="A62" s="20" t="s">
        <v>75</v>
      </c>
      <c r="B62" s="20"/>
      <c r="C62" s="16">
        <v>202.34</v>
      </c>
      <c r="D62" s="16">
        <v>234.83</v>
      </c>
      <c r="E62" s="16">
        <v>287.25</v>
      </c>
      <c r="F62" s="16">
        <v>278.91000000000003</v>
      </c>
      <c r="G62" s="16">
        <f>12/10*C62</f>
        <v>242.80799999999999</v>
      </c>
      <c r="H62" s="8"/>
      <c r="I62" s="9"/>
      <c r="J62" s="9"/>
    </row>
    <row r="63" spans="1:10" x14ac:dyDescent="0.25">
      <c r="A63" s="20" t="s">
        <v>76</v>
      </c>
      <c r="B63" s="20"/>
      <c r="C63" s="16">
        <v>59.02</v>
      </c>
      <c r="D63" s="16">
        <v>67.22</v>
      </c>
      <c r="E63" s="16">
        <v>114.69</v>
      </c>
      <c r="F63" s="16">
        <v>78.319999999999993</v>
      </c>
      <c r="G63" s="16">
        <f>12/10*C63</f>
        <v>70.823999999999998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2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141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2014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54</v>
      </c>
      <c r="F9" s="10"/>
      <c r="G9" s="10">
        <f t="shared" ref="G9:G43" si="0">SUM(C9:F9)</f>
        <v>54</v>
      </c>
      <c r="H9" s="16">
        <f t="shared" ref="H9:H43" si="1">ROUND(G9/2014,2)</f>
        <v>0.03</v>
      </c>
      <c r="I9" s="15">
        <f t="shared" ref="I9:I43" si="2">ROUND(G9/$G$44,3)</f>
        <v>0</v>
      </c>
      <c r="J9" s="15">
        <f>ROUND(G9/117-1,2)</f>
        <v>-0.54</v>
      </c>
    </row>
    <row r="10" spans="1:10" x14ac:dyDescent="0.25">
      <c r="A10" s="1" t="s">
        <v>16</v>
      </c>
      <c r="B10" s="1" t="s">
        <v>19</v>
      </c>
      <c r="C10" s="10">
        <v>59630</v>
      </c>
      <c r="D10" s="10"/>
      <c r="E10" s="10"/>
      <c r="F10" s="10"/>
      <c r="G10" s="10">
        <f t="shared" si="0"/>
        <v>59630</v>
      </c>
      <c r="H10" s="16">
        <f t="shared" si="1"/>
        <v>29.61</v>
      </c>
      <c r="I10" s="15">
        <f t="shared" si="2"/>
        <v>8.3000000000000004E-2</v>
      </c>
      <c r="J10" s="15">
        <f>ROUND(G10/57140-1,2)</f>
        <v>0.04</v>
      </c>
    </row>
    <row r="11" spans="1:10" x14ac:dyDescent="0.25">
      <c r="A11" s="1" t="s">
        <v>16</v>
      </c>
      <c r="B11" s="1" t="s">
        <v>20</v>
      </c>
      <c r="C11" s="10">
        <v>61100</v>
      </c>
      <c r="D11" s="10"/>
      <c r="E11" s="10"/>
      <c r="F11" s="10">
        <v>100</v>
      </c>
      <c r="G11" s="10">
        <f t="shared" si="0"/>
        <v>61200</v>
      </c>
      <c r="H11" s="16">
        <f t="shared" si="1"/>
        <v>30.39</v>
      </c>
      <c r="I11" s="15">
        <f t="shared" si="2"/>
        <v>8.5000000000000006E-2</v>
      </c>
      <c r="J11" s="15">
        <f>ROUND(G11/62720-1,2)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96</v>
      </c>
      <c r="F12" s="10"/>
      <c r="G12" s="10">
        <f t="shared" si="0"/>
        <v>96</v>
      </c>
      <c r="H12" s="16">
        <f t="shared" si="1"/>
        <v>0.05</v>
      </c>
      <c r="I12" s="15">
        <f t="shared" si="2"/>
        <v>0</v>
      </c>
      <c r="J12" s="15">
        <f>ROUND(G12/32-1,2)</f>
        <v>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57</v>
      </c>
      <c r="F13" s="10"/>
      <c r="G13" s="10">
        <f t="shared" si="0"/>
        <v>57</v>
      </c>
      <c r="H13" s="16">
        <f t="shared" si="1"/>
        <v>0.03</v>
      </c>
      <c r="I13" s="15">
        <f t="shared" si="2"/>
        <v>0</v>
      </c>
      <c r="J13" s="15">
        <f>ROUND(G13/81-1,2)</f>
        <v>-0.3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2380</v>
      </c>
      <c r="F14" s="10"/>
      <c r="G14" s="10">
        <f t="shared" si="0"/>
        <v>2380</v>
      </c>
      <c r="H14" s="16">
        <f t="shared" si="1"/>
        <v>1.18</v>
      </c>
      <c r="I14" s="15">
        <f t="shared" si="2"/>
        <v>3.0000000000000001E-3</v>
      </c>
      <c r="J14" s="15">
        <f>ROUND(G14/1810-1,2)</f>
        <v>0.31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55820</v>
      </c>
      <c r="F15" s="10"/>
      <c r="G15" s="10">
        <f t="shared" si="0"/>
        <v>55820</v>
      </c>
      <c r="H15" s="16">
        <f t="shared" si="1"/>
        <v>27.72</v>
      </c>
      <c r="I15" s="15">
        <f t="shared" si="2"/>
        <v>7.8E-2</v>
      </c>
      <c r="J15" s="15">
        <f>ROUND(G15/70550-1,2)</f>
        <v>-0.21</v>
      </c>
    </row>
    <row r="16" spans="1:10" x14ac:dyDescent="0.25">
      <c r="A16" s="1" t="s">
        <v>16</v>
      </c>
      <c r="B16" s="1" t="s">
        <v>24</v>
      </c>
      <c r="C16" s="10">
        <v>70500</v>
      </c>
      <c r="D16" s="10"/>
      <c r="E16" s="10">
        <v>8685</v>
      </c>
      <c r="F16" s="10"/>
      <c r="G16" s="10">
        <f t="shared" si="0"/>
        <v>79185</v>
      </c>
      <c r="H16" s="16">
        <f t="shared" si="1"/>
        <v>39.32</v>
      </c>
      <c r="I16" s="15">
        <f t="shared" si="2"/>
        <v>0.11</v>
      </c>
      <c r="J16" s="15">
        <f>ROUND(G16/83605-1,2)</f>
        <v>-0.05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3030</v>
      </c>
      <c r="F17" s="10"/>
      <c r="G17" s="10">
        <f t="shared" si="0"/>
        <v>3030</v>
      </c>
      <c r="H17" s="16">
        <f t="shared" si="1"/>
        <v>1.5</v>
      </c>
      <c r="I17" s="15">
        <f t="shared" si="2"/>
        <v>4.0000000000000001E-3</v>
      </c>
      <c r="J17" s="15">
        <f>ROUND(G17/3905-1,2)</f>
        <v>-0.22</v>
      </c>
    </row>
    <row r="18" spans="1:10" x14ac:dyDescent="0.25">
      <c r="A18" s="1" t="s">
        <v>16</v>
      </c>
      <c r="B18" s="1" t="s">
        <v>26</v>
      </c>
      <c r="C18" s="10">
        <v>112120</v>
      </c>
      <c r="D18" s="10"/>
      <c r="E18" s="10"/>
      <c r="F18" s="10">
        <v>140</v>
      </c>
      <c r="G18" s="10">
        <f t="shared" si="0"/>
        <v>112260</v>
      </c>
      <c r="H18" s="16">
        <f t="shared" si="1"/>
        <v>55.74</v>
      </c>
      <c r="I18" s="15">
        <f t="shared" si="2"/>
        <v>0.156</v>
      </c>
      <c r="J18" s="15">
        <f>ROUND(G18/119400-1,2)</f>
        <v>-0.06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375</v>
      </c>
      <c r="F19" s="10"/>
      <c r="G19" s="10">
        <f t="shared" si="0"/>
        <v>375</v>
      </c>
      <c r="H19" s="16">
        <f t="shared" si="1"/>
        <v>0.19</v>
      </c>
      <c r="I19" s="15">
        <f t="shared" si="2"/>
        <v>1E-3</v>
      </c>
      <c r="J19" s="15">
        <f>ROUND(G19/505-1,2)</f>
        <v>-0.26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180</v>
      </c>
      <c r="F20" s="10"/>
      <c r="G20" s="10">
        <f t="shared" si="0"/>
        <v>180</v>
      </c>
      <c r="H20" s="16">
        <f t="shared" si="1"/>
        <v>0.09</v>
      </c>
      <c r="I20" s="15">
        <f t="shared" si="2"/>
        <v>0</v>
      </c>
      <c r="J20" s="15">
        <f>ROUND(G20/291-1,2)</f>
        <v>-0.38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89</v>
      </c>
      <c r="F21" s="10"/>
      <c r="G21" s="10">
        <f t="shared" si="0"/>
        <v>89</v>
      </c>
      <c r="H21" s="16">
        <f t="shared" si="1"/>
        <v>0.04</v>
      </c>
      <c r="I21" s="15">
        <f t="shared" si="2"/>
        <v>0</v>
      </c>
      <c r="J21" s="15">
        <f>ROUND(G21/219-1,2)</f>
        <v>-0.59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2330</v>
      </c>
      <c r="F22" s="10"/>
      <c r="G22" s="10">
        <f t="shared" si="0"/>
        <v>2330</v>
      </c>
      <c r="H22" s="16">
        <f t="shared" si="1"/>
        <v>1.1599999999999999</v>
      </c>
      <c r="I22" s="15">
        <f t="shared" si="2"/>
        <v>3.0000000000000001E-3</v>
      </c>
      <c r="J22" s="15">
        <f>ROUND(G22/3860-1,2)</f>
        <v>-0.4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230</v>
      </c>
      <c r="F23" s="10"/>
      <c r="G23" s="10">
        <f t="shared" si="0"/>
        <v>230</v>
      </c>
      <c r="H23" s="16">
        <f t="shared" si="1"/>
        <v>0.11</v>
      </c>
      <c r="I23" s="15">
        <f t="shared" si="2"/>
        <v>0</v>
      </c>
      <c r="J23" s="15">
        <f>ROUND(G23/370-1,2)</f>
        <v>-0.38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650</v>
      </c>
      <c r="F24" s="10"/>
      <c r="G24" s="10">
        <f t="shared" si="0"/>
        <v>650</v>
      </c>
      <c r="H24" s="16">
        <f t="shared" si="1"/>
        <v>0.32</v>
      </c>
      <c r="I24" s="15">
        <f t="shared" si="2"/>
        <v>1E-3</v>
      </c>
      <c r="J24" s="15">
        <f>ROUND(G24/500-1,2)</f>
        <v>0.3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862</v>
      </c>
      <c r="F25" s="10"/>
      <c r="G25" s="10">
        <f t="shared" si="0"/>
        <v>862</v>
      </c>
      <c r="H25" s="16">
        <f t="shared" si="1"/>
        <v>0.43</v>
      </c>
      <c r="I25" s="15">
        <f t="shared" si="2"/>
        <v>1E-3</v>
      </c>
      <c r="J25" s="15">
        <f>ROUND(G25/1075-1,2)</f>
        <v>-0.2</v>
      </c>
    </row>
    <row r="26" spans="1:10" x14ac:dyDescent="0.25">
      <c r="A26" s="1" t="s">
        <v>16</v>
      </c>
      <c r="B26" s="1" t="s">
        <v>33</v>
      </c>
      <c r="C26" s="10"/>
      <c r="D26" s="10">
        <v>88</v>
      </c>
      <c r="E26" s="10">
        <v>41</v>
      </c>
      <c r="F26" s="10"/>
      <c r="G26" s="10">
        <f t="shared" si="0"/>
        <v>129</v>
      </c>
      <c r="H26" s="16">
        <f t="shared" si="1"/>
        <v>0.06</v>
      </c>
      <c r="I26" s="15">
        <f t="shared" si="2"/>
        <v>0</v>
      </c>
      <c r="J26" s="15">
        <f>ROUND(G26/153-1,2)</f>
        <v>-0.16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280</v>
      </c>
      <c r="F27" s="10"/>
      <c r="G27" s="10">
        <f t="shared" si="0"/>
        <v>280</v>
      </c>
      <c r="H27" s="16">
        <f t="shared" si="1"/>
        <v>0.14000000000000001</v>
      </c>
      <c r="I27" s="15">
        <f t="shared" si="2"/>
        <v>0</v>
      </c>
      <c r="J27" s="15">
        <f>ROUND(G27/730-1,2)</f>
        <v>-0.62</v>
      </c>
    </row>
    <row r="28" spans="1:10" x14ac:dyDescent="0.25">
      <c r="A28" s="1" t="s">
        <v>16</v>
      </c>
      <c r="B28" s="1" t="s">
        <v>35</v>
      </c>
      <c r="C28" s="10"/>
      <c r="D28" s="10">
        <v>55</v>
      </c>
      <c r="E28" s="10">
        <v>200</v>
      </c>
      <c r="F28" s="10"/>
      <c r="G28" s="10">
        <f t="shared" si="0"/>
        <v>255</v>
      </c>
      <c r="H28" s="16">
        <f t="shared" si="1"/>
        <v>0.13</v>
      </c>
      <c r="I28" s="15">
        <f t="shared" si="2"/>
        <v>0</v>
      </c>
      <c r="J28" s="15">
        <f>ROUND(G28/300-1,2)</f>
        <v>-0.15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3130</v>
      </c>
      <c r="F29" s="10"/>
      <c r="G29" s="10">
        <f t="shared" si="0"/>
        <v>3130</v>
      </c>
      <c r="H29" s="16">
        <f t="shared" si="1"/>
        <v>1.55</v>
      </c>
      <c r="I29" s="15">
        <f t="shared" si="2"/>
        <v>4.0000000000000001E-3</v>
      </c>
      <c r="J29" s="15">
        <f>ROUND(G29/4340-1,2)</f>
        <v>-0.28000000000000003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2740</v>
      </c>
      <c r="F30" s="10"/>
      <c r="G30" s="10">
        <f t="shared" si="0"/>
        <v>2740</v>
      </c>
      <c r="H30" s="16">
        <f t="shared" si="1"/>
        <v>1.36</v>
      </c>
      <c r="I30" s="15">
        <f t="shared" si="2"/>
        <v>4.0000000000000001E-3</v>
      </c>
      <c r="J30" s="15">
        <f>ROUND(G30/6078-1,2)</f>
        <v>-0.55000000000000004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53240</v>
      </c>
      <c r="F31" s="10"/>
      <c r="G31" s="10">
        <f t="shared" si="0"/>
        <v>53240</v>
      </c>
      <c r="H31" s="16">
        <f t="shared" si="1"/>
        <v>26.43</v>
      </c>
      <c r="I31" s="15">
        <f t="shared" si="2"/>
        <v>7.3999999999999996E-2</v>
      </c>
      <c r="J31" s="15">
        <f>ROUND(G31/48350-1,2)</f>
        <v>0.1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15220</v>
      </c>
      <c r="F32" s="10"/>
      <c r="G32" s="10">
        <f t="shared" si="0"/>
        <v>15220</v>
      </c>
      <c r="H32" s="16">
        <f t="shared" si="1"/>
        <v>7.56</v>
      </c>
      <c r="I32" s="15">
        <f t="shared" si="2"/>
        <v>2.1000000000000001E-2</v>
      </c>
      <c r="J32" s="15">
        <f>ROUND(G32/13900-1,2)</f>
        <v>0.09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74900</v>
      </c>
      <c r="F33" s="10"/>
      <c r="G33" s="10">
        <f t="shared" si="0"/>
        <v>74900</v>
      </c>
      <c r="H33" s="16">
        <f t="shared" si="1"/>
        <v>37.19</v>
      </c>
      <c r="I33" s="15">
        <f t="shared" si="2"/>
        <v>0.104</v>
      </c>
      <c r="J33" s="15">
        <f>ROUND(G33/62950-1,2)</f>
        <v>0.19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ROUND(G34/3300-1,2)</f>
        <v>-1</v>
      </c>
    </row>
    <row r="35" spans="1:10" x14ac:dyDescent="0.25">
      <c r="A35" s="1" t="s">
        <v>16</v>
      </c>
      <c r="B35" s="1" t="s">
        <v>143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144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120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145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131470</v>
      </c>
      <c r="D39" s="10"/>
      <c r="E39" s="10"/>
      <c r="F39" s="10"/>
      <c r="G39" s="10">
        <f t="shared" si="0"/>
        <v>131470</v>
      </c>
      <c r="H39" s="16">
        <f t="shared" si="1"/>
        <v>65.28</v>
      </c>
      <c r="I39" s="15">
        <f t="shared" si="2"/>
        <v>0.183</v>
      </c>
      <c r="J39" s="15">
        <f>ROUND(G39/123850-1,2)</f>
        <v>0.06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58850</v>
      </c>
      <c r="F40" s="10"/>
      <c r="G40" s="10">
        <f t="shared" si="0"/>
        <v>58850</v>
      </c>
      <c r="H40" s="16">
        <f t="shared" si="1"/>
        <v>29.22</v>
      </c>
      <c r="I40" s="15">
        <f t="shared" si="2"/>
        <v>8.2000000000000003E-2</v>
      </c>
      <c r="J40" s="15">
        <f>ROUND(G40/53680-1,2)</f>
        <v>0.1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5" t="s">
        <v>12</v>
      </c>
      <c r="B44" s="25"/>
      <c r="C44" s="11">
        <f t="shared" ref="C44:H44" si="3">SUM(C8:C43)</f>
        <v>434820</v>
      </c>
      <c r="D44" s="11">
        <f t="shared" si="3"/>
        <v>143</v>
      </c>
      <c r="E44" s="11">
        <f t="shared" si="3"/>
        <v>283439</v>
      </c>
      <c r="F44" s="11">
        <f t="shared" si="3"/>
        <v>240</v>
      </c>
      <c r="G44" s="11">
        <f t="shared" si="3"/>
        <v>718642</v>
      </c>
      <c r="H44" s="14">
        <f t="shared" si="3"/>
        <v>356.83000000000004</v>
      </c>
      <c r="I44" s="17"/>
      <c r="J44" s="17"/>
    </row>
    <row r="45" spans="1:10" x14ac:dyDescent="0.25">
      <c r="A45" s="25" t="s">
        <v>14</v>
      </c>
      <c r="B45" s="25"/>
      <c r="C45" s="12">
        <f>ROUND(C44/G44,2)</f>
        <v>0.61</v>
      </c>
      <c r="D45" s="12">
        <f>ROUND(D44/G44,2)</f>
        <v>0</v>
      </c>
      <c r="E45" s="12">
        <f>ROUND(E44/G44,2)</f>
        <v>0.39</v>
      </c>
      <c r="F45" s="12">
        <f>ROUND(F44/G44,2)</f>
        <v>0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53</v>
      </c>
      <c r="B50" s="25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0" t="s">
        <v>54</v>
      </c>
      <c r="B51" s="20"/>
      <c r="C51" s="10">
        <v>303350</v>
      </c>
      <c r="D51" s="10">
        <v>143</v>
      </c>
      <c r="E51" s="10">
        <v>224589</v>
      </c>
      <c r="F51" s="10">
        <v>240</v>
      </c>
      <c r="G51" s="10">
        <f>SUM(C51:F51)</f>
        <v>528322</v>
      </c>
      <c r="H51" s="16">
        <f>ROUND(G51/2014,2)</f>
        <v>262.32</v>
      </c>
      <c r="I51" s="9"/>
      <c r="J51" s="9"/>
    </row>
    <row r="52" spans="1:10" x14ac:dyDescent="0.25">
      <c r="A52" s="20" t="s">
        <v>55</v>
      </c>
      <c r="B52" s="20"/>
      <c r="C52" s="10">
        <v>131470</v>
      </c>
      <c r="D52" s="10">
        <v>0</v>
      </c>
      <c r="E52" s="10">
        <v>58850</v>
      </c>
      <c r="F52" s="10">
        <v>0</v>
      </c>
      <c r="G52" s="10">
        <f>SUM(C52:F52)</f>
        <v>190320</v>
      </c>
      <c r="H52" s="16">
        <f>ROUND(G52/2014,2)</f>
        <v>94.5</v>
      </c>
      <c r="I52" s="9"/>
      <c r="J52" s="9"/>
    </row>
    <row r="53" spans="1:10" x14ac:dyDescent="0.25">
      <c r="A53" s="20" t="s">
        <v>56</v>
      </c>
      <c r="B53" s="20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ROUND(G53/2014,2)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57</v>
      </c>
      <c r="B58" s="25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0" t="s">
        <v>58</v>
      </c>
      <c r="B59" s="20"/>
      <c r="C59" s="15">
        <f>ROUND(0.7998, 4)</f>
        <v>0.79979999999999996</v>
      </c>
      <c r="D59" s="15">
        <f>ROUND(0.7972, 4)</f>
        <v>0.79720000000000002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3" t="s">
        <v>64</v>
      </c>
      <c r="J59" s="23" t="s">
        <v>65</v>
      </c>
    </row>
    <row r="60" spans="1:10" x14ac:dyDescent="0.25">
      <c r="A60" s="20" t="s">
        <v>66</v>
      </c>
      <c r="B60" s="20"/>
      <c r="C60" s="15">
        <f>ROUND(0.7882, 4)</f>
        <v>0.78820000000000001</v>
      </c>
      <c r="D60" s="15">
        <f>ROUND(0.7863, 4)</f>
        <v>0.7863</v>
      </c>
      <c r="E60" s="15">
        <f>ROUND(0.7608, 4)</f>
        <v>0.76080000000000003</v>
      </c>
      <c r="F60" s="8"/>
      <c r="G60" s="14" t="s">
        <v>67</v>
      </c>
      <c r="H60" s="27"/>
      <c r="I60" s="24"/>
      <c r="J60" s="24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5" t="s">
        <v>68</v>
      </c>
      <c r="B64" s="25"/>
      <c r="C64" s="14" t="s">
        <v>2</v>
      </c>
      <c r="D64" s="14" t="s">
        <v>146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0" t="s">
        <v>73</v>
      </c>
      <c r="B65" s="20"/>
      <c r="C65" s="16">
        <v>65.28</v>
      </c>
      <c r="D65" s="16">
        <v>73.989999999999995</v>
      </c>
      <c r="E65" s="16">
        <v>91.13</v>
      </c>
      <c r="F65" s="16">
        <v>54.95</v>
      </c>
      <c r="G65" s="16">
        <f>12/10*C65</f>
        <v>78.335999999999999</v>
      </c>
      <c r="H65" s="8"/>
      <c r="I65" s="9"/>
      <c r="J65" s="9"/>
    </row>
    <row r="66" spans="1:10" x14ac:dyDescent="0.25">
      <c r="A66" s="20" t="s">
        <v>74</v>
      </c>
      <c r="B66" s="20"/>
      <c r="C66" s="16">
        <v>55.74</v>
      </c>
      <c r="D66" s="16">
        <v>72.650000000000006</v>
      </c>
      <c r="E66" s="16">
        <v>61.18</v>
      </c>
      <c r="F66" s="16">
        <v>62.89</v>
      </c>
      <c r="G66" s="16">
        <f>12/10*C66</f>
        <v>66.888000000000005</v>
      </c>
      <c r="H66" s="8"/>
      <c r="I66" s="9"/>
      <c r="J66" s="9"/>
    </row>
    <row r="67" spans="1:10" x14ac:dyDescent="0.25">
      <c r="A67" s="20" t="s">
        <v>75</v>
      </c>
      <c r="B67" s="20"/>
      <c r="C67" s="16">
        <v>262.32</v>
      </c>
      <c r="D67" s="16">
        <v>301.49</v>
      </c>
      <c r="E67" s="16">
        <v>287.25</v>
      </c>
      <c r="F67" s="16">
        <v>278.91000000000003</v>
      </c>
      <c r="G67" s="16">
        <f>12/10*C67</f>
        <v>314.78399999999999</v>
      </c>
      <c r="H67" s="8"/>
      <c r="I67" s="9"/>
      <c r="J67" s="9"/>
    </row>
    <row r="68" spans="1:10" x14ac:dyDescent="0.25">
      <c r="A68" s="20" t="s">
        <v>76</v>
      </c>
      <c r="B68" s="20"/>
      <c r="C68" s="16">
        <v>94.5</v>
      </c>
      <c r="D68" s="16">
        <v>106.65</v>
      </c>
      <c r="E68" s="16">
        <v>114.69</v>
      </c>
      <c r="F68" s="16">
        <v>78.319999999999993</v>
      </c>
      <c r="G68" s="16">
        <f>12/10*C68</f>
        <v>113.39999999999999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1" t="s">
        <v>60</v>
      </c>
      <c r="B71" s="22"/>
    </row>
    <row r="72" spans="1:10" x14ac:dyDescent="0.25">
      <c r="A72" s="3" t="s">
        <v>77</v>
      </c>
      <c r="B72" s="1" t="s">
        <v>147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6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148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2233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25</v>
      </c>
      <c r="F9" s="10"/>
      <c r="G9" s="10">
        <f t="shared" ref="G9:G37" si="0">SUM(C9:F9)</f>
        <v>25</v>
      </c>
      <c r="H9" s="16">
        <f t="shared" ref="H9:H37" si="1">ROUND(G9/2233,2)</f>
        <v>0.01</v>
      </c>
      <c r="I9" s="15">
        <f t="shared" ref="I9:I37" si="2">ROUND(G9/$G$38,3)</f>
        <v>0</v>
      </c>
      <c r="J9" s="15">
        <f>ROUND(G9/40-1,2)</f>
        <v>-0.38</v>
      </c>
    </row>
    <row r="10" spans="1:10" x14ac:dyDescent="0.25">
      <c r="A10" s="1" t="s">
        <v>16</v>
      </c>
      <c r="B10" s="1" t="s">
        <v>19</v>
      </c>
      <c r="C10" s="10">
        <v>63790</v>
      </c>
      <c r="D10" s="10"/>
      <c r="E10" s="10"/>
      <c r="F10" s="10"/>
      <c r="G10" s="10">
        <f t="shared" si="0"/>
        <v>63790</v>
      </c>
      <c r="H10" s="16">
        <f t="shared" si="1"/>
        <v>28.57</v>
      </c>
      <c r="I10" s="15">
        <f t="shared" si="2"/>
        <v>6.9000000000000006E-2</v>
      </c>
      <c r="J10" s="15">
        <f>ROUND(G10/64300-1,2)</f>
        <v>-0.01</v>
      </c>
    </row>
    <row r="11" spans="1:10" x14ac:dyDescent="0.25">
      <c r="A11" s="1" t="s">
        <v>16</v>
      </c>
      <c r="B11" s="1" t="s">
        <v>20</v>
      </c>
      <c r="C11" s="10">
        <v>79420</v>
      </c>
      <c r="D11" s="10"/>
      <c r="E11" s="10"/>
      <c r="F11" s="10"/>
      <c r="G11" s="10">
        <f t="shared" si="0"/>
        <v>79420</v>
      </c>
      <c r="H11" s="16">
        <f t="shared" si="1"/>
        <v>35.57</v>
      </c>
      <c r="I11" s="15">
        <f t="shared" si="2"/>
        <v>8.5999999999999993E-2</v>
      </c>
      <c r="J11" s="15">
        <f>ROUND(G11/73790-1,2)</f>
        <v>0.08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1620</v>
      </c>
      <c r="F12" s="10"/>
      <c r="G12" s="10">
        <f t="shared" si="0"/>
        <v>1620</v>
      </c>
      <c r="H12" s="16">
        <f t="shared" si="1"/>
        <v>0.73</v>
      </c>
      <c r="I12" s="15">
        <f t="shared" si="2"/>
        <v>2E-3</v>
      </c>
      <c r="J12" s="15">
        <f>ROUND(G12/900-1,2)</f>
        <v>0.8</v>
      </c>
    </row>
    <row r="13" spans="1:10" x14ac:dyDescent="0.25">
      <c r="A13" s="1" t="s">
        <v>16</v>
      </c>
      <c r="B13" s="1" t="s">
        <v>98</v>
      </c>
      <c r="C13" s="10"/>
      <c r="D13" s="10"/>
      <c r="E13" s="10"/>
      <c r="F13" s="10">
        <v>340</v>
      </c>
      <c r="G13" s="10">
        <f t="shared" si="0"/>
        <v>340</v>
      </c>
      <c r="H13" s="16">
        <f t="shared" si="1"/>
        <v>0.15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88920</v>
      </c>
      <c r="F14" s="10"/>
      <c r="G14" s="10">
        <f t="shared" si="0"/>
        <v>88920</v>
      </c>
      <c r="H14" s="16">
        <f t="shared" si="1"/>
        <v>39.82</v>
      </c>
      <c r="I14" s="15">
        <f t="shared" si="2"/>
        <v>9.6000000000000002E-2</v>
      </c>
      <c r="J14" s="15">
        <f>ROUND(G14/95420-1,2)</f>
        <v>-7.0000000000000007E-2</v>
      </c>
    </row>
    <row r="15" spans="1:10" x14ac:dyDescent="0.25">
      <c r="A15" s="1" t="s">
        <v>16</v>
      </c>
      <c r="B15" s="1" t="s">
        <v>24</v>
      </c>
      <c r="C15" s="10">
        <v>97080</v>
      </c>
      <c r="D15" s="10"/>
      <c r="E15" s="10"/>
      <c r="F15" s="10"/>
      <c r="G15" s="10">
        <f t="shared" si="0"/>
        <v>97080</v>
      </c>
      <c r="H15" s="16">
        <f t="shared" si="1"/>
        <v>43.48</v>
      </c>
      <c r="I15" s="15">
        <f t="shared" si="2"/>
        <v>0.105</v>
      </c>
      <c r="J15" s="15">
        <f>ROUND(G15/98330-1,2)</f>
        <v>-0.01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5685</v>
      </c>
      <c r="F16" s="10"/>
      <c r="G16" s="10">
        <f t="shared" si="0"/>
        <v>5685</v>
      </c>
      <c r="H16" s="16">
        <f t="shared" si="1"/>
        <v>2.5499999999999998</v>
      </c>
      <c r="I16" s="15">
        <f t="shared" si="2"/>
        <v>6.0000000000000001E-3</v>
      </c>
      <c r="J16" s="15">
        <f>ROUND(G16/2225-1,2)</f>
        <v>1.56</v>
      </c>
    </row>
    <row r="17" spans="1:10" x14ac:dyDescent="0.25">
      <c r="A17" s="1" t="s">
        <v>16</v>
      </c>
      <c r="B17" s="1" t="s">
        <v>26</v>
      </c>
      <c r="C17" s="10">
        <v>146440</v>
      </c>
      <c r="D17" s="10"/>
      <c r="E17" s="10"/>
      <c r="F17" s="10"/>
      <c r="G17" s="10">
        <f t="shared" si="0"/>
        <v>146440</v>
      </c>
      <c r="H17" s="16">
        <f t="shared" si="1"/>
        <v>65.58</v>
      </c>
      <c r="I17" s="15">
        <f t="shared" si="2"/>
        <v>0.159</v>
      </c>
      <c r="J17" s="15">
        <f>ROUND(G17/146050-1,2)</f>
        <v>0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225</v>
      </c>
      <c r="F18" s="10"/>
      <c r="G18" s="10">
        <f t="shared" si="0"/>
        <v>225</v>
      </c>
      <c r="H18" s="16">
        <f t="shared" si="1"/>
        <v>0.1</v>
      </c>
      <c r="I18" s="15">
        <f t="shared" si="2"/>
        <v>0</v>
      </c>
      <c r="J18" s="15">
        <f>ROUND(G18/291-1,2)</f>
        <v>-0.23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172</v>
      </c>
      <c r="F19" s="10"/>
      <c r="G19" s="10">
        <f t="shared" si="0"/>
        <v>172</v>
      </c>
      <c r="H19" s="16">
        <f t="shared" si="1"/>
        <v>0.08</v>
      </c>
      <c r="I19" s="15">
        <f t="shared" si="2"/>
        <v>0</v>
      </c>
      <c r="J19" s="15">
        <f>ROUND(G19/195-1,2)</f>
        <v>-0.12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247</v>
      </c>
      <c r="F20" s="10"/>
      <c r="G20" s="10">
        <f t="shared" si="0"/>
        <v>247</v>
      </c>
      <c r="H20" s="16">
        <f t="shared" si="1"/>
        <v>0.11</v>
      </c>
      <c r="I20" s="15">
        <f t="shared" si="2"/>
        <v>0</v>
      </c>
      <c r="J20" s="15">
        <f>ROUND(G20/157-1,2)</f>
        <v>0.56999999999999995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720</v>
      </c>
      <c r="F21" s="10"/>
      <c r="G21" s="10">
        <f t="shared" si="0"/>
        <v>720</v>
      </c>
      <c r="H21" s="16">
        <f t="shared" si="1"/>
        <v>0.32</v>
      </c>
      <c r="I21" s="15">
        <f t="shared" si="2"/>
        <v>1E-3</v>
      </c>
      <c r="J21" s="15">
        <f>ROUND(G21/2180-1,2)</f>
        <v>-0.67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640</v>
      </c>
      <c r="F22" s="10"/>
      <c r="G22" s="10">
        <f t="shared" si="0"/>
        <v>640</v>
      </c>
      <c r="H22" s="16">
        <f t="shared" si="1"/>
        <v>0.28999999999999998</v>
      </c>
      <c r="I22" s="15">
        <f t="shared" si="2"/>
        <v>1E-3</v>
      </c>
      <c r="J22" s="15">
        <f>ROUND(G22/400-1,2)</f>
        <v>0.6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460</v>
      </c>
      <c r="F23" s="10"/>
      <c r="G23" s="10">
        <f t="shared" si="0"/>
        <v>460</v>
      </c>
      <c r="H23" s="16">
        <f t="shared" si="1"/>
        <v>0.21</v>
      </c>
      <c r="I23" s="15">
        <f t="shared" si="2"/>
        <v>0</v>
      </c>
      <c r="J23" s="15">
        <f>ROUND(G23/370-1,2)</f>
        <v>0.24</v>
      </c>
    </row>
    <row r="24" spans="1:10" x14ac:dyDescent="0.25">
      <c r="A24" s="1" t="s">
        <v>16</v>
      </c>
      <c r="B24" s="1" t="s">
        <v>33</v>
      </c>
      <c r="C24" s="10"/>
      <c r="D24" s="10">
        <v>135</v>
      </c>
      <c r="E24" s="10">
        <v>40</v>
      </c>
      <c r="F24" s="10"/>
      <c r="G24" s="10">
        <f t="shared" si="0"/>
        <v>175</v>
      </c>
      <c r="H24" s="16">
        <f t="shared" si="1"/>
        <v>0.08</v>
      </c>
      <c r="I24" s="15">
        <f t="shared" si="2"/>
        <v>0</v>
      </c>
      <c r="J24" s="15">
        <f>ROUND(G24/142-1,2)</f>
        <v>0.23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210</v>
      </c>
      <c r="F25" s="10"/>
      <c r="G25" s="10">
        <f t="shared" si="0"/>
        <v>210</v>
      </c>
      <c r="H25" s="16">
        <f t="shared" si="1"/>
        <v>0.09</v>
      </c>
      <c r="I25" s="15">
        <f t="shared" si="2"/>
        <v>0</v>
      </c>
      <c r="J25" s="15">
        <f>ROUND(G25/610-1,2)</f>
        <v>-0.66</v>
      </c>
    </row>
    <row r="26" spans="1:10" x14ac:dyDescent="0.25">
      <c r="A26" s="1" t="s">
        <v>16</v>
      </c>
      <c r="B26" s="1" t="s">
        <v>35</v>
      </c>
      <c r="C26" s="10"/>
      <c r="D26" s="10">
        <v>55</v>
      </c>
      <c r="E26" s="10"/>
      <c r="F26" s="10"/>
      <c r="G26" s="10">
        <f t="shared" si="0"/>
        <v>55</v>
      </c>
      <c r="H26" s="16">
        <f t="shared" si="1"/>
        <v>0.02</v>
      </c>
      <c r="I26" s="15">
        <f t="shared" si="2"/>
        <v>0</v>
      </c>
      <c r="J26" s="15">
        <f>ROUND(G26/300-1,2)</f>
        <v>-0.82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1158</v>
      </c>
      <c r="F27" s="10"/>
      <c r="G27" s="10">
        <f t="shared" si="0"/>
        <v>1158</v>
      </c>
      <c r="H27" s="16">
        <f t="shared" si="1"/>
        <v>0.52</v>
      </c>
      <c r="I27" s="15">
        <f t="shared" si="2"/>
        <v>1E-3</v>
      </c>
      <c r="J27" s="15">
        <f>ROUND(G27/2881-1,2)</f>
        <v>-0.6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1260</v>
      </c>
      <c r="F28" s="10"/>
      <c r="G28" s="10">
        <f t="shared" si="0"/>
        <v>1260</v>
      </c>
      <c r="H28" s="16">
        <f t="shared" si="1"/>
        <v>0.56000000000000005</v>
      </c>
      <c r="I28" s="15">
        <f t="shared" si="2"/>
        <v>1E-3</v>
      </c>
      <c r="J28" s="15">
        <f>ROUND(G28/5454-1,2)</f>
        <v>-0.77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2748</v>
      </c>
      <c r="F29" s="10"/>
      <c r="G29" s="10">
        <f t="shared" si="0"/>
        <v>2748</v>
      </c>
      <c r="H29" s="16">
        <f t="shared" si="1"/>
        <v>1.23</v>
      </c>
      <c r="I29" s="15">
        <f t="shared" si="2"/>
        <v>3.0000000000000001E-3</v>
      </c>
      <c r="J29" s="15">
        <f>ROUND(G29/4550-1,2)</f>
        <v>-0.4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70020</v>
      </c>
      <c r="F30" s="10"/>
      <c r="G30" s="10">
        <f t="shared" si="0"/>
        <v>70020</v>
      </c>
      <c r="H30" s="16">
        <f t="shared" si="1"/>
        <v>31.36</v>
      </c>
      <c r="I30" s="15">
        <f t="shared" si="2"/>
        <v>7.5999999999999998E-2</v>
      </c>
      <c r="J30" s="15">
        <f>ROUND(G30/49135-1,2)</f>
        <v>0.43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18290</v>
      </c>
      <c r="F31" s="10"/>
      <c r="G31" s="10">
        <f t="shared" si="0"/>
        <v>18290</v>
      </c>
      <c r="H31" s="16">
        <f t="shared" si="1"/>
        <v>8.19</v>
      </c>
      <c r="I31" s="15">
        <f t="shared" si="2"/>
        <v>0.02</v>
      </c>
      <c r="J31" s="15">
        <f>ROUND(G31/17040-1,2)</f>
        <v>7.0000000000000007E-2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121190</v>
      </c>
      <c r="F32" s="10"/>
      <c r="G32" s="10">
        <f t="shared" si="0"/>
        <v>121190</v>
      </c>
      <c r="H32" s="16">
        <f t="shared" si="1"/>
        <v>54.27</v>
      </c>
      <c r="I32" s="15">
        <f t="shared" si="2"/>
        <v>0.13100000000000001</v>
      </c>
      <c r="J32" s="15">
        <f>ROUND(G32/91360-1,2)</f>
        <v>0.33</v>
      </c>
    </row>
    <row r="33" spans="1:10" x14ac:dyDescent="0.25">
      <c r="A33" s="1" t="s">
        <v>44</v>
      </c>
      <c r="B33" s="1" t="s">
        <v>45</v>
      </c>
      <c r="C33" s="10">
        <v>146440</v>
      </c>
      <c r="D33" s="10"/>
      <c r="E33" s="10"/>
      <c r="F33" s="10"/>
      <c r="G33" s="10">
        <f t="shared" si="0"/>
        <v>146440</v>
      </c>
      <c r="H33" s="16">
        <f t="shared" si="1"/>
        <v>65.58</v>
      </c>
      <c r="I33" s="15">
        <f t="shared" si="2"/>
        <v>0.159</v>
      </c>
      <c r="J33" s="15">
        <f>ROUND(G33/141500-1,2)</f>
        <v>0.03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11180</v>
      </c>
      <c r="G34" s="10">
        <f t="shared" si="0"/>
        <v>11180</v>
      </c>
      <c r="H34" s="16">
        <f t="shared" si="1"/>
        <v>5.01</v>
      </c>
      <c r="I34" s="15">
        <f t="shared" si="2"/>
        <v>1.2E-2</v>
      </c>
      <c r="J34" s="15">
        <f>ROUND(G34/19165-1,2)</f>
        <v>-0.42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63440</v>
      </c>
      <c r="F35" s="10"/>
      <c r="G35" s="10">
        <f t="shared" si="0"/>
        <v>63440</v>
      </c>
      <c r="H35" s="16">
        <f t="shared" si="1"/>
        <v>28.41</v>
      </c>
      <c r="I35" s="15">
        <f t="shared" si="2"/>
        <v>6.9000000000000006E-2</v>
      </c>
      <c r="J35" s="15">
        <f>ROUND(G35/48520-1,2)</f>
        <v>0.31</v>
      </c>
    </row>
    <row r="36" spans="1:10" x14ac:dyDescent="0.25">
      <c r="A36" s="1" t="s">
        <v>48</v>
      </c>
      <c r="B36" s="1" t="s">
        <v>50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ROUND(G36/130-1,2)</f>
        <v>-1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5" t="s">
        <v>12</v>
      </c>
      <c r="B38" s="25"/>
      <c r="C38" s="11">
        <f t="shared" ref="C38:H38" si="3">SUM(C8:C37)</f>
        <v>533170</v>
      </c>
      <c r="D38" s="11">
        <f t="shared" si="3"/>
        <v>190</v>
      </c>
      <c r="E38" s="11">
        <f t="shared" si="3"/>
        <v>377070</v>
      </c>
      <c r="F38" s="11">
        <f t="shared" si="3"/>
        <v>11520</v>
      </c>
      <c r="G38" s="11">
        <f t="shared" si="3"/>
        <v>921950</v>
      </c>
      <c r="H38" s="14">
        <f t="shared" si="3"/>
        <v>412.89000000000004</v>
      </c>
      <c r="I38" s="17"/>
      <c r="J38" s="17"/>
    </row>
    <row r="39" spans="1:10" x14ac:dyDescent="0.25">
      <c r="A39" s="25" t="s">
        <v>14</v>
      </c>
      <c r="B39" s="25"/>
      <c r="C39" s="12">
        <f>ROUND(C38/G38,2)</f>
        <v>0.57999999999999996</v>
      </c>
      <c r="D39" s="12">
        <f>ROUND(D38/G38,2)</f>
        <v>0</v>
      </c>
      <c r="E39" s="12">
        <f>ROUND(E38/G38,2)</f>
        <v>0.41</v>
      </c>
      <c r="F39" s="12">
        <f>ROUND(F38/G38,2)</f>
        <v>0.01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53</v>
      </c>
      <c r="B44" s="25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0" t="s">
        <v>54</v>
      </c>
      <c r="B45" s="20"/>
      <c r="C45" s="10">
        <v>386730</v>
      </c>
      <c r="D45" s="10">
        <v>190</v>
      </c>
      <c r="E45" s="10">
        <v>313630</v>
      </c>
      <c r="F45" s="10">
        <v>340</v>
      </c>
      <c r="G45" s="10">
        <f>SUM(C45:F45)</f>
        <v>700890</v>
      </c>
      <c r="H45" s="16">
        <f>ROUND(G45/2233,2)</f>
        <v>313.88</v>
      </c>
      <c r="I45" s="9"/>
      <c r="J45" s="9"/>
    </row>
    <row r="46" spans="1:10" x14ac:dyDescent="0.25">
      <c r="A46" s="20" t="s">
        <v>55</v>
      </c>
      <c r="B46" s="20"/>
      <c r="C46" s="10">
        <v>146440</v>
      </c>
      <c r="D46" s="10">
        <v>0</v>
      </c>
      <c r="E46" s="10">
        <v>63440</v>
      </c>
      <c r="F46" s="10">
        <v>11180</v>
      </c>
      <c r="G46" s="10">
        <f>SUM(C46:F46)</f>
        <v>221060</v>
      </c>
      <c r="H46" s="16">
        <f>ROUND(G46/2233,2)</f>
        <v>99</v>
      </c>
      <c r="I46" s="9"/>
      <c r="J46" s="9"/>
    </row>
    <row r="47" spans="1:10" x14ac:dyDescent="0.25">
      <c r="A47" s="20" t="s">
        <v>56</v>
      </c>
      <c r="B47" s="20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ROUND(G47/2233,2)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57</v>
      </c>
      <c r="B52" s="25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0" t="s">
        <v>58</v>
      </c>
      <c r="B53" s="20"/>
      <c r="C53" s="7">
        <f>ROUND(0.8208, 4)</f>
        <v>0.82079999999999997</v>
      </c>
      <c r="D53" s="7">
        <f>ROUND(0.8034, 4)</f>
        <v>0.8034</v>
      </c>
      <c r="E53" s="7">
        <f>ROUND(0.777, 4)</f>
        <v>0.77700000000000002</v>
      </c>
      <c r="G53" s="3" t="s">
        <v>62</v>
      </c>
      <c r="H53" s="28" t="s">
        <v>63</v>
      </c>
      <c r="I53" s="28" t="s">
        <v>64</v>
      </c>
      <c r="J53" s="28" t="s">
        <v>65</v>
      </c>
    </row>
    <row r="54" spans="1:10" x14ac:dyDescent="0.25">
      <c r="A54" s="20" t="s">
        <v>66</v>
      </c>
      <c r="B54" s="20"/>
      <c r="C54" s="7">
        <f>ROUND(0.811, 4)</f>
        <v>0.81100000000000005</v>
      </c>
      <c r="D54" s="7">
        <f>ROUND(0.793, 4)</f>
        <v>0.79300000000000004</v>
      </c>
      <c r="E54" s="7">
        <f>ROUND(0.7608, 4)</f>
        <v>0.76080000000000003</v>
      </c>
      <c r="G54" s="3" t="s">
        <v>67</v>
      </c>
      <c r="H54" s="20"/>
      <c r="I54" s="20"/>
      <c r="J54" s="20"/>
    </row>
    <row r="58" spans="1:10" x14ac:dyDescent="0.25">
      <c r="A58" s="25" t="s">
        <v>68</v>
      </c>
      <c r="B58" s="25"/>
      <c r="C58" s="3" t="s">
        <v>2</v>
      </c>
      <c r="D58" s="3" t="s">
        <v>149</v>
      </c>
      <c r="E58" s="3" t="s">
        <v>70</v>
      </c>
      <c r="F58" s="3" t="s">
        <v>71</v>
      </c>
      <c r="G58" s="3" t="s">
        <v>72</v>
      </c>
      <c r="H58" s="2"/>
      <c r="I58" s="2"/>
      <c r="J58" s="2"/>
    </row>
    <row r="59" spans="1:10" x14ac:dyDescent="0.25">
      <c r="A59" s="20" t="s">
        <v>73</v>
      </c>
      <c r="B59" s="20"/>
      <c r="C59" s="1">
        <v>65.58</v>
      </c>
      <c r="D59" s="1">
        <v>71.83</v>
      </c>
      <c r="E59" s="1">
        <v>91.13</v>
      </c>
      <c r="F59" s="1">
        <v>54.95</v>
      </c>
      <c r="G59" s="1">
        <f>12/10*C59</f>
        <v>78.695999999999998</v>
      </c>
    </row>
    <row r="60" spans="1:10" x14ac:dyDescent="0.25">
      <c r="A60" s="20" t="s">
        <v>74</v>
      </c>
      <c r="B60" s="20"/>
      <c r="C60" s="1">
        <v>65.58</v>
      </c>
      <c r="D60" s="1">
        <v>81.37</v>
      </c>
      <c r="E60" s="1">
        <v>61.18</v>
      </c>
      <c r="F60" s="1">
        <v>62.89</v>
      </c>
      <c r="G60" s="1">
        <f>12/10*C60</f>
        <v>78.695999999999998</v>
      </c>
    </row>
    <row r="61" spans="1:10" x14ac:dyDescent="0.25">
      <c r="A61" s="20" t="s">
        <v>75</v>
      </c>
      <c r="B61" s="20"/>
      <c r="C61" s="1">
        <v>313.88</v>
      </c>
      <c r="D61" s="1">
        <v>336.36</v>
      </c>
      <c r="E61" s="1">
        <v>287.25</v>
      </c>
      <c r="F61" s="1">
        <v>278.91000000000003</v>
      </c>
      <c r="G61" s="1">
        <f>12/10*C61</f>
        <v>376.65600000000001</v>
      </c>
    </row>
    <row r="62" spans="1:10" x14ac:dyDescent="0.25">
      <c r="A62" s="20" t="s">
        <v>76</v>
      </c>
      <c r="B62" s="20"/>
      <c r="C62" s="1">
        <v>99</v>
      </c>
      <c r="D62" s="1">
        <v>108.08</v>
      </c>
      <c r="E62" s="1">
        <v>114.69</v>
      </c>
      <c r="F62" s="1">
        <v>78.319999999999993</v>
      </c>
      <c r="G62" s="1">
        <f>12/10*C62</f>
        <v>118.8</v>
      </c>
    </row>
    <row r="65" spans="1:2" x14ac:dyDescent="0.25">
      <c r="A65" s="21" t="s">
        <v>60</v>
      </c>
      <c r="B65" s="22"/>
    </row>
    <row r="66" spans="1:2" x14ac:dyDescent="0.25">
      <c r="A66" s="3" t="s">
        <v>77</v>
      </c>
      <c r="B66" s="1" t="s">
        <v>150</v>
      </c>
    </row>
    <row r="67" spans="1:2" x14ac:dyDescent="0.25">
      <c r="A67" s="3" t="s">
        <v>70</v>
      </c>
      <c r="B67" s="1" t="s">
        <v>79</v>
      </c>
    </row>
    <row r="68" spans="1:2" x14ac:dyDescent="0.25">
      <c r="A68" s="3" t="s">
        <v>71</v>
      </c>
      <c r="B68" s="1" t="s">
        <v>80</v>
      </c>
    </row>
    <row r="69" spans="1:2" x14ac:dyDescent="0.25">
      <c r="A69" s="3" t="s">
        <v>72</v>
      </c>
      <c r="B69" s="1" t="s">
        <v>81</v>
      </c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1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/>
      <c r="D9" s="10">
        <v>6765</v>
      </c>
      <c r="E9" s="10"/>
      <c r="F9" s="10"/>
      <c r="G9" s="10">
        <f t="shared" ref="G9:G20" si="0">SUM(C9:F9)</f>
        <v>6765</v>
      </c>
      <c r="H9" s="16">
        <f t="shared" ref="H9:H20" si="1">ROUND(G9/150,2)</f>
        <v>45.1</v>
      </c>
      <c r="I9" s="15">
        <f t="shared" ref="I9:I20" si="2">ROUND(G9/$G$21,3)</f>
        <v>0.10199999999999999</v>
      </c>
      <c r="J9" s="15">
        <f>ROUND(G9/6725-1,2)</f>
        <v>0.01</v>
      </c>
    </row>
    <row r="10" spans="1:10" x14ac:dyDescent="0.25">
      <c r="A10" s="1" t="s">
        <v>16</v>
      </c>
      <c r="B10" s="1" t="s">
        <v>20</v>
      </c>
      <c r="C10" s="10"/>
      <c r="D10" s="10">
        <v>6655</v>
      </c>
      <c r="E10" s="10"/>
      <c r="F10" s="10"/>
      <c r="G10" s="10">
        <f t="shared" si="0"/>
        <v>6655</v>
      </c>
      <c r="H10" s="16">
        <f t="shared" si="1"/>
        <v>44.37</v>
      </c>
      <c r="I10" s="15">
        <f t="shared" si="2"/>
        <v>0.1</v>
      </c>
      <c r="J10" s="15">
        <f>ROUND(G10/6815-1,2)</f>
        <v>-0.02</v>
      </c>
    </row>
    <row r="11" spans="1:10" x14ac:dyDescent="0.25">
      <c r="A11" s="1" t="s">
        <v>16</v>
      </c>
      <c r="B11" s="1" t="s">
        <v>24</v>
      </c>
      <c r="C11" s="10"/>
      <c r="D11" s="10">
        <v>8860</v>
      </c>
      <c r="E11" s="10"/>
      <c r="F11" s="10"/>
      <c r="G11" s="10">
        <f t="shared" si="0"/>
        <v>8860</v>
      </c>
      <c r="H11" s="16">
        <f t="shared" si="1"/>
        <v>59.07</v>
      </c>
      <c r="I11" s="15">
        <f t="shared" si="2"/>
        <v>0.13300000000000001</v>
      </c>
      <c r="J11" s="15">
        <f>ROUND(G11/7560-1,2)</f>
        <v>0.17</v>
      </c>
    </row>
    <row r="12" spans="1:10" x14ac:dyDescent="0.25">
      <c r="A12" s="1" t="s">
        <v>16</v>
      </c>
      <c r="B12" s="1" t="s">
        <v>26</v>
      </c>
      <c r="C12" s="10">
        <v>1600</v>
      </c>
      <c r="D12" s="10">
        <v>4410</v>
      </c>
      <c r="E12" s="10"/>
      <c r="F12" s="10">
        <v>80</v>
      </c>
      <c r="G12" s="10">
        <f t="shared" si="0"/>
        <v>6090</v>
      </c>
      <c r="H12" s="16">
        <f t="shared" si="1"/>
        <v>40.6</v>
      </c>
      <c r="I12" s="15">
        <f t="shared" si="2"/>
        <v>9.1999999999999998E-2</v>
      </c>
      <c r="J12" s="15">
        <f>ROUND(G12/160-1,2)</f>
        <v>37.06</v>
      </c>
    </row>
    <row r="13" spans="1:10" x14ac:dyDescent="0.25">
      <c r="A13" s="1" t="s">
        <v>16</v>
      </c>
      <c r="B13" s="1" t="s">
        <v>33</v>
      </c>
      <c r="C13" s="10"/>
      <c r="D13" s="10">
        <v>82</v>
      </c>
      <c r="E13" s="10">
        <v>16</v>
      </c>
      <c r="F13" s="10"/>
      <c r="G13" s="10">
        <f t="shared" si="0"/>
        <v>98</v>
      </c>
      <c r="H13" s="16">
        <f t="shared" si="1"/>
        <v>0.65</v>
      </c>
      <c r="I13" s="15">
        <f t="shared" si="2"/>
        <v>1E-3</v>
      </c>
      <c r="J13" s="15">
        <f>ROUND(G13/55-1,2)</f>
        <v>0.78</v>
      </c>
    </row>
    <row r="14" spans="1:10" x14ac:dyDescent="0.25">
      <c r="A14" s="1" t="s">
        <v>16</v>
      </c>
      <c r="B14" s="1" t="s">
        <v>35</v>
      </c>
      <c r="C14" s="10"/>
      <c r="D14" s="10">
        <v>60</v>
      </c>
      <c r="E14" s="10"/>
      <c r="F14" s="10"/>
      <c r="G14" s="10">
        <f t="shared" si="0"/>
        <v>60</v>
      </c>
      <c r="H14" s="16">
        <f t="shared" si="1"/>
        <v>0.4</v>
      </c>
      <c r="I14" s="15">
        <f t="shared" si="2"/>
        <v>1E-3</v>
      </c>
      <c r="J14" s="15">
        <f>ROUND(G14/36-1,2)</f>
        <v>0.67</v>
      </c>
    </row>
    <row r="15" spans="1:10" x14ac:dyDescent="0.25">
      <c r="A15" s="1" t="s">
        <v>16</v>
      </c>
      <c r="B15" s="1" t="s">
        <v>40</v>
      </c>
      <c r="C15" s="10"/>
      <c r="D15" s="10"/>
      <c r="E15" s="10">
        <v>2770</v>
      </c>
      <c r="F15" s="10"/>
      <c r="G15" s="10">
        <f t="shared" si="0"/>
        <v>2770</v>
      </c>
      <c r="H15" s="16">
        <f t="shared" si="1"/>
        <v>18.47</v>
      </c>
      <c r="I15" s="15">
        <f t="shared" si="2"/>
        <v>4.2000000000000003E-2</v>
      </c>
      <c r="J15" s="15">
        <f>ROUND(G15/1340-1,2)</f>
        <v>1.07</v>
      </c>
    </row>
    <row r="16" spans="1:10" x14ac:dyDescent="0.25">
      <c r="A16" s="1" t="s">
        <v>16</v>
      </c>
      <c r="B16" s="1" t="s">
        <v>41</v>
      </c>
      <c r="C16" s="10"/>
      <c r="D16" s="10"/>
      <c r="E16" s="10">
        <v>1620</v>
      </c>
      <c r="F16" s="10"/>
      <c r="G16" s="10">
        <f t="shared" si="0"/>
        <v>1620</v>
      </c>
      <c r="H16" s="16">
        <f t="shared" si="1"/>
        <v>10.8</v>
      </c>
      <c r="I16" s="15">
        <f t="shared" si="2"/>
        <v>2.4E-2</v>
      </c>
      <c r="J16" s="15">
        <f>ROUND(G16/5760-1,2)</f>
        <v>-0.72</v>
      </c>
    </row>
    <row r="17" spans="1:10" x14ac:dyDescent="0.25">
      <c r="A17" s="1" t="s">
        <v>16</v>
      </c>
      <c r="B17" s="1" t="s">
        <v>23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44</v>
      </c>
      <c r="B18" s="1" t="s">
        <v>45</v>
      </c>
      <c r="C18" s="10"/>
      <c r="D18" s="10">
        <v>28385</v>
      </c>
      <c r="E18" s="10"/>
      <c r="F18" s="10"/>
      <c r="G18" s="10">
        <f t="shared" si="0"/>
        <v>28385</v>
      </c>
      <c r="H18" s="16">
        <f t="shared" si="1"/>
        <v>189.23</v>
      </c>
      <c r="I18" s="15">
        <f t="shared" si="2"/>
        <v>0.42699999999999999</v>
      </c>
      <c r="J18" s="15">
        <f>ROUND(G18/26780-1,2)</f>
        <v>0.06</v>
      </c>
    </row>
    <row r="19" spans="1:10" x14ac:dyDescent="0.25">
      <c r="A19" s="1" t="s">
        <v>44</v>
      </c>
      <c r="B19" s="1" t="s">
        <v>46</v>
      </c>
      <c r="C19" s="10"/>
      <c r="D19" s="10"/>
      <c r="E19" s="10">
        <v>5200</v>
      </c>
      <c r="F19" s="10"/>
      <c r="G19" s="10">
        <f t="shared" si="0"/>
        <v>5200</v>
      </c>
      <c r="H19" s="16">
        <f t="shared" si="1"/>
        <v>34.67</v>
      </c>
      <c r="I19" s="15">
        <f t="shared" si="2"/>
        <v>7.8E-2</v>
      </c>
      <c r="J19" s="15">
        <f>ROUND(G19/7000-1,2)</f>
        <v>-0.26</v>
      </c>
    </row>
    <row r="20" spans="1:10" x14ac:dyDescent="0.25">
      <c r="A20" s="1" t="s">
        <v>48</v>
      </c>
      <c r="B20" s="1" t="s">
        <v>51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/>
    </row>
    <row r="21" spans="1:10" x14ac:dyDescent="0.25">
      <c r="A21" s="25" t="s">
        <v>12</v>
      </c>
      <c r="B21" s="25"/>
      <c r="C21" s="11">
        <f t="shared" ref="C21:H21" si="3">SUM(C8:C20)</f>
        <v>1600</v>
      </c>
      <c r="D21" s="11">
        <f t="shared" si="3"/>
        <v>55217</v>
      </c>
      <c r="E21" s="11">
        <f t="shared" si="3"/>
        <v>9606</v>
      </c>
      <c r="F21" s="11">
        <f t="shared" si="3"/>
        <v>80</v>
      </c>
      <c r="G21" s="11">
        <f t="shared" si="3"/>
        <v>66503</v>
      </c>
      <c r="H21" s="14">
        <f t="shared" si="3"/>
        <v>443.36</v>
      </c>
      <c r="I21" s="17"/>
      <c r="J21" s="17"/>
    </row>
    <row r="22" spans="1:10" x14ac:dyDescent="0.25">
      <c r="A22" s="25" t="s">
        <v>14</v>
      </c>
      <c r="B22" s="25"/>
      <c r="C22" s="12">
        <f>ROUND(C21/G21,2)</f>
        <v>0.02</v>
      </c>
      <c r="D22" s="12">
        <f>ROUND(D21/G21,2)</f>
        <v>0.83</v>
      </c>
      <c r="E22" s="12">
        <f>ROUND(E21/G21,2)</f>
        <v>0.14000000000000001</v>
      </c>
      <c r="F22" s="12">
        <f>ROUND(F21/G21,2)</f>
        <v>0</v>
      </c>
      <c r="G22" s="13"/>
      <c r="H22" s="13"/>
      <c r="I22" s="17"/>
      <c r="J22" s="17"/>
    </row>
    <row r="23" spans="1:10" x14ac:dyDescent="0.25">
      <c r="A23" s="2" t="s">
        <v>52</v>
      </c>
      <c r="B23" s="2"/>
      <c r="C23" s="13"/>
      <c r="D23" s="13"/>
      <c r="E23" s="13"/>
      <c r="F23" s="13"/>
      <c r="G23" s="13"/>
      <c r="H23" s="13"/>
      <c r="I23" s="17"/>
      <c r="J23" s="17"/>
    </row>
    <row r="24" spans="1:10" x14ac:dyDescent="0.25">
      <c r="C24" s="8"/>
      <c r="D24" s="8"/>
      <c r="E24" s="8"/>
      <c r="F24" s="8"/>
      <c r="G24" s="8"/>
      <c r="H24" s="8"/>
      <c r="I24" s="9"/>
      <c r="J24" s="9"/>
    </row>
    <row r="25" spans="1:10" x14ac:dyDescent="0.25">
      <c r="C25" s="8"/>
      <c r="D25" s="8"/>
      <c r="E25" s="8"/>
      <c r="F25" s="8"/>
      <c r="G25" s="8"/>
      <c r="H25" s="8"/>
      <c r="I25" s="9"/>
      <c r="J25" s="9"/>
    </row>
    <row r="26" spans="1:10" x14ac:dyDescent="0.25">
      <c r="C26" s="8"/>
      <c r="D26" s="8"/>
      <c r="E26" s="8"/>
      <c r="F26" s="8"/>
      <c r="G26" s="8"/>
      <c r="H26" s="8"/>
      <c r="I26" s="9"/>
      <c r="J26" s="9"/>
    </row>
    <row r="27" spans="1:10" x14ac:dyDescent="0.25">
      <c r="A27" s="25" t="s">
        <v>53</v>
      </c>
      <c r="B27" s="25"/>
      <c r="C27" s="11" t="s">
        <v>8</v>
      </c>
      <c r="D27" s="11" t="s">
        <v>9</v>
      </c>
      <c r="E27" s="11" t="s">
        <v>10</v>
      </c>
      <c r="F27" s="11" t="s">
        <v>11</v>
      </c>
      <c r="G27" s="11" t="s">
        <v>12</v>
      </c>
      <c r="H27" s="14" t="s">
        <v>13</v>
      </c>
      <c r="I27" s="17"/>
      <c r="J27" s="17"/>
    </row>
    <row r="28" spans="1:10" x14ac:dyDescent="0.25">
      <c r="A28" s="20" t="s">
        <v>54</v>
      </c>
      <c r="B28" s="20"/>
      <c r="C28" s="10">
        <v>1600</v>
      </c>
      <c r="D28" s="10">
        <v>26832</v>
      </c>
      <c r="E28" s="10">
        <v>4406</v>
      </c>
      <c r="F28" s="10">
        <v>80</v>
      </c>
      <c r="G28" s="10">
        <f>SUM(C28:F28)</f>
        <v>32918</v>
      </c>
      <c r="H28" s="16">
        <f>ROUND(G28/150,2)</f>
        <v>219.45</v>
      </c>
      <c r="I28" s="9"/>
      <c r="J28" s="9"/>
    </row>
    <row r="29" spans="1:10" x14ac:dyDescent="0.25">
      <c r="A29" s="20" t="s">
        <v>55</v>
      </c>
      <c r="B29" s="20"/>
      <c r="C29" s="10">
        <v>0</v>
      </c>
      <c r="D29" s="10">
        <v>28385</v>
      </c>
      <c r="E29" s="10">
        <v>5200</v>
      </c>
      <c r="F29" s="10">
        <v>0</v>
      </c>
      <c r="G29" s="10">
        <f>SUM(C29:F29)</f>
        <v>33585</v>
      </c>
      <c r="H29" s="16">
        <f>ROUND(G29/150,2)</f>
        <v>223.9</v>
      </c>
      <c r="I29" s="9"/>
      <c r="J29" s="9"/>
    </row>
    <row r="30" spans="1:10" x14ac:dyDescent="0.25">
      <c r="A30" s="20" t="s">
        <v>56</v>
      </c>
      <c r="B30" s="20"/>
      <c r="C30" s="10">
        <v>0</v>
      </c>
      <c r="D30" s="10">
        <v>0</v>
      </c>
      <c r="E30" s="10">
        <v>0</v>
      </c>
      <c r="F30" s="10">
        <v>0</v>
      </c>
      <c r="G30" s="10">
        <f>SUM(C30:F30)</f>
        <v>0</v>
      </c>
      <c r="H30" s="16">
        <f>ROUND(G30/150,2)</f>
        <v>0</v>
      </c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C33" s="8"/>
      <c r="D33" s="8"/>
      <c r="E33" s="8"/>
      <c r="F33" s="8"/>
      <c r="G33" s="8"/>
      <c r="H33" s="8"/>
      <c r="I33" s="9"/>
      <c r="J33" s="9"/>
    </row>
    <row r="34" spans="1:10" x14ac:dyDescent="0.25">
      <c r="C34" s="8"/>
      <c r="D34" s="8"/>
      <c r="E34" s="8"/>
      <c r="F34" s="8"/>
      <c r="G34" s="8"/>
      <c r="H34" s="8"/>
      <c r="I34" s="9"/>
      <c r="J34" s="9"/>
    </row>
    <row r="35" spans="1:10" x14ac:dyDescent="0.25">
      <c r="A35" s="25" t="s">
        <v>57</v>
      </c>
      <c r="B35" s="25"/>
      <c r="C35" s="14" t="s">
        <v>2</v>
      </c>
      <c r="D35" s="14">
        <v>2023</v>
      </c>
      <c r="E35" s="14" t="s">
        <v>59</v>
      </c>
      <c r="F35" s="13"/>
      <c r="G35" s="14" t="s">
        <v>60</v>
      </c>
      <c r="H35" s="14" t="s">
        <v>2</v>
      </c>
      <c r="I35" s="12" t="s">
        <v>61</v>
      </c>
      <c r="J35" s="12" t="s">
        <v>59</v>
      </c>
    </row>
    <row r="36" spans="1:10" x14ac:dyDescent="0.25">
      <c r="A36" s="20" t="s">
        <v>58</v>
      </c>
      <c r="B36" s="20"/>
      <c r="C36" s="15">
        <f>ROUND(0.5647, 4)</f>
        <v>0.56469999999999998</v>
      </c>
      <c r="D36" s="15">
        <f>ROUND(0.5817, 4)</f>
        <v>0.58169999999999999</v>
      </c>
      <c r="E36" s="15">
        <f>ROUND(0.777, 4)</f>
        <v>0.77700000000000002</v>
      </c>
      <c r="F36" s="8"/>
      <c r="G36" s="14" t="s">
        <v>62</v>
      </c>
      <c r="H36" s="26" t="s">
        <v>63</v>
      </c>
      <c r="I36" s="23" t="s">
        <v>64</v>
      </c>
      <c r="J36" s="23" t="s">
        <v>65</v>
      </c>
    </row>
    <row r="37" spans="1:10" x14ac:dyDescent="0.25">
      <c r="A37" s="20" t="s">
        <v>66</v>
      </c>
      <c r="B37" s="20"/>
      <c r="C37" s="15">
        <f>ROUND(0.5269, 4)</f>
        <v>0.52690000000000003</v>
      </c>
      <c r="D37" s="15">
        <f>ROUND(0.5406, 4)</f>
        <v>0.54059999999999997</v>
      </c>
      <c r="E37" s="15">
        <f>ROUND(0.7608, 4)</f>
        <v>0.76080000000000003</v>
      </c>
      <c r="F37" s="8"/>
      <c r="G37" s="14" t="s">
        <v>67</v>
      </c>
      <c r="H37" s="27"/>
      <c r="I37" s="24"/>
      <c r="J37" s="24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5" t="s">
        <v>68</v>
      </c>
      <c r="B41" s="25"/>
      <c r="C41" s="14" t="s">
        <v>2</v>
      </c>
      <c r="D41" s="14" t="s">
        <v>152</v>
      </c>
      <c r="E41" s="14" t="s">
        <v>70</v>
      </c>
      <c r="F41" s="14" t="s">
        <v>71</v>
      </c>
      <c r="G41" s="14" t="s">
        <v>72</v>
      </c>
      <c r="H41" s="13"/>
      <c r="I41" s="17"/>
      <c r="J41" s="17"/>
    </row>
    <row r="42" spans="1:10" x14ac:dyDescent="0.25">
      <c r="A42" s="20" t="s">
        <v>73</v>
      </c>
      <c r="B42" s="20"/>
      <c r="C42" s="16">
        <v>189.23</v>
      </c>
      <c r="D42" s="16">
        <v>191.99</v>
      </c>
      <c r="E42" s="16">
        <v>91.13</v>
      </c>
      <c r="F42" s="16">
        <v>54.95</v>
      </c>
      <c r="G42" s="16">
        <f>12/10*C42</f>
        <v>227.07599999999999</v>
      </c>
      <c r="H42" s="8"/>
      <c r="I42" s="9"/>
      <c r="J42" s="9"/>
    </row>
    <row r="43" spans="1:10" x14ac:dyDescent="0.25">
      <c r="A43" s="20" t="s">
        <v>74</v>
      </c>
      <c r="B43" s="20"/>
      <c r="C43" s="16">
        <v>40.6</v>
      </c>
      <c r="D43" s="16">
        <v>37.49</v>
      </c>
      <c r="E43" s="16">
        <v>61.18</v>
      </c>
      <c r="F43" s="16">
        <v>62.89</v>
      </c>
      <c r="G43" s="16">
        <f>12/10*C43</f>
        <v>48.72</v>
      </c>
      <c r="H43" s="8"/>
      <c r="I43" s="9"/>
      <c r="J43" s="9"/>
    </row>
    <row r="44" spans="1:10" x14ac:dyDescent="0.25">
      <c r="A44" s="20" t="s">
        <v>75</v>
      </c>
      <c r="B44" s="20"/>
      <c r="C44" s="16">
        <v>219.45</v>
      </c>
      <c r="D44" s="16">
        <v>273.58999999999997</v>
      </c>
      <c r="E44" s="16">
        <v>287.25</v>
      </c>
      <c r="F44" s="16">
        <v>278.91000000000003</v>
      </c>
      <c r="G44" s="16">
        <f>12/10*C44</f>
        <v>263.33999999999997</v>
      </c>
      <c r="H44" s="8"/>
      <c r="I44" s="9"/>
      <c r="J44" s="9"/>
    </row>
    <row r="45" spans="1:10" x14ac:dyDescent="0.25">
      <c r="A45" s="20" t="s">
        <v>76</v>
      </c>
      <c r="B45" s="20"/>
      <c r="C45" s="16">
        <v>223.9</v>
      </c>
      <c r="D45" s="16">
        <v>252.71</v>
      </c>
      <c r="E45" s="16">
        <v>114.69</v>
      </c>
      <c r="F45" s="16">
        <v>78.319999999999993</v>
      </c>
      <c r="G45" s="16">
        <f>12/10*C45</f>
        <v>268.68</v>
      </c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1" t="s">
        <v>60</v>
      </c>
      <c r="B48" s="22"/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" t="s">
        <v>77</v>
      </c>
      <c r="B49" s="1" t="s">
        <v>153</v>
      </c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" t="s">
        <v>70</v>
      </c>
      <c r="B50" s="1" t="s">
        <v>79</v>
      </c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" t="s">
        <v>71</v>
      </c>
      <c r="B51" s="1" t="s">
        <v>80</v>
      </c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" t="s">
        <v>72</v>
      </c>
      <c r="B52" s="1" t="s">
        <v>81</v>
      </c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  <row r="71" spans="3:10" x14ac:dyDescent="0.25">
      <c r="C71" s="8"/>
      <c r="D71" s="8"/>
      <c r="E71" s="8"/>
      <c r="F71" s="8"/>
      <c r="G71" s="8"/>
      <c r="H71" s="8"/>
      <c r="I71" s="9"/>
      <c r="J71" s="9"/>
    </row>
    <row r="72" spans="3:10" x14ac:dyDescent="0.25">
      <c r="C72" s="8"/>
      <c r="D72" s="8"/>
      <c r="E72" s="8"/>
      <c r="F72" s="8"/>
      <c r="G72" s="8"/>
      <c r="H72" s="8"/>
      <c r="I72" s="9"/>
      <c r="J72" s="9"/>
    </row>
    <row r="73" spans="3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C7:G7"/>
    <mergeCell ref="A21:B21"/>
    <mergeCell ref="A22:B22"/>
    <mergeCell ref="A27:B27"/>
    <mergeCell ref="A28:B28"/>
    <mergeCell ref="J36:J37"/>
    <mergeCell ref="A37:B37"/>
    <mergeCell ref="A41:B41"/>
    <mergeCell ref="A42:B42"/>
    <mergeCell ref="A29:B29"/>
    <mergeCell ref="A30:B30"/>
    <mergeCell ref="A35:B35"/>
    <mergeCell ref="A36:B36"/>
    <mergeCell ref="H36:H37"/>
    <mergeCell ref="A43:B43"/>
    <mergeCell ref="A44:B44"/>
    <mergeCell ref="A45:B45"/>
    <mergeCell ref="A48:B48"/>
    <mergeCell ref="I36:I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1264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23</v>
      </c>
      <c r="F9" s="10"/>
      <c r="G9" s="10">
        <f t="shared" ref="G9:G41" si="0">SUM(C9:F9)</f>
        <v>23</v>
      </c>
      <c r="H9" s="16">
        <f t="shared" ref="H9:H41" si="1">ROUND(G9/1264,2)</f>
        <v>0.02</v>
      </c>
      <c r="I9" s="15">
        <f t="shared" ref="I9:I41" si="2">ROUND(G9/$G$42,3)</f>
        <v>0</v>
      </c>
      <c r="J9" s="15">
        <f>ROUND(G9/20-1,2)</f>
        <v>0.15</v>
      </c>
    </row>
    <row r="10" spans="1:10" x14ac:dyDescent="0.25">
      <c r="A10" s="1" t="s">
        <v>16</v>
      </c>
      <c r="B10" s="1" t="s">
        <v>19</v>
      </c>
      <c r="C10" s="10">
        <v>32360</v>
      </c>
      <c r="D10" s="10"/>
      <c r="E10" s="10"/>
      <c r="F10" s="10"/>
      <c r="G10" s="10">
        <f t="shared" si="0"/>
        <v>32360</v>
      </c>
      <c r="H10" s="16">
        <f t="shared" si="1"/>
        <v>25.6</v>
      </c>
      <c r="I10" s="15">
        <f t="shared" si="2"/>
        <v>0.09</v>
      </c>
      <c r="J10" s="15">
        <f>ROUND(G10/28950-1,2)</f>
        <v>0.12</v>
      </c>
    </row>
    <row r="11" spans="1:10" x14ac:dyDescent="0.25">
      <c r="A11" s="1" t="s">
        <v>16</v>
      </c>
      <c r="B11" s="1" t="s">
        <v>20</v>
      </c>
      <c r="C11" s="10">
        <v>37065</v>
      </c>
      <c r="D11" s="10"/>
      <c r="E11" s="10"/>
      <c r="F11" s="10"/>
      <c r="G11" s="10">
        <f t="shared" si="0"/>
        <v>37065</v>
      </c>
      <c r="H11" s="16">
        <f t="shared" si="1"/>
        <v>29.32</v>
      </c>
      <c r="I11" s="15">
        <f t="shared" si="2"/>
        <v>0.10299999999999999</v>
      </c>
      <c r="J11" s="15">
        <f>ROUND(G11/38215-1,2)</f>
        <v>-0.03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150</v>
      </c>
      <c r="F12" s="10"/>
      <c r="G12" s="10">
        <f t="shared" si="0"/>
        <v>150</v>
      </c>
      <c r="H12" s="16">
        <f t="shared" si="1"/>
        <v>0.12</v>
      </c>
      <c r="I12" s="15">
        <f t="shared" si="2"/>
        <v>0</v>
      </c>
      <c r="J12" s="15">
        <f>ROUND(G12/105-1,2)</f>
        <v>0.43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34160</v>
      </c>
      <c r="F13" s="10"/>
      <c r="G13" s="10">
        <f t="shared" si="0"/>
        <v>34160</v>
      </c>
      <c r="H13" s="16">
        <f t="shared" si="1"/>
        <v>27.03</v>
      </c>
      <c r="I13" s="15">
        <f t="shared" si="2"/>
        <v>9.5000000000000001E-2</v>
      </c>
      <c r="J13" s="15">
        <f>ROUND(G13/36710-1,2)</f>
        <v>-7.0000000000000007E-2</v>
      </c>
    </row>
    <row r="14" spans="1:10" x14ac:dyDescent="0.25">
      <c r="A14" s="1" t="s">
        <v>16</v>
      </c>
      <c r="B14" s="1" t="s">
        <v>24</v>
      </c>
      <c r="C14" s="10">
        <v>35930</v>
      </c>
      <c r="D14" s="10"/>
      <c r="E14" s="10">
        <v>7210</v>
      </c>
      <c r="F14" s="10"/>
      <c r="G14" s="10">
        <f t="shared" si="0"/>
        <v>43140</v>
      </c>
      <c r="H14" s="16">
        <f t="shared" si="1"/>
        <v>34.130000000000003</v>
      </c>
      <c r="I14" s="15">
        <f t="shared" si="2"/>
        <v>0.12</v>
      </c>
      <c r="J14" s="15">
        <f>ROUND(G14/38200-1,2)</f>
        <v>0.13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2675</v>
      </c>
      <c r="F15" s="10"/>
      <c r="G15" s="10">
        <f t="shared" si="0"/>
        <v>2675</v>
      </c>
      <c r="H15" s="16">
        <f t="shared" si="1"/>
        <v>2.12</v>
      </c>
      <c r="I15" s="15">
        <f t="shared" si="2"/>
        <v>7.0000000000000001E-3</v>
      </c>
      <c r="J15" s="15">
        <f>ROUND(G15/1670-1,2)</f>
        <v>0.6</v>
      </c>
    </row>
    <row r="16" spans="1:10" x14ac:dyDescent="0.25">
      <c r="A16" s="1" t="s">
        <v>16</v>
      </c>
      <c r="B16" s="1" t="s">
        <v>26</v>
      </c>
      <c r="C16" s="10">
        <v>38330</v>
      </c>
      <c r="D16" s="10"/>
      <c r="E16" s="10"/>
      <c r="F16" s="10">
        <v>80</v>
      </c>
      <c r="G16" s="10">
        <f t="shared" si="0"/>
        <v>38410</v>
      </c>
      <c r="H16" s="16">
        <f t="shared" si="1"/>
        <v>30.39</v>
      </c>
      <c r="I16" s="15">
        <f t="shared" si="2"/>
        <v>0.107</v>
      </c>
      <c r="J16" s="15">
        <f>ROUND(G16/38130-1,2)</f>
        <v>0.01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829</v>
      </c>
      <c r="F17" s="10"/>
      <c r="G17" s="10">
        <f t="shared" si="0"/>
        <v>829</v>
      </c>
      <c r="H17" s="16">
        <f t="shared" si="1"/>
        <v>0.66</v>
      </c>
      <c r="I17" s="15">
        <f t="shared" si="2"/>
        <v>2E-3</v>
      </c>
      <c r="J17" s="15">
        <f>ROUND(G17/539-1,2)</f>
        <v>0.54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209</v>
      </c>
      <c r="F18" s="10"/>
      <c r="G18" s="10">
        <f t="shared" si="0"/>
        <v>209</v>
      </c>
      <c r="H18" s="16">
        <f t="shared" si="1"/>
        <v>0.17</v>
      </c>
      <c r="I18" s="15">
        <f t="shared" si="2"/>
        <v>1E-3</v>
      </c>
      <c r="J18" s="15">
        <f>ROUND(G18/209-1,2)</f>
        <v>0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460</v>
      </c>
      <c r="F19" s="10"/>
      <c r="G19" s="10">
        <f t="shared" si="0"/>
        <v>460</v>
      </c>
      <c r="H19" s="16">
        <f t="shared" si="1"/>
        <v>0.36</v>
      </c>
      <c r="I19" s="15">
        <f t="shared" si="2"/>
        <v>1E-3</v>
      </c>
      <c r="J19" s="15">
        <f>ROUND(G19/1459-1,2)</f>
        <v>-0.68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300</v>
      </c>
      <c r="F20" s="10"/>
      <c r="G20" s="10">
        <f t="shared" si="0"/>
        <v>300</v>
      </c>
      <c r="H20" s="16">
        <f t="shared" si="1"/>
        <v>0.24</v>
      </c>
      <c r="I20" s="15">
        <f t="shared" si="2"/>
        <v>1E-3</v>
      </c>
      <c r="J20" s="15">
        <f>ROUND(G20/170-1,2)</f>
        <v>0.76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530</v>
      </c>
      <c r="F21" s="10"/>
      <c r="G21" s="10">
        <f t="shared" si="0"/>
        <v>530</v>
      </c>
      <c r="H21" s="16">
        <f t="shared" si="1"/>
        <v>0.42</v>
      </c>
      <c r="I21" s="15">
        <f t="shared" si="2"/>
        <v>1E-3</v>
      </c>
      <c r="J21" s="15">
        <f>ROUND(G21/430-1,2)</f>
        <v>0.23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800</v>
      </c>
      <c r="F22" s="10"/>
      <c r="G22" s="10">
        <f t="shared" si="0"/>
        <v>800</v>
      </c>
      <c r="H22" s="16">
        <f t="shared" si="1"/>
        <v>0.63</v>
      </c>
      <c r="I22" s="15">
        <f t="shared" si="2"/>
        <v>2E-3</v>
      </c>
      <c r="J22" s="15">
        <f>ROUND(G22/360-1,2)</f>
        <v>1.22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66</v>
      </c>
      <c r="F23" s="10"/>
      <c r="G23" s="10">
        <f t="shared" si="0"/>
        <v>66</v>
      </c>
      <c r="H23" s="16">
        <f t="shared" si="1"/>
        <v>0.05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430</v>
      </c>
      <c r="F24" s="10"/>
      <c r="G24" s="10">
        <f t="shared" si="0"/>
        <v>430</v>
      </c>
      <c r="H24" s="16">
        <f t="shared" si="1"/>
        <v>0.34</v>
      </c>
      <c r="I24" s="15">
        <f t="shared" si="2"/>
        <v>1E-3</v>
      </c>
      <c r="J24" s="15">
        <f>ROUND(G24/654-1,2)</f>
        <v>-0.34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1020</v>
      </c>
      <c r="F25" s="10"/>
      <c r="G25" s="10">
        <f t="shared" si="0"/>
        <v>1020</v>
      </c>
      <c r="H25" s="16">
        <f t="shared" si="1"/>
        <v>0.81</v>
      </c>
      <c r="I25" s="15">
        <f t="shared" si="2"/>
        <v>3.0000000000000001E-3</v>
      </c>
      <c r="J25" s="15">
        <f>ROUND(G25/2761-1,2)</f>
        <v>-0.63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1420</v>
      </c>
      <c r="F26" s="10"/>
      <c r="G26" s="10">
        <f t="shared" si="0"/>
        <v>1420</v>
      </c>
      <c r="H26" s="16">
        <f t="shared" si="1"/>
        <v>1.1200000000000001</v>
      </c>
      <c r="I26" s="15">
        <f t="shared" si="2"/>
        <v>4.0000000000000001E-3</v>
      </c>
      <c r="J26" s="15">
        <f>ROUND(G26/3252-1,2)</f>
        <v>-0.56000000000000005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27335</v>
      </c>
      <c r="F27" s="10"/>
      <c r="G27" s="10">
        <f t="shared" si="0"/>
        <v>27335</v>
      </c>
      <c r="H27" s="16">
        <f t="shared" si="1"/>
        <v>21.63</v>
      </c>
      <c r="I27" s="15">
        <f t="shared" si="2"/>
        <v>7.5999999999999998E-2</v>
      </c>
      <c r="J27" s="15">
        <f>ROUND(G27/20860-1,2)</f>
        <v>0.31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10370</v>
      </c>
      <c r="F28" s="10"/>
      <c r="G28" s="10">
        <f t="shared" si="0"/>
        <v>10370</v>
      </c>
      <c r="H28" s="16">
        <f t="shared" si="1"/>
        <v>8.1999999999999993</v>
      </c>
      <c r="I28" s="15">
        <f t="shared" si="2"/>
        <v>2.9000000000000001E-2</v>
      </c>
      <c r="J28" s="15">
        <f>ROUND(G28/14070-1,2)</f>
        <v>-0.26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9595</v>
      </c>
      <c r="F29" s="10"/>
      <c r="G29" s="10">
        <f t="shared" si="0"/>
        <v>9595</v>
      </c>
      <c r="H29" s="16">
        <f t="shared" si="1"/>
        <v>7.59</v>
      </c>
      <c r="I29" s="15">
        <f t="shared" si="2"/>
        <v>2.7E-2</v>
      </c>
      <c r="J29" s="15">
        <f>ROUND(G29/10930-1,2)</f>
        <v>-0.12</v>
      </c>
    </row>
    <row r="30" spans="1:10" x14ac:dyDescent="0.25">
      <c r="A30" s="1" t="s">
        <v>16</v>
      </c>
      <c r="B30" s="1" t="s">
        <v>120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ROUND(G31/1837-1,2)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ROUND(G32/62-1,2)</f>
        <v>-1</v>
      </c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22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155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90650</v>
      </c>
      <c r="D37" s="10"/>
      <c r="E37" s="10"/>
      <c r="F37" s="10">
        <v>260</v>
      </c>
      <c r="G37" s="10">
        <f t="shared" si="0"/>
        <v>90910</v>
      </c>
      <c r="H37" s="16">
        <f t="shared" si="1"/>
        <v>71.92</v>
      </c>
      <c r="I37" s="15">
        <f t="shared" si="2"/>
        <v>0.252</v>
      </c>
      <c r="J37" s="15">
        <f>ROUND(G37/95280-1,2)</f>
        <v>-0.05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28220</v>
      </c>
      <c r="F38" s="10"/>
      <c r="G38" s="10">
        <f t="shared" si="0"/>
        <v>28220</v>
      </c>
      <c r="H38" s="16">
        <f t="shared" si="1"/>
        <v>22.33</v>
      </c>
      <c r="I38" s="15">
        <f t="shared" si="2"/>
        <v>7.8E-2</v>
      </c>
      <c r="J38" s="15">
        <f>ROUND(G38/29640-1,2)</f>
        <v>-0.05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ROUND(G39/2650-1,2)</f>
        <v>-1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5" t="s">
        <v>12</v>
      </c>
      <c r="B42" s="25"/>
      <c r="C42" s="11">
        <f t="shared" ref="C42:H42" si="3">SUM(C8:C41)</f>
        <v>234335</v>
      </c>
      <c r="D42" s="11">
        <f t="shared" si="3"/>
        <v>0</v>
      </c>
      <c r="E42" s="11">
        <f t="shared" si="3"/>
        <v>125802</v>
      </c>
      <c r="F42" s="11">
        <f t="shared" si="3"/>
        <v>340</v>
      </c>
      <c r="G42" s="11">
        <f t="shared" si="3"/>
        <v>360477</v>
      </c>
      <c r="H42" s="14">
        <f t="shared" si="3"/>
        <v>285.2</v>
      </c>
      <c r="I42" s="17"/>
      <c r="J42" s="17"/>
    </row>
    <row r="43" spans="1:10" x14ac:dyDescent="0.25">
      <c r="A43" s="25" t="s">
        <v>14</v>
      </c>
      <c r="B43" s="25"/>
      <c r="C43" s="12">
        <f>ROUND(C42/G42,2)</f>
        <v>0.65</v>
      </c>
      <c r="D43" s="12">
        <f>ROUND(D42/G42,2)</f>
        <v>0</v>
      </c>
      <c r="E43" s="12">
        <f>ROUND(E42/G42,2)</f>
        <v>0.35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5" t="s">
        <v>53</v>
      </c>
      <c r="B48" s="25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0" t="s">
        <v>54</v>
      </c>
      <c r="B49" s="20"/>
      <c r="C49" s="10">
        <v>143685</v>
      </c>
      <c r="D49" s="10">
        <v>0</v>
      </c>
      <c r="E49" s="10">
        <v>97582</v>
      </c>
      <c r="F49" s="10">
        <v>80</v>
      </c>
      <c r="G49" s="10">
        <f>SUM(C49:F49)</f>
        <v>241347</v>
      </c>
      <c r="H49" s="16">
        <f>ROUND(G49/1264,2)</f>
        <v>190.94</v>
      </c>
      <c r="I49" s="9"/>
      <c r="J49" s="9"/>
    </row>
    <row r="50" spans="1:10" x14ac:dyDescent="0.25">
      <c r="A50" s="20" t="s">
        <v>55</v>
      </c>
      <c r="B50" s="20"/>
      <c r="C50" s="10">
        <v>90650</v>
      </c>
      <c r="D50" s="10">
        <v>0</v>
      </c>
      <c r="E50" s="10">
        <v>28220</v>
      </c>
      <c r="F50" s="10">
        <v>260</v>
      </c>
      <c r="G50" s="10">
        <f>SUM(C50:F50)</f>
        <v>119130</v>
      </c>
      <c r="H50" s="16">
        <f>ROUND(G50/1264,2)</f>
        <v>94.25</v>
      </c>
      <c r="I50" s="9"/>
      <c r="J50" s="9"/>
    </row>
    <row r="51" spans="1:10" x14ac:dyDescent="0.25">
      <c r="A51" s="20" t="s">
        <v>56</v>
      </c>
      <c r="B51" s="20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ROUND(G51/1264,2)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5" t="s">
        <v>57</v>
      </c>
      <c r="B56" s="25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0" t="s">
        <v>58</v>
      </c>
      <c r="B57" s="20"/>
      <c r="C57" s="15">
        <f>ROUND(0.7121, 4)</f>
        <v>0.71209999999999996</v>
      </c>
      <c r="D57" s="15">
        <f>ROUND(0.6897, 4)</f>
        <v>0.68969999999999998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3" t="s">
        <v>64</v>
      </c>
      <c r="J57" s="23" t="s">
        <v>65</v>
      </c>
    </row>
    <row r="58" spans="1:10" x14ac:dyDescent="0.25">
      <c r="A58" s="20" t="s">
        <v>66</v>
      </c>
      <c r="B58" s="20"/>
      <c r="C58" s="15">
        <f>ROUND(0.6752, 4)</f>
        <v>0.67520000000000002</v>
      </c>
      <c r="D58" s="15">
        <f>ROUND(0.6575, 4)</f>
        <v>0.65749999999999997</v>
      </c>
      <c r="E58" s="15">
        <f>ROUND(0.7608, 4)</f>
        <v>0.76080000000000003</v>
      </c>
      <c r="F58" s="8"/>
      <c r="G58" s="14" t="s">
        <v>67</v>
      </c>
      <c r="H58" s="27"/>
      <c r="I58" s="24"/>
      <c r="J58" s="24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68</v>
      </c>
      <c r="B62" s="25"/>
      <c r="C62" s="14" t="s">
        <v>2</v>
      </c>
      <c r="D62" s="14" t="s">
        <v>156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0" t="s">
        <v>73</v>
      </c>
      <c r="B63" s="20"/>
      <c r="C63" s="16">
        <v>71.92</v>
      </c>
      <c r="D63" s="16">
        <v>72.58</v>
      </c>
      <c r="E63" s="16">
        <v>91.13</v>
      </c>
      <c r="F63" s="16">
        <v>54.95</v>
      </c>
      <c r="G63" s="16">
        <f>12/10*C63</f>
        <v>86.304000000000002</v>
      </c>
      <c r="H63" s="8"/>
      <c r="I63" s="9"/>
      <c r="J63" s="9"/>
    </row>
    <row r="64" spans="1:10" x14ac:dyDescent="0.25">
      <c r="A64" s="20" t="s">
        <v>74</v>
      </c>
      <c r="B64" s="20"/>
      <c r="C64" s="16">
        <v>30.39</v>
      </c>
      <c r="D64" s="16">
        <v>42.04</v>
      </c>
      <c r="E64" s="16">
        <v>61.18</v>
      </c>
      <c r="F64" s="16">
        <v>62.89</v>
      </c>
      <c r="G64" s="16">
        <f>12/10*C64</f>
        <v>36.467999999999996</v>
      </c>
      <c r="H64" s="8"/>
      <c r="I64" s="9"/>
      <c r="J64" s="9"/>
    </row>
    <row r="65" spans="1:10" x14ac:dyDescent="0.25">
      <c r="A65" s="20" t="s">
        <v>75</v>
      </c>
      <c r="B65" s="20"/>
      <c r="C65" s="16">
        <v>190.94</v>
      </c>
      <c r="D65" s="16">
        <v>227.91</v>
      </c>
      <c r="E65" s="16">
        <v>287.25</v>
      </c>
      <c r="F65" s="16">
        <v>278.91000000000003</v>
      </c>
      <c r="G65" s="16">
        <f>12/10*C65</f>
        <v>229.12799999999999</v>
      </c>
      <c r="H65" s="8"/>
      <c r="I65" s="9"/>
      <c r="J65" s="9"/>
    </row>
    <row r="66" spans="1:10" x14ac:dyDescent="0.25">
      <c r="A66" s="20" t="s">
        <v>76</v>
      </c>
      <c r="B66" s="20"/>
      <c r="C66" s="16">
        <v>94.25</v>
      </c>
      <c r="D66" s="16">
        <v>96.94</v>
      </c>
      <c r="E66" s="16">
        <v>114.69</v>
      </c>
      <c r="F66" s="16">
        <v>78.319999999999993</v>
      </c>
      <c r="G66" s="16">
        <f>12/10*C66</f>
        <v>113.1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2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157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71</v>
      </c>
      <c r="B72" s="1" t="s">
        <v>80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72</v>
      </c>
      <c r="B73" s="1" t="s">
        <v>81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5993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156</v>
      </c>
      <c r="G9" s="10">
        <f t="shared" ref="G9:G45" si="0">SUM(C9:F9)</f>
        <v>156</v>
      </c>
      <c r="H9" s="16">
        <f t="shared" ref="H9:H45" si="1">ROUND(G9/5993,2)</f>
        <v>0.03</v>
      </c>
      <c r="I9" s="15">
        <f t="shared" ref="I9:I45" si="2">ROUND(G9/$G$46,3)</f>
        <v>0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159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17</v>
      </c>
      <c r="C12" s="10"/>
      <c r="D12" s="10"/>
      <c r="E12" s="10">
        <v>169</v>
      </c>
      <c r="F12" s="10"/>
      <c r="G12" s="10">
        <f t="shared" si="0"/>
        <v>169</v>
      </c>
      <c r="H12" s="16">
        <f t="shared" si="1"/>
        <v>0.03</v>
      </c>
      <c r="I12" s="15">
        <f t="shared" si="2"/>
        <v>0</v>
      </c>
      <c r="J12" s="15">
        <f>ROUND(G12/139-1,2)</f>
        <v>0.22</v>
      </c>
    </row>
    <row r="13" spans="1:10" x14ac:dyDescent="0.25">
      <c r="A13" s="1" t="s">
        <v>16</v>
      </c>
      <c r="B13" s="1" t="s">
        <v>19</v>
      </c>
      <c r="C13" s="10">
        <v>187180</v>
      </c>
      <c r="D13" s="10"/>
      <c r="E13" s="10">
        <v>2350</v>
      </c>
      <c r="F13" s="10"/>
      <c r="G13" s="10">
        <f t="shared" si="0"/>
        <v>189530</v>
      </c>
      <c r="H13" s="16">
        <f t="shared" si="1"/>
        <v>31.63</v>
      </c>
      <c r="I13" s="15">
        <f t="shared" si="2"/>
        <v>7.5999999999999998E-2</v>
      </c>
      <c r="J13" s="15">
        <f>ROUND(G13/188540-1,2)</f>
        <v>0.01</v>
      </c>
    </row>
    <row r="14" spans="1:10" x14ac:dyDescent="0.25">
      <c r="A14" s="1" t="s">
        <v>16</v>
      </c>
      <c r="B14" s="1" t="s">
        <v>20</v>
      </c>
      <c r="C14" s="10">
        <v>244190</v>
      </c>
      <c r="D14" s="10"/>
      <c r="E14" s="10"/>
      <c r="F14" s="10"/>
      <c r="G14" s="10">
        <f t="shared" si="0"/>
        <v>244190</v>
      </c>
      <c r="H14" s="16">
        <f t="shared" si="1"/>
        <v>40.75</v>
      </c>
      <c r="I14" s="15">
        <f t="shared" si="2"/>
        <v>9.8000000000000004E-2</v>
      </c>
      <c r="J14" s="15">
        <f>ROUND(G14/240810-1,2)</f>
        <v>0.01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274</v>
      </c>
      <c r="F15" s="10"/>
      <c r="G15" s="10">
        <f t="shared" si="0"/>
        <v>274</v>
      </c>
      <c r="H15" s="16">
        <f t="shared" si="1"/>
        <v>0.05</v>
      </c>
      <c r="I15" s="15">
        <f t="shared" si="2"/>
        <v>0</v>
      </c>
      <c r="J15" s="15">
        <f>ROUND(G15/190-1,2)</f>
        <v>0.44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194</v>
      </c>
      <c r="F16" s="10"/>
      <c r="G16" s="10">
        <f t="shared" si="0"/>
        <v>194</v>
      </c>
      <c r="H16" s="16">
        <f t="shared" si="1"/>
        <v>0.03</v>
      </c>
      <c r="I16" s="15">
        <f t="shared" si="2"/>
        <v>0</v>
      </c>
      <c r="J16" s="15">
        <f>ROUND(G16/128-1,2)</f>
        <v>0.52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2000</v>
      </c>
      <c r="F17" s="10"/>
      <c r="G17" s="10">
        <f t="shared" si="0"/>
        <v>2000</v>
      </c>
      <c r="H17" s="16">
        <f t="shared" si="1"/>
        <v>0.33</v>
      </c>
      <c r="I17" s="15">
        <f t="shared" si="2"/>
        <v>1E-3</v>
      </c>
      <c r="J17" s="15">
        <f>ROUND(G17/2760-1,2)</f>
        <v>-0.28000000000000003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117</v>
      </c>
      <c r="G18" s="10">
        <f t="shared" si="0"/>
        <v>117</v>
      </c>
      <c r="H18" s="16">
        <f t="shared" si="1"/>
        <v>0.02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50570</v>
      </c>
      <c r="F19" s="10"/>
      <c r="G19" s="10">
        <f t="shared" si="0"/>
        <v>50570</v>
      </c>
      <c r="H19" s="16">
        <f t="shared" si="1"/>
        <v>8.44</v>
      </c>
      <c r="I19" s="15">
        <f t="shared" si="2"/>
        <v>0.02</v>
      </c>
      <c r="J19" s="15">
        <f>ROUND(G19/58520-1,2)</f>
        <v>-0.14000000000000001</v>
      </c>
    </row>
    <row r="20" spans="1:10" x14ac:dyDescent="0.25">
      <c r="A20" s="1" t="s">
        <v>16</v>
      </c>
      <c r="B20" s="1" t="s">
        <v>24</v>
      </c>
      <c r="C20" s="10">
        <v>294460</v>
      </c>
      <c r="D20" s="10"/>
      <c r="E20" s="10">
        <v>28660</v>
      </c>
      <c r="F20" s="10"/>
      <c r="G20" s="10">
        <f t="shared" si="0"/>
        <v>323120</v>
      </c>
      <c r="H20" s="16">
        <f t="shared" si="1"/>
        <v>53.92</v>
      </c>
      <c r="I20" s="15">
        <f t="shared" si="2"/>
        <v>0.129</v>
      </c>
      <c r="J20" s="15">
        <f>ROUND(G20/311540-1,2)</f>
        <v>0.04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10505</v>
      </c>
      <c r="F21" s="10"/>
      <c r="G21" s="10">
        <f t="shared" si="0"/>
        <v>10505</v>
      </c>
      <c r="H21" s="16">
        <f t="shared" si="1"/>
        <v>1.75</v>
      </c>
      <c r="I21" s="15">
        <f t="shared" si="2"/>
        <v>4.0000000000000001E-3</v>
      </c>
      <c r="J21" s="15">
        <f>ROUND(G21/9455-1,2)</f>
        <v>0.11</v>
      </c>
    </row>
    <row r="22" spans="1:10" x14ac:dyDescent="0.25">
      <c r="A22" s="1" t="s">
        <v>16</v>
      </c>
      <c r="B22" s="1" t="s">
        <v>26</v>
      </c>
      <c r="C22" s="10">
        <v>351070</v>
      </c>
      <c r="D22" s="10"/>
      <c r="E22" s="10"/>
      <c r="F22" s="10">
        <v>690</v>
      </c>
      <c r="G22" s="10">
        <f t="shared" si="0"/>
        <v>351760</v>
      </c>
      <c r="H22" s="16">
        <f t="shared" si="1"/>
        <v>58.7</v>
      </c>
      <c r="I22" s="15">
        <f t="shared" si="2"/>
        <v>0.14099999999999999</v>
      </c>
      <c r="J22" s="15">
        <f>ROUND(G22/348900-1,2)</f>
        <v>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1303</v>
      </c>
      <c r="F23" s="10"/>
      <c r="G23" s="10">
        <f t="shared" si="0"/>
        <v>1303</v>
      </c>
      <c r="H23" s="16">
        <f t="shared" si="1"/>
        <v>0.22</v>
      </c>
      <c r="I23" s="15">
        <f t="shared" si="2"/>
        <v>1E-3</v>
      </c>
      <c r="J23" s="15">
        <f>ROUND(G23/1196-1,2)</f>
        <v>0.09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650</v>
      </c>
      <c r="F24" s="10"/>
      <c r="G24" s="10">
        <f t="shared" si="0"/>
        <v>650</v>
      </c>
      <c r="H24" s="16">
        <f t="shared" si="1"/>
        <v>0.11</v>
      </c>
      <c r="I24" s="15">
        <f t="shared" si="2"/>
        <v>0</v>
      </c>
      <c r="J24" s="15">
        <f>ROUND(G24/470-1,2)</f>
        <v>0.38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2230</v>
      </c>
      <c r="F25" s="10"/>
      <c r="G25" s="10">
        <f t="shared" si="0"/>
        <v>2230</v>
      </c>
      <c r="H25" s="16">
        <f t="shared" si="1"/>
        <v>0.37</v>
      </c>
      <c r="I25" s="15">
        <f t="shared" si="2"/>
        <v>1E-3</v>
      </c>
      <c r="J25" s="15">
        <f>ROUND(G25/2070-1,2)</f>
        <v>0.08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1230</v>
      </c>
      <c r="F26" s="10"/>
      <c r="G26" s="10">
        <f t="shared" si="0"/>
        <v>1230</v>
      </c>
      <c r="H26" s="16">
        <f t="shared" si="1"/>
        <v>0.21</v>
      </c>
      <c r="I26" s="15">
        <f t="shared" si="2"/>
        <v>0</v>
      </c>
      <c r="J26" s="15">
        <f>ROUND(G26/360-1,2)</f>
        <v>2.42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3835</v>
      </c>
      <c r="F27" s="10"/>
      <c r="G27" s="10">
        <f t="shared" si="0"/>
        <v>3835</v>
      </c>
      <c r="H27" s="16">
        <f t="shared" si="1"/>
        <v>0.64</v>
      </c>
      <c r="I27" s="15">
        <f t="shared" si="2"/>
        <v>2E-3</v>
      </c>
      <c r="J27" s="15">
        <f>ROUND(G27/1835-1,2)</f>
        <v>1.0900000000000001</v>
      </c>
    </row>
    <row r="28" spans="1:10" x14ac:dyDescent="0.25">
      <c r="A28" s="1" t="s">
        <v>16</v>
      </c>
      <c r="B28" s="1" t="s">
        <v>33</v>
      </c>
      <c r="C28" s="10"/>
      <c r="D28" s="10">
        <v>405</v>
      </c>
      <c r="E28" s="10">
        <v>148</v>
      </c>
      <c r="F28" s="10"/>
      <c r="G28" s="10">
        <f t="shared" si="0"/>
        <v>553</v>
      </c>
      <c r="H28" s="16">
        <f t="shared" si="1"/>
        <v>0.09</v>
      </c>
      <c r="I28" s="15">
        <f t="shared" si="2"/>
        <v>0</v>
      </c>
      <c r="J28" s="15">
        <f>ROUND(G28/522-1,2)</f>
        <v>0.06</v>
      </c>
    </row>
    <row r="29" spans="1:10" x14ac:dyDescent="0.25">
      <c r="A29" s="1" t="s">
        <v>16</v>
      </c>
      <c r="B29" s="1" t="s">
        <v>34</v>
      </c>
      <c r="C29" s="10"/>
      <c r="D29" s="10"/>
      <c r="E29" s="10">
        <v>260</v>
      </c>
      <c r="F29" s="10"/>
      <c r="G29" s="10">
        <f t="shared" si="0"/>
        <v>260</v>
      </c>
      <c r="H29" s="16">
        <f t="shared" si="1"/>
        <v>0.04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35</v>
      </c>
      <c r="C30" s="10"/>
      <c r="D30" s="10">
        <v>190</v>
      </c>
      <c r="E30" s="10"/>
      <c r="F30" s="10"/>
      <c r="G30" s="10">
        <f t="shared" si="0"/>
        <v>190</v>
      </c>
      <c r="H30" s="16">
        <f t="shared" si="1"/>
        <v>0.03</v>
      </c>
      <c r="I30" s="15">
        <f t="shared" si="2"/>
        <v>0</v>
      </c>
      <c r="J30" s="15">
        <f>ROUND(G30/895-1,2)</f>
        <v>-0.79</v>
      </c>
    </row>
    <row r="31" spans="1:10" x14ac:dyDescent="0.25">
      <c r="A31" s="1" t="s">
        <v>16</v>
      </c>
      <c r="B31" s="1" t="s">
        <v>37</v>
      </c>
      <c r="C31" s="10"/>
      <c r="D31" s="10"/>
      <c r="E31" s="10">
        <v>3330</v>
      </c>
      <c r="F31" s="10"/>
      <c r="G31" s="10">
        <f t="shared" si="0"/>
        <v>3330</v>
      </c>
      <c r="H31" s="16">
        <f t="shared" si="1"/>
        <v>0.56000000000000005</v>
      </c>
      <c r="I31" s="15">
        <f t="shared" si="2"/>
        <v>1E-3</v>
      </c>
      <c r="J31" s="15">
        <f>ROUND(G31/6266-1,2)</f>
        <v>-0.47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6250</v>
      </c>
      <c r="F32" s="10"/>
      <c r="G32" s="10">
        <f t="shared" si="0"/>
        <v>6250</v>
      </c>
      <c r="H32" s="16">
        <f t="shared" si="1"/>
        <v>1.04</v>
      </c>
      <c r="I32" s="15">
        <f t="shared" si="2"/>
        <v>2E-3</v>
      </c>
      <c r="J32" s="15">
        <f>ROUND(G32/9167-1,2)</f>
        <v>-0.32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185280</v>
      </c>
      <c r="F33" s="10"/>
      <c r="G33" s="10">
        <f t="shared" si="0"/>
        <v>185280</v>
      </c>
      <c r="H33" s="16">
        <f t="shared" si="1"/>
        <v>30.92</v>
      </c>
      <c r="I33" s="15">
        <f t="shared" si="2"/>
        <v>7.3999999999999996E-2</v>
      </c>
      <c r="J33" s="15">
        <f>ROUND(G33/137525-1,2)</f>
        <v>0.35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2640</v>
      </c>
      <c r="F34" s="10"/>
      <c r="G34" s="10">
        <f t="shared" si="0"/>
        <v>2640</v>
      </c>
      <c r="H34" s="16">
        <f t="shared" si="1"/>
        <v>0.44</v>
      </c>
      <c r="I34" s="15">
        <f t="shared" si="2"/>
        <v>1E-3</v>
      </c>
      <c r="J34" s="15">
        <f>ROUND(G34/4920-1,2)</f>
        <v>-0.46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31700</v>
      </c>
      <c r="F35" s="10"/>
      <c r="G35" s="10">
        <f t="shared" si="0"/>
        <v>31700</v>
      </c>
      <c r="H35" s="16">
        <f t="shared" si="1"/>
        <v>5.29</v>
      </c>
      <c r="I35" s="15">
        <f t="shared" si="2"/>
        <v>1.2999999999999999E-2</v>
      </c>
      <c r="J35" s="15">
        <f>ROUND(G35/20610-1,2)</f>
        <v>0.54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325400</v>
      </c>
      <c r="F36" s="10">
        <v>3960</v>
      </c>
      <c r="G36" s="10">
        <f t="shared" si="0"/>
        <v>329360</v>
      </c>
      <c r="H36" s="16">
        <f t="shared" si="1"/>
        <v>54.96</v>
      </c>
      <c r="I36" s="15">
        <f t="shared" si="2"/>
        <v>0.13200000000000001</v>
      </c>
      <c r="J36" s="15">
        <f>ROUND(G36/304140-1,2)</f>
        <v>0.08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ROUND(G37/201-1,2)</f>
        <v>-1</v>
      </c>
    </row>
    <row r="38" spans="1:10" x14ac:dyDescent="0.25">
      <c r="A38" s="1" t="s">
        <v>16</v>
      </c>
      <c r="B38" s="1" t="s">
        <v>29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ROUND(G38/5750-1,2)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ROUND(G39/3902-1,2)</f>
        <v>-1</v>
      </c>
    </row>
    <row r="40" spans="1:10" x14ac:dyDescent="0.25">
      <c r="A40" s="1" t="s">
        <v>16</v>
      </c>
      <c r="B40" s="1" t="s">
        <v>160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ROUND(G40/350-1,2)</f>
        <v>-1</v>
      </c>
    </row>
    <row r="41" spans="1:10" x14ac:dyDescent="0.25">
      <c r="A41" s="1" t="s">
        <v>16</v>
      </c>
      <c r="B41" s="1" t="s">
        <v>120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16</v>
      </c>
      <c r="B42" s="1" t="s">
        <v>161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44</v>
      </c>
      <c r="B43" s="1" t="s">
        <v>45</v>
      </c>
      <c r="C43" s="10">
        <v>587080</v>
      </c>
      <c r="D43" s="10"/>
      <c r="E43" s="10"/>
      <c r="F43" s="10"/>
      <c r="G43" s="10">
        <f t="shared" si="0"/>
        <v>587080</v>
      </c>
      <c r="H43" s="16">
        <f t="shared" si="1"/>
        <v>97.96</v>
      </c>
      <c r="I43" s="15">
        <f t="shared" si="2"/>
        <v>0.23499999999999999</v>
      </c>
      <c r="J43" s="15">
        <f>ROUND(G43/554940-1,2)</f>
        <v>0.06</v>
      </c>
    </row>
    <row r="44" spans="1:10" x14ac:dyDescent="0.25">
      <c r="A44" s="1" t="s">
        <v>44</v>
      </c>
      <c r="B44" s="1" t="s">
        <v>47</v>
      </c>
      <c r="C44" s="10"/>
      <c r="D44" s="10"/>
      <c r="E44" s="10"/>
      <c r="F44" s="10">
        <v>23260</v>
      </c>
      <c r="G44" s="10">
        <f t="shared" si="0"/>
        <v>23260</v>
      </c>
      <c r="H44" s="16">
        <f t="shared" si="1"/>
        <v>3.88</v>
      </c>
      <c r="I44" s="15">
        <f t="shared" si="2"/>
        <v>8.9999999999999993E-3</v>
      </c>
      <c r="J44" s="15">
        <f>ROUND(G44/6760-1,2)</f>
        <v>2.44</v>
      </c>
    </row>
    <row r="45" spans="1:10" x14ac:dyDescent="0.25">
      <c r="A45" s="1" t="s">
        <v>44</v>
      </c>
      <c r="B45" s="1" t="s">
        <v>46</v>
      </c>
      <c r="C45" s="10"/>
      <c r="D45" s="10"/>
      <c r="E45" s="10">
        <v>148270</v>
      </c>
      <c r="F45" s="10"/>
      <c r="G45" s="10">
        <f t="shared" si="0"/>
        <v>148270</v>
      </c>
      <c r="H45" s="16">
        <f t="shared" si="1"/>
        <v>24.74</v>
      </c>
      <c r="I45" s="15">
        <f t="shared" si="2"/>
        <v>5.8999999999999997E-2</v>
      </c>
      <c r="J45" s="15">
        <f>ROUND(G45/101940-1,2)</f>
        <v>0.45</v>
      </c>
    </row>
    <row r="46" spans="1:10" x14ac:dyDescent="0.25">
      <c r="A46" s="25" t="s">
        <v>12</v>
      </c>
      <c r="B46" s="25"/>
      <c r="C46" s="11">
        <f t="shared" ref="C46:H46" si="3">SUM(C8:C45)</f>
        <v>1663980</v>
      </c>
      <c r="D46" s="11">
        <f t="shared" si="3"/>
        <v>595</v>
      </c>
      <c r="E46" s="11">
        <f t="shared" si="3"/>
        <v>807248</v>
      </c>
      <c r="F46" s="11">
        <f t="shared" si="3"/>
        <v>28183</v>
      </c>
      <c r="G46" s="11">
        <f t="shared" si="3"/>
        <v>2500006</v>
      </c>
      <c r="H46" s="14">
        <f t="shared" si="3"/>
        <v>417.18</v>
      </c>
      <c r="I46" s="17"/>
      <c r="J46" s="17"/>
    </row>
    <row r="47" spans="1:10" x14ac:dyDescent="0.25">
      <c r="A47" s="25" t="s">
        <v>14</v>
      </c>
      <c r="B47" s="25"/>
      <c r="C47" s="12">
        <f>ROUND(C46/G46,2)</f>
        <v>0.67</v>
      </c>
      <c r="D47" s="12">
        <f>ROUND(D46/G46,2)</f>
        <v>0</v>
      </c>
      <c r="E47" s="12">
        <f>ROUND(E46/G46,2)</f>
        <v>0.32</v>
      </c>
      <c r="F47" s="12">
        <f>ROUND(F46/G46,2)</f>
        <v>0.01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53</v>
      </c>
      <c r="B52" s="25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0" t="s">
        <v>54</v>
      </c>
      <c r="B53" s="20"/>
      <c r="C53" s="10">
        <v>1076900</v>
      </c>
      <c r="D53" s="10">
        <v>595</v>
      </c>
      <c r="E53" s="10">
        <v>658978</v>
      </c>
      <c r="F53" s="10">
        <v>4767</v>
      </c>
      <c r="G53" s="10">
        <f>SUM(C53:F53)</f>
        <v>1741240</v>
      </c>
      <c r="H53" s="16">
        <f>ROUND(G53/5993,2)</f>
        <v>290.55</v>
      </c>
      <c r="I53" s="9"/>
      <c r="J53" s="9"/>
    </row>
    <row r="54" spans="1:10" x14ac:dyDescent="0.25">
      <c r="A54" s="20" t="s">
        <v>55</v>
      </c>
      <c r="B54" s="20"/>
      <c r="C54" s="10">
        <v>587080</v>
      </c>
      <c r="D54" s="10">
        <v>0</v>
      </c>
      <c r="E54" s="10">
        <v>148270</v>
      </c>
      <c r="F54" s="10">
        <v>23260</v>
      </c>
      <c r="G54" s="10">
        <f>SUM(C54:F54)</f>
        <v>758610</v>
      </c>
      <c r="H54" s="16">
        <f>ROUND(G54/5993,2)</f>
        <v>126.58</v>
      </c>
      <c r="I54" s="9"/>
      <c r="J54" s="9"/>
    </row>
    <row r="55" spans="1:10" x14ac:dyDescent="0.25">
      <c r="A55" s="20" t="s">
        <v>56</v>
      </c>
      <c r="B55" s="20"/>
      <c r="C55" s="10">
        <v>0</v>
      </c>
      <c r="D55" s="10">
        <v>0</v>
      </c>
      <c r="E55" s="10">
        <v>0</v>
      </c>
      <c r="F55" s="10">
        <v>156</v>
      </c>
      <c r="G55" s="10">
        <f>SUM(C55:F55)</f>
        <v>156</v>
      </c>
      <c r="H55" s="16">
        <f>ROUND(G55/5993,2)</f>
        <v>0.03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57</v>
      </c>
      <c r="B60" s="25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0" t="s">
        <v>58</v>
      </c>
      <c r="B61" s="20"/>
      <c r="C61" s="15">
        <f>ROUND(0.7576, 4)</f>
        <v>0.75760000000000005</v>
      </c>
      <c r="D61" s="15">
        <f>ROUND(0.7479, 4)</f>
        <v>0.74790000000000001</v>
      </c>
      <c r="E61" s="15">
        <f>ROUND(0.777, 4)</f>
        <v>0.77700000000000002</v>
      </c>
      <c r="F61" s="8"/>
      <c r="G61" s="14" t="s">
        <v>62</v>
      </c>
      <c r="H61" s="26" t="s">
        <v>63</v>
      </c>
      <c r="I61" s="23" t="s">
        <v>64</v>
      </c>
      <c r="J61" s="23" t="s">
        <v>65</v>
      </c>
    </row>
    <row r="62" spans="1:10" x14ac:dyDescent="0.25">
      <c r="A62" s="20" t="s">
        <v>66</v>
      </c>
      <c r="B62" s="20"/>
      <c r="C62" s="7">
        <f>ROUND(0.7476, 4)</f>
        <v>0.74760000000000004</v>
      </c>
      <c r="D62" s="7">
        <f>ROUND(0.7376, 4)</f>
        <v>0.73760000000000003</v>
      </c>
      <c r="E62" s="7">
        <f>ROUND(0.7608, 4)</f>
        <v>0.76080000000000003</v>
      </c>
      <c r="G62" s="3" t="s">
        <v>67</v>
      </c>
      <c r="H62" s="20"/>
      <c r="I62" s="20"/>
      <c r="J62" s="20"/>
    </row>
    <row r="66" spans="1:10" x14ac:dyDescent="0.25">
      <c r="A66" s="25" t="s">
        <v>68</v>
      </c>
      <c r="B66" s="25"/>
      <c r="C66" s="3" t="s">
        <v>2</v>
      </c>
      <c r="D66" s="3" t="s">
        <v>162</v>
      </c>
      <c r="E66" s="3" t="s">
        <v>70</v>
      </c>
      <c r="F66" s="3" t="s">
        <v>71</v>
      </c>
      <c r="G66" s="3" t="s">
        <v>72</v>
      </c>
      <c r="H66" s="2"/>
      <c r="I66" s="2"/>
      <c r="J66" s="2"/>
    </row>
    <row r="67" spans="1:10" x14ac:dyDescent="0.25">
      <c r="A67" s="20" t="s">
        <v>73</v>
      </c>
      <c r="B67" s="20"/>
      <c r="C67" s="1">
        <v>97.96</v>
      </c>
      <c r="D67" s="1">
        <v>102.76</v>
      </c>
      <c r="E67" s="1">
        <v>91.13</v>
      </c>
      <c r="F67" s="1">
        <v>54.95</v>
      </c>
      <c r="G67" s="1">
        <f>12/10*C67</f>
        <v>117.55199999999999</v>
      </c>
    </row>
    <row r="68" spans="1:10" x14ac:dyDescent="0.25">
      <c r="A68" s="20" t="s">
        <v>74</v>
      </c>
      <c r="B68" s="20"/>
      <c r="C68" s="1">
        <v>58.7</v>
      </c>
      <c r="D68" s="1">
        <v>68.069999999999993</v>
      </c>
      <c r="E68" s="1">
        <v>61.18</v>
      </c>
      <c r="F68" s="1">
        <v>62.89</v>
      </c>
      <c r="G68" s="1">
        <f>12/10*C68</f>
        <v>70.44</v>
      </c>
    </row>
    <row r="69" spans="1:10" x14ac:dyDescent="0.25">
      <c r="A69" s="20" t="s">
        <v>75</v>
      </c>
      <c r="B69" s="20"/>
      <c r="C69" s="1">
        <v>290.55</v>
      </c>
      <c r="D69" s="1">
        <v>316.93</v>
      </c>
      <c r="E69" s="1">
        <v>287.25</v>
      </c>
      <c r="F69" s="1">
        <v>278.91000000000003</v>
      </c>
      <c r="G69" s="1">
        <f>12/10*C69</f>
        <v>348.66</v>
      </c>
    </row>
    <row r="70" spans="1:10" x14ac:dyDescent="0.25">
      <c r="A70" s="20" t="s">
        <v>76</v>
      </c>
      <c r="B70" s="20"/>
      <c r="C70" s="1">
        <v>126.58</v>
      </c>
      <c r="D70" s="1">
        <v>131.19999999999999</v>
      </c>
      <c r="E70" s="1">
        <v>114.69</v>
      </c>
      <c r="F70" s="1">
        <v>78.319999999999993</v>
      </c>
      <c r="G70" s="1">
        <f>12/10*C70</f>
        <v>151.89599999999999</v>
      </c>
    </row>
    <row r="73" spans="1:10" x14ac:dyDescent="0.25">
      <c r="A73" s="21" t="s">
        <v>60</v>
      </c>
      <c r="B73" s="22"/>
    </row>
    <row r="74" spans="1:10" x14ac:dyDescent="0.25">
      <c r="A74" s="3" t="s">
        <v>77</v>
      </c>
      <c r="B74" s="1" t="s">
        <v>163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C7:G7"/>
    <mergeCell ref="A46:B46"/>
    <mergeCell ref="A47:B47"/>
    <mergeCell ref="A52:B52"/>
    <mergeCell ref="A53:B53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A68:B68"/>
    <mergeCell ref="A69:B69"/>
    <mergeCell ref="A70:B70"/>
    <mergeCell ref="A73:B73"/>
    <mergeCell ref="I61:I6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164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1086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491</v>
      </c>
      <c r="G9" s="10">
        <f t="shared" ref="G9:G29" si="0">SUM(C9:F9)</f>
        <v>491</v>
      </c>
      <c r="H9" s="16">
        <f t="shared" ref="H9:H29" si="1">ROUND(G9/1086,2)</f>
        <v>0.45</v>
      </c>
      <c r="I9" s="15">
        <f t="shared" ref="I9:I29" si="2">ROUND(G9/$G$30,3)</f>
        <v>2E-3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19</v>
      </c>
      <c r="C11" s="10">
        <v>30110</v>
      </c>
      <c r="D11" s="10"/>
      <c r="E11" s="10"/>
      <c r="F11" s="10">
        <v>200</v>
      </c>
      <c r="G11" s="10">
        <f t="shared" si="0"/>
        <v>30310</v>
      </c>
      <c r="H11" s="16">
        <f t="shared" si="1"/>
        <v>27.91</v>
      </c>
      <c r="I11" s="15">
        <f t="shared" si="2"/>
        <v>9.7000000000000003E-2</v>
      </c>
      <c r="J11" s="15">
        <f>ROUND(G11/30110-1,2)</f>
        <v>0.01</v>
      </c>
    </row>
    <row r="12" spans="1:10" x14ac:dyDescent="0.25">
      <c r="A12" s="1" t="s">
        <v>16</v>
      </c>
      <c r="B12" s="1" t="s">
        <v>20</v>
      </c>
      <c r="C12" s="10">
        <v>54860</v>
      </c>
      <c r="D12" s="10"/>
      <c r="E12" s="10"/>
      <c r="F12" s="10">
        <v>280</v>
      </c>
      <c r="G12" s="10">
        <f t="shared" si="0"/>
        <v>55140</v>
      </c>
      <c r="H12" s="16">
        <f t="shared" si="1"/>
        <v>50.77</v>
      </c>
      <c r="I12" s="15">
        <f t="shared" si="2"/>
        <v>0.17599999999999999</v>
      </c>
      <c r="J12" s="15">
        <f>ROUND(G12/42470-1,2)</f>
        <v>0.3</v>
      </c>
    </row>
    <row r="13" spans="1:10" x14ac:dyDescent="0.25">
      <c r="A13" s="1" t="s">
        <v>16</v>
      </c>
      <c r="B13" s="1" t="s">
        <v>21</v>
      </c>
      <c r="C13" s="10"/>
      <c r="D13" s="10"/>
      <c r="E13" s="10"/>
      <c r="F13" s="10">
        <v>12</v>
      </c>
      <c r="G13" s="10">
        <f t="shared" si="0"/>
        <v>12</v>
      </c>
      <c r="H13" s="16">
        <f t="shared" si="1"/>
        <v>0.01</v>
      </c>
      <c r="I13" s="15">
        <f t="shared" si="2"/>
        <v>0</v>
      </c>
      <c r="J13" s="15">
        <f>ROUND(G13/12-1,2)</f>
        <v>0</v>
      </c>
    </row>
    <row r="14" spans="1:10" x14ac:dyDescent="0.25">
      <c r="A14" s="1" t="s">
        <v>16</v>
      </c>
      <c r="B14" s="1" t="s">
        <v>24</v>
      </c>
      <c r="C14" s="10">
        <v>28510</v>
      </c>
      <c r="D14" s="10"/>
      <c r="E14" s="10"/>
      <c r="F14" s="10">
        <v>270</v>
      </c>
      <c r="G14" s="10">
        <f t="shared" si="0"/>
        <v>28780</v>
      </c>
      <c r="H14" s="16">
        <f t="shared" si="1"/>
        <v>26.5</v>
      </c>
      <c r="I14" s="15">
        <f t="shared" si="2"/>
        <v>9.1999999999999998E-2</v>
      </c>
      <c r="J14" s="15">
        <f>ROUND(G14/34820-1,2)</f>
        <v>-0.17</v>
      </c>
    </row>
    <row r="15" spans="1:10" x14ac:dyDescent="0.25">
      <c r="A15" s="1" t="s">
        <v>16</v>
      </c>
      <c r="B15" s="1" t="s">
        <v>26</v>
      </c>
      <c r="C15" s="10">
        <v>77620</v>
      </c>
      <c r="D15" s="10"/>
      <c r="E15" s="10"/>
      <c r="F15" s="10">
        <v>480</v>
      </c>
      <c r="G15" s="10">
        <f t="shared" si="0"/>
        <v>78100</v>
      </c>
      <c r="H15" s="16">
        <f t="shared" si="1"/>
        <v>71.92</v>
      </c>
      <c r="I15" s="15">
        <f t="shared" si="2"/>
        <v>0.249</v>
      </c>
      <c r="J15" s="15">
        <f>ROUND(G15/95090-1,2)</f>
        <v>-0.18</v>
      </c>
    </row>
    <row r="16" spans="1:10" x14ac:dyDescent="0.25">
      <c r="A16" s="1" t="s">
        <v>16</v>
      </c>
      <c r="B16" s="1" t="s">
        <v>42</v>
      </c>
      <c r="C16" s="10"/>
      <c r="D16" s="10"/>
      <c r="E16" s="10"/>
      <c r="F16" s="10">
        <v>10</v>
      </c>
      <c r="G16" s="10">
        <f t="shared" si="0"/>
        <v>10</v>
      </c>
      <c r="H16" s="16">
        <f t="shared" si="1"/>
        <v>0.01</v>
      </c>
      <c r="I16" s="15">
        <f t="shared" si="2"/>
        <v>0</v>
      </c>
      <c r="J16" s="15">
        <f>ROUND(G16/10-1,2)</f>
        <v>0</v>
      </c>
    </row>
    <row r="17" spans="1:10" x14ac:dyDescent="0.25">
      <c r="A17" s="1" t="s">
        <v>16</v>
      </c>
      <c r="B17" s="1" t="s">
        <v>30</v>
      </c>
      <c r="C17" s="10"/>
      <c r="D17" s="10"/>
      <c r="E17" s="10">
        <v>60</v>
      </c>
      <c r="F17" s="10">
        <v>30</v>
      </c>
      <c r="G17" s="10">
        <f t="shared" si="0"/>
        <v>90</v>
      </c>
      <c r="H17" s="16">
        <f t="shared" si="1"/>
        <v>0.08</v>
      </c>
      <c r="I17" s="15">
        <f t="shared" si="2"/>
        <v>0</v>
      </c>
      <c r="J17" s="15">
        <f>ROUND(G17/140-1,2)</f>
        <v>-0.36</v>
      </c>
    </row>
    <row r="18" spans="1:10" x14ac:dyDescent="0.25">
      <c r="A18" s="1" t="s">
        <v>16</v>
      </c>
      <c r="B18" s="1" t="s">
        <v>31</v>
      </c>
      <c r="C18" s="10"/>
      <c r="D18" s="10"/>
      <c r="E18" s="10"/>
      <c r="F18" s="10">
        <v>20</v>
      </c>
      <c r="G18" s="10">
        <f t="shared" si="0"/>
        <v>20</v>
      </c>
      <c r="H18" s="16">
        <f t="shared" si="1"/>
        <v>0.02</v>
      </c>
      <c r="I18" s="15">
        <f t="shared" si="2"/>
        <v>0</v>
      </c>
      <c r="J18" s="15">
        <f>ROUND(G18/170-1,2)</f>
        <v>-0.88</v>
      </c>
    </row>
    <row r="19" spans="1:10" x14ac:dyDescent="0.25">
      <c r="A19" s="1" t="s">
        <v>16</v>
      </c>
      <c r="B19" s="1" t="s">
        <v>32</v>
      </c>
      <c r="C19" s="10"/>
      <c r="D19" s="10"/>
      <c r="E19" s="10"/>
      <c r="F19" s="10">
        <v>220</v>
      </c>
      <c r="G19" s="10">
        <f t="shared" si="0"/>
        <v>220</v>
      </c>
      <c r="H19" s="16">
        <f t="shared" si="1"/>
        <v>0.2</v>
      </c>
      <c r="I19" s="15">
        <f t="shared" si="2"/>
        <v>1E-3</v>
      </c>
      <c r="J19" s="15">
        <f>ROUND(G19/595-1,2)</f>
        <v>-0.63</v>
      </c>
    </row>
    <row r="20" spans="1:10" x14ac:dyDescent="0.25">
      <c r="A20" s="1" t="s">
        <v>16</v>
      </c>
      <c r="B20" s="1" t="s">
        <v>33</v>
      </c>
      <c r="C20" s="10"/>
      <c r="D20" s="10">
        <v>134</v>
      </c>
      <c r="E20" s="10"/>
      <c r="F20" s="10">
        <v>15</v>
      </c>
      <c r="G20" s="10">
        <f t="shared" si="0"/>
        <v>149</v>
      </c>
      <c r="H20" s="16">
        <f t="shared" si="1"/>
        <v>0.14000000000000001</v>
      </c>
      <c r="I20" s="15">
        <f t="shared" si="2"/>
        <v>0</v>
      </c>
      <c r="J20" s="15">
        <f>ROUND(G20/93-1,2)</f>
        <v>0.6</v>
      </c>
    </row>
    <row r="21" spans="1:10" x14ac:dyDescent="0.25">
      <c r="A21" s="1" t="s">
        <v>16</v>
      </c>
      <c r="B21" s="1" t="s">
        <v>35</v>
      </c>
      <c r="C21" s="10"/>
      <c r="D21" s="10">
        <v>40</v>
      </c>
      <c r="E21" s="10"/>
      <c r="F21" s="10">
        <v>110</v>
      </c>
      <c r="G21" s="10">
        <f t="shared" si="0"/>
        <v>150</v>
      </c>
      <c r="H21" s="16">
        <f t="shared" si="1"/>
        <v>0.14000000000000001</v>
      </c>
      <c r="I21" s="15">
        <f t="shared" si="2"/>
        <v>0</v>
      </c>
      <c r="J21" s="15">
        <f>ROUND(G21/371-1,2)</f>
        <v>-0.6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1210</v>
      </c>
      <c r="F22" s="10">
        <v>2420</v>
      </c>
      <c r="G22" s="10">
        <f t="shared" si="0"/>
        <v>3630</v>
      </c>
      <c r="H22" s="16">
        <f t="shared" si="1"/>
        <v>3.34</v>
      </c>
      <c r="I22" s="15">
        <f t="shared" si="2"/>
        <v>1.2E-2</v>
      </c>
      <c r="J22" s="15">
        <f>ROUND(G22/2740-1,2)</f>
        <v>0.32</v>
      </c>
    </row>
    <row r="23" spans="1:10" x14ac:dyDescent="0.25">
      <c r="A23" s="1" t="s">
        <v>16</v>
      </c>
      <c r="B23" s="1" t="s">
        <v>40</v>
      </c>
      <c r="C23" s="10"/>
      <c r="D23" s="10"/>
      <c r="E23" s="10"/>
      <c r="F23" s="10">
        <v>1800</v>
      </c>
      <c r="G23" s="10">
        <f t="shared" si="0"/>
        <v>1800</v>
      </c>
      <c r="H23" s="16">
        <f t="shared" si="1"/>
        <v>1.66</v>
      </c>
      <c r="I23" s="15">
        <f t="shared" si="2"/>
        <v>6.0000000000000001E-3</v>
      </c>
      <c r="J23" s="15">
        <f>ROUND(G23/1460-1,2)</f>
        <v>0.23</v>
      </c>
    </row>
    <row r="24" spans="1:10" x14ac:dyDescent="0.25">
      <c r="A24" s="1" t="s">
        <v>16</v>
      </c>
      <c r="B24" s="1" t="s">
        <v>41</v>
      </c>
      <c r="C24" s="10"/>
      <c r="D24" s="10"/>
      <c r="E24" s="10"/>
      <c r="F24" s="10">
        <v>29660</v>
      </c>
      <c r="G24" s="10">
        <f t="shared" si="0"/>
        <v>29660</v>
      </c>
      <c r="H24" s="16">
        <f t="shared" si="1"/>
        <v>27.31</v>
      </c>
      <c r="I24" s="15">
        <f t="shared" si="2"/>
        <v>9.5000000000000001E-2</v>
      </c>
      <c r="J24" s="15">
        <f>ROUND(G24/23220-1,2)</f>
        <v>0.28000000000000003</v>
      </c>
    </row>
    <row r="25" spans="1:10" x14ac:dyDescent="0.25">
      <c r="A25" s="1" t="s">
        <v>16</v>
      </c>
      <c r="B25" s="1" t="s">
        <v>95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ROUND(G25/11-1,2)</f>
        <v>-1</v>
      </c>
    </row>
    <row r="26" spans="1:10" x14ac:dyDescent="0.25">
      <c r="A26" s="1" t="s">
        <v>16</v>
      </c>
      <c r="B26" s="1" t="s">
        <v>34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/>
    </row>
    <row r="27" spans="1:10" x14ac:dyDescent="0.25">
      <c r="A27" s="1" t="s">
        <v>44</v>
      </c>
      <c r="B27" s="1" t="s">
        <v>45</v>
      </c>
      <c r="C27" s="10">
        <v>77110</v>
      </c>
      <c r="D27" s="10"/>
      <c r="E27" s="10"/>
      <c r="F27" s="10"/>
      <c r="G27" s="10">
        <f t="shared" si="0"/>
        <v>77110</v>
      </c>
      <c r="H27" s="16">
        <f t="shared" si="1"/>
        <v>71</v>
      </c>
      <c r="I27" s="15">
        <f t="shared" si="2"/>
        <v>0.246</v>
      </c>
      <c r="J27" s="15">
        <f>ROUND(G27/81610-1,2)</f>
        <v>-0.06</v>
      </c>
    </row>
    <row r="28" spans="1:10" x14ac:dyDescent="0.25">
      <c r="A28" s="1" t="s">
        <v>44</v>
      </c>
      <c r="B28" s="1" t="s">
        <v>46</v>
      </c>
      <c r="C28" s="10"/>
      <c r="D28" s="10"/>
      <c r="E28" s="10"/>
      <c r="F28" s="10">
        <v>8160</v>
      </c>
      <c r="G28" s="10">
        <f t="shared" si="0"/>
        <v>8160</v>
      </c>
      <c r="H28" s="16">
        <f t="shared" si="1"/>
        <v>7.51</v>
      </c>
      <c r="I28" s="15">
        <f t="shared" si="2"/>
        <v>2.5999999999999999E-2</v>
      </c>
      <c r="J28" s="15">
        <f>ROUND(G28/8040-1,2)</f>
        <v>0.01</v>
      </c>
    </row>
    <row r="29" spans="1:10" x14ac:dyDescent="0.25">
      <c r="A29" s="1" t="s">
        <v>44</v>
      </c>
      <c r="B29" s="1" t="s">
        <v>47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25" t="s">
        <v>12</v>
      </c>
      <c r="B30" s="25"/>
      <c r="C30" s="11">
        <f t="shared" ref="C30:H30" si="3">SUM(C8:C29)</f>
        <v>268210</v>
      </c>
      <c r="D30" s="11">
        <f t="shared" si="3"/>
        <v>174</v>
      </c>
      <c r="E30" s="11">
        <f t="shared" si="3"/>
        <v>1270</v>
      </c>
      <c r="F30" s="11">
        <f t="shared" si="3"/>
        <v>44178</v>
      </c>
      <c r="G30" s="11">
        <f t="shared" si="3"/>
        <v>313832</v>
      </c>
      <c r="H30" s="14">
        <f t="shared" si="3"/>
        <v>288.96999999999997</v>
      </c>
      <c r="I30" s="17"/>
      <c r="J30" s="17"/>
    </row>
    <row r="31" spans="1:10" x14ac:dyDescent="0.25">
      <c r="A31" s="25" t="s">
        <v>14</v>
      </c>
      <c r="B31" s="25"/>
      <c r="C31" s="12">
        <f>ROUND(C30/G30,2)</f>
        <v>0.85</v>
      </c>
      <c r="D31" s="12">
        <f>ROUND(D30/G30,2)</f>
        <v>0</v>
      </c>
      <c r="E31" s="12">
        <f>ROUND(E30/G30,2)</f>
        <v>0</v>
      </c>
      <c r="F31" s="12">
        <f>ROUND(F30/G30,2)</f>
        <v>0.14000000000000001</v>
      </c>
      <c r="G31" s="13"/>
      <c r="H31" s="13"/>
      <c r="I31" s="17"/>
      <c r="J31" s="17"/>
    </row>
    <row r="32" spans="1:10" x14ac:dyDescent="0.25">
      <c r="A32" s="2" t="s">
        <v>52</v>
      </c>
      <c r="B32" s="2"/>
      <c r="C32" s="13"/>
      <c r="D32" s="13"/>
      <c r="E32" s="13"/>
      <c r="F32" s="13"/>
      <c r="G32" s="13"/>
      <c r="H32" s="13"/>
      <c r="I32" s="17"/>
      <c r="J32" s="17"/>
    </row>
    <row r="33" spans="1:10" x14ac:dyDescent="0.25">
      <c r="C33" s="8"/>
      <c r="D33" s="8"/>
      <c r="E33" s="8"/>
      <c r="F33" s="8"/>
      <c r="G33" s="8"/>
      <c r="H33" s="8"/>
      <c r="I33" s="9"/>
      <c r="J33" s="9"/>
    </row>
    <row r="34" spans="1:10" x14ac:dyDescent="0.25">
      <c r="C34" s="8"/>
      <c r="D34" s="8"/>
      <c r="E34" s="8"/>
      <c r="F34" s="8"/>
      <c r="G34" s="8"/>
      <c r="H34" s="8"/>
      <c r="I34" s="9"/>
      <c r="J34" s="9"/>
    </row>
    <row r="35" spans="1:10" x14ac:dyDescent="0.25">
      <c r="C35" s="8"/>
      <c r="D35" s="8"/>
      <c r="E35" s="8"/>
      <c r="F35" s="8"/>
      <c r="G35" s="8"/>
      <c r="H35" s="8"/>
      <c r="I35" s="9"/>
      <c r="J35" s="9"/>
    </row>
    <row r="36" spans="1:10" x14ac:dyDescent="0.25">
      <c r="A36" s="25" t="s">
        <v>53</v>
      </c>
      <c r="B36" s="25"/>
      <c r="C36" s="11" t="s">
        <v>8</v>
      </c>
      <c r="D36" s="11" t="s">
        <v>9</v>
      </c>
      <c r="E36" s="11" t="s">
        <v>10</v>
      </c>
      <c r="F36" s="11" t="s">
        <v>11</v>
      </c>
      <c r="G36" s="11" t="s">
        <v>12</v>
      </c>
      <c r="H36" s="14" t="s">
        <v>13</v>
      </c>
      <c r="I36" s="17"/>
      <c r="J36" s="17"/>
    </row>
    <row r="37" spans="1:10" x14ac:dyDescent="0.25">
      <c r="A37" s="20" t="s">
        <v>54</v>
      </c>
      <c r="B37" s="20"/>
      <c r="C37" s="10">
        <v>191100</v>
      </c>
      <c r="D37" s="10">
        <v>174</v>
      </c>
      <c r="E37" s="10">
        <v>1270</v>
      </c>
      <c r="F37" s="10">
        <v>35527</v>
      </c>
      <c r="G37" s="10">
        <f>SUM(C37:F37)</f>
        <v>228071</v>
      </c>
      <c r="H37" s="16">
        <f>ROUND(G37/1086,2)</f>
        <v>210.01</v>
      </c>
      <c r="I37" s="9"/>
      <c r="J37" s="9"/>
    </row>
    <row r="38" spans="1:10" x14ac:dyDescent="0.25">
      <c r="A38" s="20" t="s">
        <v>55</v>
      </c>
      <c r="B38" s="20"/>
      <c r="C38" s="10">
        <v>77110</v>
      </c>
      <c r="D38" s="10">
        <v>0</v>
      </c>
      <c r="E38" s="10">
        <v>0</v>
      </c>
      <c r="F38" s="10">
        <v>8160</v>
      </c>
      <c r="G38" s="10">
        <f>SUM(C38:F38)</f>
        <v>85270</v>
      </c>
      <c r="H38" s="16">
        <f>ROUND(G38/1086,2)</f>
        <v>78.52</v>
      </c>
      <c r="I38" s="9"/>
      <c r="J38" s="9"/>
    </row>
    <row r="39" spans="1:10" x14ac:dyDescent="0.25">
      <c r="A39" s="20" t="s">
        <v>56</v>
      </c>
      <c r="B39" s="20"/>
      <c r="C39" s="10">
        <v>0</v>
      </c>
      <c r="D39" s="10">
        <v>0</v>
      </c>
      <c r="E39" s="10">
        <v>0</v>
      </c>
      <c r="F39" s="10">
        <v>491</v>
      </c>
      <c r="G39" s="10">
        <f>SUM(C39:F39)</f>
        <v>491</v>
      </c>
      <c r="H39" s="16">
        <f>ROUND(G39/1086,2)</f>
        <v>0.45</v>
      </c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57</v>
      </c>
      <c r="B44" s="25"/>
      <c r="C44" s="14" t="s">
        <v>2</v>
      </c>
      <c r="D44" s="14">
        <v>2023</v>
      </c>
      <c r="E44" s="14" t="s">
        <v>59</v>
      </c>
      <c r="F44" s="13"/>
      <c r="G44" s="14" t="s">
        <v>60</v>
      </c>
      <c r="H44" s="14" t="s">
        <v>2</v>
      </c>
      <c r="I44" s="12" t="s">
        <v>61</v>
      </c>
      <c r="J44" s="12" t="s">
        <v>59</v>
      </c>
    </row>
    <row r="45" spans="1:10" x14ac:dyDescent="0.25">
      <c r="A45" s="20" t="s">
        <v>58</v>
      </c>
      <c r="B45" s="20"/>
      <c r="C45" s="15">
        <f>ROUND(0.7532, 4)</f>
        <v>0.75319999999999998</v>
      </c>
      <c r="D45" s="15">
        <f>ROUND(0.7399, 4)</f>
        <v>0.7399</v>
      </c>
      <c r="E45" s="15">
        <f>ROUND(0.777, 4)</f>
        <v>0.77700000000000002</v>
      </c>
      <c r="F45" s="8"/>
      <c r="G45" s="14" t="s">
        <v>62</v>
      </c>
      <c r="H45" s="26" t="s">
        <v>63</v>
      </c>
      <c r="I45" s="23" t="s">
        <v>64</v>
      </c>
      <c r="J45" s="23" t="s">
        <v>65</v>
      </c>
    </row>
    <row r="46" spans="1:10" x14ac:dyDescent="0.25">
      <c r="A46" s="20" t="s">
        <v>66</v>
      </c>
      <c r="B46" s="20"/>
      <c r="C46" s="15">
        <f>ROUND(0.7407, 4)</f>
        <v>0.74070000000000003</v>
      </c>
      <c r="D46" s="15">
        <f>ROUND(0.7282, 4)</f>
        <v>0.72819999999999996</v>
      </c>
      <c r="E46" s="15">
        <f>ROUND(0.7608, 4)</f>
        <v>0.76080000000000003</v>
      </c>
      <c r="F46" s="8"/>
      <c r="G46" s="14" t="s">
        <v>67</v>
      </c>
      <c r="H46" s="27"/>
      <c r="I46" s="24"/>
      <c r="J46" s="24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68</v>
      </c>
      <c r="B50" s="25"/>
      <c r="C50" s="14" t="s">
        <v>2</v>
      </c>
      <c r="D50" s="14" t="s">
        <v>165</v>
      </c>
      <c r="E50" s="14" t="s">
        <v>70</v>
      </c>
      <c r="F50" s="14" t="s">
        <v>71</v>
      </c>
      <c r="G50" s="14" t="s">
        <v>72</v>
      </c>
      <c r="H50" s="13"/>
      <c r="I50" s="17"/>
      <c r="J50" s="17"/>
    </row>
    <row r="51" spans="1:10" x14ac:dyDescent="0.25">
      <c r="A51" s="20" t="s">
        <v>73</v>
      </c>
      <c r="B51" s="20"/>
      <c r="C51" s="16">
        <v>71</v>
      </c>
      <c r="D51" s="16">
        <v>83.87</v>
      </c>
      <c r="E51" s="16">
        <v>91.13</v>
      </c>
      <c r="F51" s="16">
        <v>54.95</v>
      </c>
      <c r="G51" s="16">
        <f>12/10*C51</f>
        <v>85.2</v>
      </c>
      <c r="H51" s="8"/>
      <c r="I51" s="9"/>
      <c r="J51" s="9"/>
    </row>
    <row r="52" spans="1:10" x14ac:dyDescent="0.25">
      <c r="A52" s="20" t="s">
        <v>74</v>
      </c>
      <c r="B52" s="20"/>
      <c r="C52" s="16">
        <v>71.92</v>
      </c>
      <c r="D52" s="16">
        <v>95.91</v>
      </c>
      <c r="E52" s="16">
        <v>61.18</v>
      </c>
      <c r="F52" s="16">
        <v>62.89</v>
      </c>
      <c r="G52" s="16">
        <f>12/10*C52</f>
        <v>86.304000000000002</v>
      </c>
      <c r="H52" s="8"/>
      <c r="I52" s="9"/>
      <c r="J52" s="9"/>
    </row>
    <row r="53" spans="1:10" x14ac:dyDescent="0.25">
      <c r="A53" s="20" t="s">
        <v>75</v>
      </c>
      <c r="B53" s="20"/>
      <c r="C53" s="16">
        <v>210.01</v>
      </c>
      <c r="D53" s="16">
        <v>245.27</v>
      </c>
      <c r="E53" s="16">
        <v>287.25</v>
      </c>
      <c r="F53" s="16">
        <v>278.91000000000003</v>
      </c>
      <c r="G53" s="16">
        <f>12/10*C53</f>
        <v>252.01199999999997</v>
      </c>
      <c r="H53" s="8"/>
      <c r="I53" s="9"/>
      <c r="J53" s="9"/>
    </row>
    <row r="54" spans="1:10" x14ac:dyDescent="0.25">
      <c r="A54" s="20" t="s">
        <v>76</v>
      </c>
      <c r="B54" s="20"/>
      <c r="C54" s="16">
        <v>78.52</v>
      </c>
      <c r="D54" s="16">
        <v>94.38</v>
      </c>
      <c r="E54" s="16">
        <v>114.69</v>
      </c>
      <c r="F54" s="16">
        <v>78.319999999999993</v>
      </c>
      <c r="G54" s="16">
        <f>12/10*C54</f>
        <v>94.22399999999999</v>
      </c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1" t="s">
        <v>60</v>
      </c>
      <c r="B57" s="22"/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3" t="s">
        <v>77</v>
      </c>
      <c r="B58" s="1" t="s">
        <v>166</v>
      </c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3" t="s">
        <v>70</v>
      </c>
      <c r="B59" s="1" t="s">
        <v>79</v>
      </c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" t="s">
        <v>71</v>
      </c>
      <c r="B60" s="1" t="s">
        <v>80</v>
      </c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" t="s">
        <v>72</v>
      </c>
      <c r="B61" s="1" t="s">
        <v>81</v>
      </c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30:B30"/>
    <mergeCell ref="A31:B31"/>
    <mergeCell ref="A36:B36"/>
    <mergeCell ref="A37:B37"/>
    <mergeCell ref="J45:J46"/>
    <mergeCell ref="A46:B46"/>
    <mergeCell ref="A50:B50"/>
    <mergeCell ref="A51:B51"/>
    <mergeCell ref="A38:B38"/>
    <mergeCell ref="A39:B39"/>
    <mergeCell ref="A44:B44"/>
    <mergeCell ref="A45:B45"/>
    <mergeCell ref="H45:H46"/>
    <mergeCell ref="A52:B52"/>
    <mergeCell ref="A53:B53"/>
    <mergeCell ref="A54:B54"/>
    <mergeCell ref="A57:B57"/>
    <mergeCell ref="I45:I4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167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1689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159</v>
      </c>
      <c r="C9" s="10"/>
      <c r="D9" s="10"/>
      <c r="E9" s="10">
        <v>23342</v>
      </c>
      <c r="F9" s="10"/>
      <c r="G9" s="10">
        <f t="shared" ref="G9:G38" si="0">SUM(C9:F9)</f>
        <v>23342</v>
      </c>
      <c r="H9" s="16">
        <f t="shared" ref="H9:H38" si="1">ROUND(G9/1689,2)</f>
        <v>13.82</v>
      </c>
      <c r="I9" s="15">
        <f t="shared" ref="I9:I38" si="2">ROUND(G9/$G$39,3)</f>
        <v>4.1000000000000002E-2</v>
      </c>
      <c r="J9" s="15">
        <f>ROUND(G9/33660-1,2)</f>
        <v>-0.31</v>
      </c>
    </row>
    <row r="10" spans="1:10" x14ac:dyDescent="0.25">
      <c r="A10" s="1" t="s">
        <v>48</v>
      </c>
      <c r="B10" s="1" t="s">
        <v>168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19</v>
      </c>
      <c r="C12" s="10">
        <v>49830</v>
      </c>
      <c r="D12" s="10"/>
      <c r="E12" s="10"/>
      <c r="F12" s="10"/>
      <c r="G12" s="10">
        <f t="shared" si="0"/>
        <v>49830</v>
      </c>
      <c r="H12" s="16">
        <f t="shared" si="1"/>
        <v>29.5</v>
      </c>
      <c r="I12" s="15">
        <f t="shared" si="2"/>
        <v>8.6999999999999994E-2</v>
      </c>
      <c r="J12" s="15">
        <f>ROUND(G12/47280-1,2)</f>
        <v>0.05</v>
      </c>
    </row>
    <row r="13" spans="1:10" x14ac:dyDescent="0.25">
      <c r="A13" s="1" t="s">
        <v>16</v>
      </c>
      <c r="B13" s="1" t="s">
        <v>20</v>
      </c>
      <c r="C13" s="10">
        <v>64860</v>
      </c>
      <c r="D13" s="10"/>
      <c r="E13" s="10"/>
      <c r="F13" s="10"/>
      <c r="G13" s="10">
        <f t="shared" si="0"/>
        <v>64860</v>
      </c>
      <c r="H13" s="16">
        <f t="shared" si="1"/>
        <v>38.4</v>
      </c>
      <c r="I13" s="15">
        <f t="shared" si="2"/>
        <v>0.114</v>
      </c>
      <c r="J13" s="15">
        <f>ROUND(G13/61860-1,2)</f>
        <v>0.05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56</v>
      </c>
      <c r="F14" s="10"/>
      <c r="G14" s="10">
        <f t="shared" si="0"/>
        <v>56</v>
      </c>
      <c r="H14" s="16">
        <f t="shared" si="1"/>
        <v>0.03</v>
      </c>
      <c r="I14" s="15">
        <f t="shared" si="2"/>
        <v>0</v>
      </c>
      <c r="J14" s="15">
        <f>ROUND(G14/52-1,2)</f>
        <v>0.08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224</v>
      </c>
      <c r="F15" s="10"/>
      <c r="G15" s="10">
        <f t="shared" si="0"/>
        <v>224</v>
      </c>
      <c r="H15" s="16">
        <f t="shared" si="1"/>
        <v>0.13</v>
      </c>
      <c r="I15" s="15">
        <f t="shared" si="2"/>
        <v>0</v>
      </c>
      <c r="J15" s="15">
        <f>ROUND(G15/345-1,2)</f>
        <v>-0.35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1000</v>
      </c>
      <c r="F16" s="10"/>
      <c r="G16" s="10">
        <f t="shared" si="0"/>
        <v>1000</v>
      </c>
      <c r="H16" s="16">
        <f t="shared" si="1"/>
        <v>0.59</v>
      </c>
      <c r="I16" s="15">
        <f t="shared" si="2"/>
        <v>2E-3</v>
      </c>
      <c r="J16" s="15">
        <f>ROUND(G16/1920-1,2)</f>
        <v>-0.48</v>
      </c>
    </row>
    <row r="17" spans="1:10" x14ac:dyDescent="0.25">
      <c r="A17" s="1" t="s">
        <v>16</v>
      </c>
      <c r="B17" s="1" t="s">
        <v>24</v>
      </c>
      <c r="C17" s="10">
        <v>55120</v>
      </c>
      <c r="D17" s="10"/>
      <c r="E17" s="10"/>
      <c r="F17" s="10"/>
      <c r="G17" s="10">
        <f t="shared" si="0"/>
        <v>55120</v>
      </c>
      <c r="H17" s="16">
        <f t="shared" si="1"/>
        <v>32.630000000000003</v>
      </c>
      <c r="I17" s="15">
        <f t="shared" si="2"/>
        <v>9.6000000000000002E-2</v>
      </c>
      <c r="J17" s="15">
        <f>ROUND(G17/63620-1,2)</f>
        <v>-0.13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2035</v>
      </c>
      <c r="F18" s="10"/>
      <c r="G18" s="10">
        <f t="shared" si="0"/>
        <v>2035</v>
      </c>
      <c r="H18" s="16">
        <f t="shared" si="1"/>
        <v>1.2</v>
      </c>
      <c r="I18" s="15">
        <f t="shared" si="2"/>
        <v>4.0000000000000001E-3</v>
      </c>
      <c r="J18" s="15">
        <f>ROUND(G18/830-1,2)</f>
        <v>1.45</v>
      </c>
    </row>
    <row r="19" spans="1:10" x14ac:dyDescent="0.25">
      <c r="A19" s="1" t="s">
        <v>16</v>
      </c>
      <c r="B19" s="1" t="s">
        <v>26</v>
      </c>
      <c r="C19" s="10">
        <v>107370</v>
      </c>
      <c r="D19" s="10"/>
      <c r="E19" s="10"/>
      <c r="F19" s="10">
        <v>620</v>
      </c>
      <c r="G19" s="10">
        <f t="shared" si="0"/>
        <v>107990</v>
      </c>
      <c r="H19" s="16">
        <f t="shared" si="1"/>
        <v>63.94</v>
      </c>
      <c r="I19" s="15">
        <f t="shared" si="2"/>
        <v>0.189</v>
      </c>
      <c r="J19" s="15">
        <f>ROUND(G19/103300-1,2)</f>
        <v>0.05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1282</v>
      </c>
      <c r="F20" s="10"/>
      <c r="G20" s="10">
        <f t="shared" si="0"/>
        <v>1282</v>
      </c>
      <c r="H20" s="16">
        <f t="shared" si="1"/>
        <v>0.76</v>
      </c>
      <c r="I20" s="15">
        <f t="shared" si="2"/>
        <v>2E-3</v>
      </c>
      <c r="J20" s="15">
        <f>ROUND(G20/1077-1,2)</f>
        <v>0.19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2200</v>
      </c>
      <c r="F21" s="10"/>
      <c r="G21" s="10">
        <f t="shared" si="0"/>
        <v>2200</v>
      </c>
      <c r="H21" s="16">
        <f t="shared" si="1"/>
        <v>1.3</v>
      </c>
      <c r="I21" s="15">
        <f t="shared" si="2"/>
        <v>4.0000000000000001E-3</v>
      </c>
      <c r="J21" s="15">
        <f>ROUND(G21/3449-1,2)</f>
        <v>-0.36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440</v>
      </c>
      <c r="F22" s="10"/>
      <c r="G22" s="10">
        <f t="shared" si="0"/>
        <v>440</v>
      </c>
      <c r="H22" s="16">
        <f t="shared" si="1"/>
        <v>0.26</v>
      </c>
      <c r="I22" s="15">
        <f t="shared" si="2"/>
        <v>1E-3</v>
      </c>
      <c r="J22" s="15">
        <f>ROUND(G22/650-1,2)</f>
        <v>-0.32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1960</v>
      </c>
      <c r="F23" s="10"/>
      <c r="G23" s="10">
        <f t="shared" si="0"/>
        <v>1960</v>
      </c>
      <c r="H23" s="16">
        <f t="shared" si="1"/>
        <v>1.1599999999999999</v>
      </c>
      <c r="I23" s="15">
        <f t="shared" si="2"/>
        <v>3.0000000000000001E-3</v>
      </c>
      <c r="J23" s="15">
        <f>ROUND(G23/1160-1,2)</f>
        <v>0.69</v>
      </c>
    </row>
    <row r="24" spans="1:10" x14ac:dyDescent="0.25">
      <c r="A24" s="1" t="s">
        <v>16</v>
      </c>
      <c r="B24" s="1" t="s">
        <v>33</v>
      </c>
      <c r="C24" s="10"/>
      <c r="D24" s="10">
        <v>107</v>
      </c>
      <c r="E24" s="10">
        <v>34</v>
      </c>
      <c r="F24" s="10"/>
      <c r="G24" s="10">
        <f t="shared" si="0"/>
        <v>141</v>
      </c>
      <c r="H24" s="16">
        <f t="shared" si="1"/>
        <v>0.08</v>
      </c>
      <c r="I24" s="15">
        <f t="shared" si="2"/>
        <v>0</v>
      </c>
      <c r="J24" s="15">
        <f>ROUND(G24/178-1,2)</f>
        <v>-0.21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970</v>
      </c>
      <c r="F25" s="10"/>
      <c r="G25" s="10">
        <f t="shared" si="0"/>
        <v>970</v>
      </c>
      <c r="H25" s="16">
        <f t="shared" si="1"/>
        <v>0.56999999999999995</v>
      </c>
      <c r="I25" s="15">
        <f t="shared" si="2"/>
        <v>2E-3</v>
      </c>
      <c r="J25" s="15">
        <f>ROUND(G25/935-1,2)</f>
        <v>0.04</v>
      </c>
    </row>
    <row r="26" spans="1:10" x14ac:dyDescent="0.25">
      <c r="A26" s="1" t="s">
        <v>16</v>
      </c>
      <c r="B26" s="1" t="s">
        <v>35</v>
      </c>
      <c r="C26" s="10"/>
      <c r="D26" s="10">
        <v>40</v>
      </c>
      <c r="E26" s="10"/>
      <c r="F26" s="10"/>
      <c r="G26" s="10">
        <f t="shared" si="0"/>
        <v>40</v>
      </c>
      <c r="H26" s="16">
        <f t="shared" si="1"/>
        <v>0.02</v>
      </c>
      <c r="I26" s="15">
        <f t="shared" si="2"/>
        <v>0</v>
      </c>
      <c r="J26" s="15">
        <f>ROUND(G26/260-1,2)</f>
        <v>-0.85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3530</v>
      </c>
      <c r="F27" s="10"/>
      <c r="G27" s="10">
        <f t="shared" si="0"/>
        <v>3530</v>
      </c>
      <c r="H27" s="16">
        <f t="shared" si="1"/>
        <v>2.09</v>
      </c>
      <c r="I27" s="15">
        <f t="shared" si="2"/>
        <v>6.0000000000000001E-3</v>
      </c>
      <c r="J27" s="15">
        <f>ROUND(G27/2140-1,2)</f>
        <v>0.65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2560</v>
      </c>
      <c r="F28" s="10"/>
      <c r="G28" s="10">
        <f t="shared" si="0"/>
        <v>2560</v>
      </c>
      <c r="H28" s="16">
        <f t="shared" si="1"/>
        <v>1.52</v>
      </c>
      <c r="I28" s="15">
        <f t="shared" si="2"/>
        <v>4.0000000000000001E-3</v>
      </c>
      <c r="J28" s="15">
        <f>ROUND(G28/4454-1,2)</f>
        <v>-0.43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59240</v>
      </c>
      <c r="F29" s="10"/>
      <c r="G29" s="10">
        <f t="shared" si="0"/>
        <v>59240</v>
      </c>
      <c r="H29" s="16">
        <f t="shared" si="1"/>
        <v>35.07</v>
      </c>
      <c r="I29" s="15">
        <f t="shared" si="2"/>
        <v>0.104</v>
      </c>
      <c r="J29" s="15">
        <f>ROUND(G29/40530-1,2)</f>
        <v>0.46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16990</v>
      </c>
      <c r="F30" s="10"/>
      <c r="G30" s="10">
        <f t="shared" si="0"/>
        <v>16990</v>
      </c>
      <c r="H30" s="16">
        <f t="shared" si="1"/>
        <v>10.06</v>
      </c>
      <c r="I30" s="15">
        <f t="shared" si="2"/>
        <v>0.03</v>
      </c>
      <c r="J30" s="15">
        <f>ROUND(G30/13530-1,2)</f>
        <v>0.26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29880</v>
      </c>
      <c r="F31" s="10"/>
      <c r="G31" s="10">
        <f t="shared" si="0"/>
        <v>29880</v>
      </c>
      <c r="H31" s="16">
        <f t="shared" si="1"/>
        <v>17.690000000000001</v>
      </c>
      <c r="I31" s="15">
        <f t="shared" si="2"/>
        <v>5.1999999999999998E-2</v>
      </c>
      <c r="J31" s="15">
        <f>ROUND(G31/21040-1,2)</f>
        <v>0.42</v>
      </c>
    </row>
    <row r="32" spans="1:10" x14ac:dyDescent="0.25">
      <c r="A32" s="1" t="s">
        <v>16</v>
      </c>
      <c r="B32" s="1" t="s">
        <v>90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133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ROUND(G34/1420-1,2)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110600</v>
      </c>
      <c r="D36" s="10"/>
      <c r="E36" s="10"/>
      <c r="F36" s="10"/>
      <c r="G36" s="10">
        <f t="shared" si="0"/>
        <v>110600</v>
      </c>
      <c r="H36" s="16">
        <f t="shared" si="1"/>
        <v>65.48</v>
      </c>
      <c r="I36" s="15">
        <f t="shared" si="2"/>
        <v>0.19400000000000001</v>
      </c>
      <c r="J36" s="15">
        <f>ROUND(G36/111570-1,2)</f>
        <v>-0.01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37150</v>
      </c>
      <c r="F37" s="10"/>
      <c r="G37" s="10">
        <f t="shared" si="0"/>
        <v>37150</v>
      </c>
      <c r="H37" s="16">
        <f t="shared" si="1"/>
        <v>22</v>
      </c>
      <c r="I37" s="15">
        <f t="shared" si="2"/>
        <v>6.5000000000000002E-2</v>
      </c>
      <c r="J37" s="15">
        <f>ROUND(G37/33480-1,2)</f>
        <v>0.11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5" t="s">
        <v>12</v>
      </c>
      <c r="B39" s="25"/>
      <c r="C39" s="11">
        <f t="shared" ref="C39:H39" si="3">SUM(C8:C38)</f>
        <v>387780</v>
      </c>
      <c r="D39" s="11">
        <f t="shared" si="3"/>
        <v>147</v>
      </c>
      <c r="E39" s="11">
        <f t="shared" si="3"/>
        <v>182893</v>
      </c>
      <c r="F39" s="11">
        <f t="shared" si="3"/>
        <v>620</v>
      </c>
      <c r="G39" s="11">
        <f t="shared" si="3"/>
        <v>571440</v>
      </c>
      <c r="H39" s="14">
        <f t="shared" si="3"/>
        <v>338.3</v>
      </c>
      <c r="I39" s="17"/>
      <c r="J39" s="17"/>
    </row>
    <row r="40" spans="1:10" x14ac:dyDescent="0.25">
      <c r="A40" s="25" t="s">
        <v>14</v>
      </c>
      <c r="B40" s="25"/>
      <c r="C40" s="12">
        <f>ROUND(C39/G39,2)</f>
        <v>0.68</v>
      </c>
      <c r="D40" s="12">
        <f>ROUND(D39/G39,2)</f>
        <v>0</v>
      </c>
      <c r="E40" s="12">
        <f>ROUND(E39/G39,2)</f>
        <v>0.32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5" t="s">
        <v>53</v>
      </c>
      <c r="B45" s="25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0" t="s">
        <v>54</v>
      </c>
      <c r="B46" s="20"/>
      <c r="C46" s="10">
        <v>277180</v>
      </c>
      <c r="D46" s="10">
        <v>147</v>
      </c>
      <c r="E46" s="10">
        <v>122401</v>
      </c>
      <c r="F46" s="10">
        <v>620</v>
      </c>
      <c r="G46" s="10">
        <f>SUM(C46:F46)</f>
        <v>400348</v>
      </c>
      <c r="H46" s="16">
        <f>ROUND(G46/1689,2)</f>
        <v>237.03</v>
      </c>
      <c r="I46" s="9"/>
      <c r="J46" s="9"/>
    </row>
    <row r="47" spans="1:10" x14ac:dyDescent="0.25">
      <c r="A47" s="20" t="s">
        <v>55</v>
      </c>
      <c r="B47" s="20"/>
      <c r="C47" s="10">
        <v>110600</v>
      </c>
      <c r="D47" s="10">
        <v>0</v>
      </c>
      <c r="E47" s="10">
        <v>37150</v>
      </c>
      <c r="F47" s="10">
        <v>0</v>
      </c>
      <c r="G47" s="10">
        <f>SUM(C47:F47)</f>
        <v>147750</v>
      </c>
      <c r="H47" s="16">
        <f>ROUND(G47/1689,2)</f>
        <v>87.48</v>
      </c>
      <c r="I47" s="9"/>
      <c r="J47" s="9"/>
    </row>
    <row r="48" spans="1:10" x14ac:dyDescent="0.25">
      <c r="A48" s="20" t="s">
        <v>56</v>
      </c>
      <c r="B48" s="20"/>
      <c r="C48" s="10">
        <v>0</v>
      </c>
      <c r="D48" s="10">
        <v>0</v>
      </c>
      <c r="E48" s="10">
        <v>23342</v>
      </c>
      <c r="F48" s="10">
        <v>0</v>
      </c>
      <c r="G48" s="10">
        <f>SUM(C48:F48)</f>
        <v>23342</v>
      </c>
      <c r="H48" s="16">
        <f>ROUND(G48/1689,2)</f>
        <v>13.82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57</v>
      </c>
      <c r="B53" s="25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0" t="s">
        <v>58</v>
      </c>
      <c r="B54" s="20"/>
      <c r="C54" s="15">
        <f>ROUND(0.7964, 4)</f>
        <v>0.7964</v>
      </c>
      <c r="D54" s="15">
        <f>ROUND(0.771, 4)</f>
        <v>0.77100000000000002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3" t="s">
        <v>64</v>
      </c>
      <c r="J54" s="23" t="s">
        <v>65</v>
      </c>
    </row>
    <row r="55" spans="1:10" x14ac:dyDescent="0.25">
      <c r="A55" s="20" t="s">
        <v>66</v>
      </c>
      <c r="B55" s="20"/>
      <c r="C55" s="15">
        <f>ROUND(0.7847, 4)</f>
        <v>0.78469999999999995</v>
      </c>
      <c r="D55" s="15">
        <f>ROUND(0.7593, 4)</f>
        <v>0.75929999999999997</v>
      </c>
      <c r="E55" s="15">
        <f>ROUND(0.7608, 4)</f>
        <v>0.76080000000000003</v>
      </c>
      <c r="F55" s="8"/>
      <c r="G55" s="14" t="s">
        <v>67</v>
      </c>
      <c r="H55" s="27"/>
      <c r="I55" s="24"/>
      <c r="J55" s="24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68</v>
      </c>
      <c r="B59" s="25"/>
      <c r="C59" s="14" t="s">
        <v>2</v>
      </c>
      <c r="D59" s="14" t="s">
        <v>169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0" t="s">
        <v>73</v>
      </c>
      <c r="B60" s="20"/>
      <c r="C60" s="16">
        <v>65.48</v>
      </c>
      <c r="D60" s="16">
        <v>71.37</v>
      </c>
      <c r="E60" s="16">
        <v>91.13</v>
      </c>
      <c r="F60" s="16">
        <v>54.95</v>
      </c>
      <c r="G60" s="16">
        <f>12/10*C60</f>
        <v>78.576000000000008</v>
      </c>
      <c r="H60" s="8"/>
      <c r="I60" s="9"/>
      <c r="J60" s="9"/>
    </row>
    <row r="61" spans="1:10" x14ac:dyDescent="0.25">
      <c r="A61" s="20" t="s">
        <v>74</v>
      </c>
      <c r="B61" s="20"/>
      <c r="C61" s="16">
        <v>63.94</v>
      </c>
      <c r="D61" s="16">
        <v>73.099999999999994</v>
      </c>
      <c r="E61" s="16">
        <v>61.18</v>
      </c>
      <c r="F61" s="16">
        <v>62.89</v>
      </c>
      <c r="G61" s="16">
        <f>12/10*C61</f>
        <v>76.727999999999994</v>
      </c>
      <c r="H61" s="8"/>
      <c r="I61" s="9"/>
      <c r="J61" s="9"/>
    </row>
    <row r="62" spans="1:10" x14ac:dyDescent="0.25">
      <c r="A62" s="20" t="s">
        <v>75</v>
      </c>
      <c r="B62" s="20"/>
      <c r="C62" s="16">
        <v>237.03</v>
      </c>
      <c r="D62" s="16">
        <v>266.33</v>
      </c>
      <c r="E62" s="16">
        <v>287.25</v>
      </c>
      <c r="F62" s="16">
        <v>278.91000000000003</v>
      </c>
      <c r="G62" s="16">
        <f>12/10*C62</f>
        <v>284.43599999999998</v>
      </c>
      <c r="H62" s="8"/>
      <c r="I62" s="9"/>
      <c r="J62" s="9"/>
    </row>
    <row r="63" spans="1:10" x14ac:dyDescent="0.25">
      <c r="A63" s="20" t="s">
        <v>76</v>
      </c>
      <c r="B63" s="20"/>
      <c r="C63" s="16">
        <v>87.48</v>
      </c>
      <c r="D63" s="16">
        <v>94.81</v>
      </c>
      <c r="E63" s="16">
        <v>114.69</v>
      </c>
      <c r="F63" s="16">
        <v>78.319999999999993</v>
      </c>
      <c r="G63" s="16">
        <f>12/10*C63</f>
        <v>104.976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2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170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72" bestFit="1" customWidth="1"/>
    <col min="3" max="3" width="14.5703125" customWidth="1"/>
    <col min="4" max="4" width="28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171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501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</v>
      </c>
      <c r="F9" s="10"/>
      <c r="G9" s="10">
        <f t="shared" ref="G9:G42" si="0">SUM(C9:F9)</f>
        <v>11</v>
      </c>
      <c r="H9" s="16">
        <f t="shared" ref="H9:H42" si="1">ROUND(G9/501,2)</f>
        <v>0.02</v>
      </c>
      <c r="I9" s="15">
        <f t="shared" ref="I9:I42" si="2">ROUND(G9/$G$43,3)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21080</v>
      </c>
      <c r="D10" s="10"/>
      <c r="E10" s="10">
        <v>1443</v>
      </c>
      <c r="F10" s="10">
        <v>80</v>
      </c>
      <c r="G10" s="10">
        <f t="shared" si="0"/>
        <v>22603</v>
      </c>
      <c r="H10" s="16">
        <f t="shared" si="1"/>
        <v>45.12</v>
      </c>
      <c r="I10" s="15">
        <f t="shared" si="2"/>
        <v>9.6000000000000002E-2</v>
      </c>
      <c r="J10" s="15">
        <f>ROUND(G10/23489.15-1,2)</f>
        <v>-0.04</v>
      </c>
    </row>
    <row r="11" spans="1:10" x14ac:dyDescent="0.25">
      <c r="A11" s="1" t="s">
        <v>16</v>
      </c>
      <c r="B11" s="1" t="s">
        <v>20</v>
      </c>
      <c r="C11" s="10">
        <v>33760</v>
      </c>
      <c r="D11" s="10"/>
      <c r="E11" s="10"/>
      <c r="F11" s="10"/>
      <c r="G11" s="10">
        <f t="shared" si="0"/>
        <v>33760</v>
      </c>
      <c r="H11" s="16">
        <f t="shared" si="1"/>
        <v>67.39</v>
      </c>
      <c r="I11" s="15">
        <f t="shared" si="2"/>
        <v>0.14299999999999999</v>
      </c>
      <c r="J11" s="15">
        <f>ROUND(G11/30220-1,2)</f>
        <v>0.12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53</v>
      </c>
      <c r="F12" s="10"/>
      <c r="G12" s="10">
        <f t="shared" si="0"/>
        <v>53</v>
      </c>
      <c r="H12" s="16">
        <f t="shared" si="1"/>
        <v>0.11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182</v>
      </c>
      <c r="F13" s="10">
        <v>1400</v>
      </c>
      <c r="G13" s="10">
        <f t="shared" si="0"/>
        <v>1582</v>
      </c>
      <c r="H13" s="16">
        <f t="shared" si="1"/>
        <v>3.16</v>
      </c>
      <c r="I13" s="15">
        <f t="shared" si="2"/>
        <v>7.0000000000000001E-3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24017</v>
      </c>
      <c r="F14" s="10"/>
      <c r="G14" s="10">
        <f t="shared" si="0"/>
        <v>24017</v>
      </c>
      <c r="H14" s="16">
        <f t="shared" si="1"/>
        <v>47.94</v>
      </c>
      <c r="I14" s="15">
        <f t="shared" si="2"/>
        <v>0.10199999999999999</v>
      </c>
      <c r="J14" s="15">
        <f>ROUND(G14/3249.33-1,2)</f>
        <v>6.39</v>
      </c>
    </row>
    <row r="15" spans="1:10" x14ac:dyDescent="0.25">
      <c r="A15" s="1" t="s">
        <v>16</v>
      </c>
      <c r="B15" s="1" t="s">
        <v>24</v>
      </c>
      <c r="C15" s="10">
        <v>26770</v>
      </c>
      <c r="D15" s="10"/>
      <c r="E15" s="10">
        <v>3977</v>
      </c>
      <c r="F15" s="10">
        <v>100</v>
      </c>
      <c r="G15" s="10">
        <f t="shared" si="0"/>
        <v>30847</v>
      </c>
      <c r="H15" s="16">
        <f t="shared" si="1"/>
        <v>61.57</v>
      </c>
      <c r="I15" s="15">
        <f t="shared" si="2"/>
        <v>0.13100000000000001</v>
      </c>
      <c r="J15" s="15">
        <f>ROUND(G15/29656.22-1,2)</f>
        <v>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901</v>
      </c>
      <c r="F16" s="10"/>
      <c r="G16" s="10">
        <f t="shared" si="0"/>
        <v>901</v>
      </c>
      <c r="H16" s="16">
        <f t="shared" si="1"/>
        <v>1.8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31340</v>
      </c>
      <c r="D17" s="10"/>
      <c r="E17" s="10"/>
      <c r="F17" s="10">
        <v>40</v>
      </c>
      <c r="G17" s="10">
        <f t="shared" si="0"/>
        <v>31380</v>
      </c>
      <c r="H17" s="16">
        <f t="shared" si="1"/>
        <v>62.63</v>
      </c>
      <c r="I17" s="15">
        <f t="shared" si="2"/>
        <v>0.13300000000000001</v>
      </c>
      <c r="J17" s="15">
        <f>ROUND(G17/28750-1,2)</f>
        <v>0.09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247</v>
      </c>
      <c r="F18" s="10"/>
      <c r="G18" s="10">
        <f t="shared" si="0"/>
        <v>247</v>
      </c>
      <c r="H18" s="16">
        <f t="shared" si="1"/>
        <v>0.49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132</v>
      </c>
      <c r="F19" s="10"/>
      <c r="G19" s="10">
        <f t="shared" si="0"/>
        <v>132</v>
      </c>
      <c r="H19" s="16">
        <f t="shared" si="1"/>
        <v>0.26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518</v>
      </c>
      <c r="F20" s="10"/>
      <c r="G20" s="10">
        <f t="shared" si="0"/>
        <v>518</v>
      </c>
      <c r="H20" s="16">
        <f t="shared" si="1"/>
        <v>1.03</v>
      </c>
      <c r="I20" s="15">
        <f t="shared" si="2"/>
        <v>2E-3</v>
      </c>
      <c r="J20" s="15">
        <f>ROUND(G20/354.44-1,2)</f>
        <v>0.46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228</v>
      </c>
      <c r="F21" s="10"/>
      <c r="G21" s="10">
        <f t="shared" si="0"/>
        <v>228</v>
      </c>
      <c r="H21" s="16">
        <f t="shared" si="1"/>
        <v>0.46</v>
      </c>
      <c r="I21" s="15">
        <f t="shared" si="2"/>
        <v>1E-3</v>
      </c>
      <c r="J21" s="15">
        <f>ROUND(G21/156.01-1,2)</f>
        <v>0.46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548</v>
      </c>
      <c r="F22" s="10"/>
      <c r="G22" s="10">
        <f t="shared" si="0"/>
        <v>548</v>
      </c>
      <c r="H22" s="16">
        <f t="shared" si="1"/>
        <v>1.0900000000000001</v>
      </c>
      <c r="I22" s="15">
        <f t="shared" si="2"/>
        <v>2E-3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62</v>
      </c>
      <c r="F23" s="10"/>
      <c r="G23" s="10">
        <f t="shared" si="0"/>
        <v>62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73</v>
      </c>
      <c r="F24" s="10"/>
      <c r="G24" s="10">
        <f t="shared" si="0"/>
        <v>73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794</v>
      </c>
      <c r="F25" s="10"/>
      <c r="G25" s="10">
        <f t="shared" si="0"/>
        <v>794</v>
      </c>
      <c r="H25" s="16">
        <f t="shared" si="1"/>
        <v>1.58</v>
      </c>
      <c r="I25" s="15">
        <f t="shared" si="2"/>
        <v>3.0000000000000001E-3</v>
      </c>
      <c r="J25" s="15">
        <f>ROUND(G25/233.19-1,2)</f>
        <v>2.4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663</v>
      </c>
      <c r="F26" s="10"/>
      <c r="G26" s="10">
        <f t="shared" si="0"/>
        <v>663</v>
      </c>
      <c r="H26" s="16">
        <f t="shared" si="1"/>
        <v>1.32</v>
      </c>
      <c r="I26" s="15">
        <f t="shared" si="2"/>
        <v>3.0000000000000001E-3</v>
      </c>
      <c r="J26" s="15"/>
    </row>
    <row r="27" spans="1:10" x14ac:dyDescent="0.25">
      <c r="A27" s="1" t="s">
        <v>16</v>
      </c>
      <c r="B27" s="1" t="s">
        <v>38</v>
      </c>
      <c r="C27" s="10"/>
      <c r="D27" s="10"/>
      <c r="E27" s="10">
        <v>15631</v>
      </c>
      <c r="F27" s="10"/>
      <c r="G27" s="10">
        <f t="shared" si="0"/>
        <v>15631</v>
      </c>
      <c r="H27" s="16">
        <f t="shared" si="1"/>
        <v>31.2</v>
      </c>
      <c r="I27" s="15">
        <f t="shared" si="2"/>
        <v>6.6000000000000003E-2</v>
      </c>
      <c r="J27" s="15">
        <f>ROUND(G27/2184.09-1,2)</f>
        <v>6.16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5713</v>
      </c>
      <c r="F28" s="10"/>
      <c r="G28" s="10">
        <f t="shared" si="0"/>
        <v>5713</v>
      </c>
      <c r="H28" s="16">
        <f t="shared" si="1"/>
        <v>11.4</v>
      </c>
      <c r="I28" s="15">
        <f t="shared" si="2"/>
        <v>2.4E-2</v>
      </c>
      <c r="J28" s="15">
        <f>ROUND(G28/1081.93-1,2)</f>
        <v>4.28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2705</v>
      </c>
      <c r="F29" s="10"/>
      <c r="G29" s="10">
        <f t="shared" si="0"/>
        <v>2705</v>
      </c>
      <c r="H29" s="16">
        <f t="shared" si="1"/>
        <v>5.4</v>
      </c>
      <c r="I29" s="15">
        <f t="shared" si="2"/>
        <v>1.0999999999999999E-2</v>
      </c>
      <c r="J29" s="15">
        <f>ROUND(G29/95.73-1,2)</f>
        <v>27.26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ROUND(G30/393.54-1,2)</f>
        <v>-1</v>
      </c>
    </row>
    <row r="31" spans="1:10" x14ac:dyDescent="0.25">
      <c r="A31" s="1" t="s">
        <v>16</v>
      </c>
      <c r="B31" s="1" t="s">
        <v>172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173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ROUND(G32/217-1,2)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174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31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39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54320</v>
      </c>
      <c r="D39" s="10"/>
      <c r="E39" s="10"/>
      <c r="F39" s="10">
        <v>600</v>
      </c>
      <c r="G39" s="10">
        <f t="shared" si="0"/>
        <v>54920</v>
      </c>
      <c r="H39" s="16">
        <f t="shared" si="1"/>
        <v>109.62</v>
      </c>
      <c r="I39" s="15">
        <f t="shared" si="2"/>
        <v>0.23300000000000001</v>
      </c>
      <c r="J39" s="15">
        <f>ROUND(G39/73500-1,2)</f>
        <v>-0.25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8609</v>
      </c>
      <c r="F40" s="10"/>
      <c r="G40" s="10">
        <f t="shared" si="0"/>
        <v>8609</v>
      </c>
      <c r="H40" s="16">
        <f t="shared" si="1"/>
        <v>17.18</v>
      </c>
      <c r="I40" s="15">
        <f t="shared" si="2"/>
        <v>3.5999999999999997E-2</v>
      </c>
      <c r="J40" s="15">
        <f>ROUND(G40/1604.15-1,2)</f>
        <v>4.37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ROUND(G42/11-1,2)</f>
        <v>-1</v>
      </c>
    </row>
    <row r="43" spans="1:10" x14ac:dyDescent="0.25">
      <c r="A43" s="25" t="s">
        <v>12</v>
      </c>
      <c r="B43" s="25"/>
      <c r="C43" s="11">
        <f t="shared" ref="C43:H43" si="3">SUM(C8:C42)</f>
        <v>167270</v>
      </c>
      <c r="D43" s="11">
        <f t="shared" si="3"/>
        <v>0</v>
      </c>
      <c r="E43" s="11">
        <f t="shared" si="3"/>
        <v>66507</v>
      </c>
      <c r="F43" s="11">
        <f t="shared" si="3"/>
        <v>2220</v>
      </c>
      <c r="G43" s="11">
        <f t="shared" si="3"/>
        <v>235997</v>
      </c>
      <c r="H43" s="14">
        <f t="shared" si="3"/>
        <v>471.03999999999985</v>
      </c>
      <c r="I43" s="17"/>
      <c r="J43" s="17"/>
    </row>
    <row r="44" spans="1:10" x14ac:dyDescent="0.25">
      <c r="A44" s="25" t="s">
        <v>14</v>
      </c>
      <c r="B44" s="25"/>
      <c r="C44" s="12">
        <f>ROUND(C43/G43,2)</f>
        <v>0.71</v>
      </c>
      <c r="D44" s="12">
        <f>ROUND(D43/G43,2)</f>
        <v>0</v>
      </c>
      <c r="E44" s="12">
        <f>ROUND(E43/G43,2)</f>
        <v>0.28000000000000003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5" t="s">
        <v>53</v>
      </c>
      <c r="B49" s="25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0" t="s">
        <v>54</v>
      </c>
      <c r="B50" s="20"/>
      <c r="C50" s="10">
        <v>112950</v>
      </c>
      <c r="D50" s="10">
        <v>0</v>
      </c>
      <c r="E50" s="10">
        <v>57898</v>
      </c>
      <c r="F50" s="10">
        <v>1620</v>
      </c>
      <c r="G50" s="10">
        <f>SUM(C50:F50)</f>
        <v>172468</v>
      </c>
      <c r="H50" s="16">
        <f>ROUND(G50/501,2)</f>
        <v>344.25</v>
      </c>
      <c r="I50" s="9"/>
      <c r="J50" s="9"/>
    </row>
    <row r="51" spans="1:10" x14ac:dyDescent="0.25">
      <c r="A51" s="20" t="s">
        <v>55</v>
      </c>
      <c r="B51" s="20"/>
      <c r="C51" s="10">
        <v>54320</v>
      </c>
      <c r="D51" s="10">
        <v>0</v>
      </c>
      <c r="E51" s="10">
        <v>8609</v>
      </c>
      <c r="F51" s="10">
        <v>600</v>
      </c>
      <c r="G51" s="10">
        <f>SUM(C51:F51)</f>
        <v>63529</v>
      </c>
      <c r="H51" s="16">
        <f>ROUND(G51/501,2)</f>
        <v>126.8</v>
      </c>
      <c r="I51" s="9"/>
      <c r="J51" s="9"/>
    </row>
    <row r="52" spans="1:10" x14ac:dyDescent="0.25">
      <c r="A52" s="20" t="s">
        <v>56</v>
      </c>
      <c r="B52" s="20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ROUND(G52/501,2)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57</v>
      </c>
      <c r="B57" s="25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0" t="s">
        <v>58</v>
      </c>
      <c r="B58" s="20"/>
      <c r="C58" s="15">
        <f>ROUND(0.738, 4)</f>
        <v>0.73799999999999999</v>
      </c>
      <c r="D58" s="15">
        <f>ROUND(0.6214, 4)</f>
        <v>0.62139999999999995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3" t="s">
        <v>64</v>
      </c>
      <c r="J58" s="23" t="s">
        <v>65</v>
      </c>
    </row>
    <row r="59" spans="1:10" x14ac:dyDescent="0.25">
      <c r="A59" s="20" t="s">
        <v>66</v>
      </c>
      <c r="B59" s="20"/>
      <c r="C59" s="15">
        <f>ROUND(0.6981, 4)</f>
        <v>0.69810000000000005</v>
      </c>
      <c r="D59" s="15">
        <f>ROUND(0.5774, 4)</f>
        <v>0.57740000000000002</v>
      </c>
      <c r="E59" s="15">
        <f>ROUND(0.7608, 4)</f>
        <v>0.76080000000000003</v>
      </c>
      <c r="F59" s="8"/>
      <c r="G59" s="14" t="s">
        <v>67</v>
      </c>
      <c r="H59" s="27"/>
      <c r="I59" s="24"/>
      <c r="J59" s="24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5" t="s">
        <v>68</v>
      </c>
      <c r="B63" s="25"/>
      <c r="C63" s="14" t="s">
        <v>2</v>
      </c>
      <c r="D63" s="14" t="s">
        <v>175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0" t="s">
        <v>73</v>
      </c>
      <c r="B64" s="20"/>
      <c r="C64" s="16">
        <v>109.62</v>
      </c>
      <c r="D64" s="16">
        <v>133.94</v>
      </c>
      <c r="E64" s="16">
        <v>91.13</v>
      </c>
      <c r="F64" s="16">
        <v>54.95</v>
      </c>
      <c r="G64" s="16">
        <f>12/10*C64</f>
        <v>131.54400000000001</v>
      </c>
      <c r="H64" s="8"/>
      <c r="I64" s="9"/>
      <c r="J64" s="9"/>
    </row>
    <row r="65" spans="1:10" x14ac:dyDescent="0.25">
      <c r="A65" s="20" t="s">
        <v>74</v>
      </c>
      <c r="B65" s="20"/>
      <c r="C65" s="16">
        <v>62.63</v>
      </c>
      <c r="D65" s="16">
        <v>68.41</v>
      </c>
      <c r="E65" s="16">
        <v>61.18</v>
      </c>
      <c r="F65" s="16">
        <v>62.89</v>
      </c>
      <c r="G65" s="16">
        <f>12/10*C65</f>
        <v>75.156000000000006</v>
      </c>
      <c r="H65" s="8"/>
      <c r="I65" s="9"/>
      <c r="J65" s="9"/>
    </row>
    <row r="66" spans="1:10" x14ac:dyDescent="0.25">
      <c r="A66" s="20" t="s">
        <v>75</v>
      </c>
      <c r="B66" s="20"/>
      <c r="C66" s="16">
        <v>344.25</v>
      </c>
      <c r="D66" s="16">
        <v>288.99</v>
      </c>
      <c r="E66" s="16">
        <v>287.25</v>
      </c>
      <c r="F66" s="16">
        <v>278.91000000000003</v>
      </c>
      <c r="G66" s="16">
        <f>12/10*C66</f>
        <v>413.09999999999997</v>
      </c>
      <c r="H66" s="8"/>
      <c r="I66" s="9"/>
      <c r="J66" s="9"/>
    </row>
    <row r="67" spans="1:10" x14ac:dyDescent="0.25">
      <c r="A67" s="20" t="s">
        <v>76</v>
      </c>
      <c r="B67" s="20"/>
      <c r="C67" s="16">
        <v>126.8</v>
      </c>
      <c r="D67" s="16">
        <v>141.19</v>
      </c>
      <c r="E67" s="16">
        <v>114.69</v>
      </c>
      <c r="F67" s="16">
        <v>78.319999999999993</v>
      </c>
      <c r="G67" s="16">
        <f>12/10*C67</f>
        <v>152.16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2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176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8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177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914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34</v>
      </c>
      <c r="F9" s="10"/>
      <c r="G9" s="10">
        <f t="shared" ref="G9:G38" si="0">SUM(C9:F9)</f>
        <v>34</v>
      </c>
      <c r="H9" s="16">
        <f t="shared" ref="H9:H38" si="1">ROUND(G9/914,2)</f>
        <v>0.04</v>
      </c>
      <c r="I9" s="15">
        <f t="shared" ref="I9:I38" si="2">ROUND(G9/$G$39,3)</f>
        <v>0</v>
      </c>
      <c r="J9" s="15">
        <f>ROUND(G9/30-1,2)</f>
        <v>0.13</v>
      </c>
    </row>
    <row r="10" spans="1:10" x14ac:dyDescent="0.25">
      <c r="A10" s="1" t="s">
        <v>16</v>
      </c>
      <c r="B10" s="1" t="s">
        <v>19</v>
      </c>
      <c r="C10" s="10">
        <v>44670</v>
      </c>
      <c r="D10" s="10"/>
      <c r="E10" s="10">
        <v>3735</v>
      </c>
      <c r="F10" s="10"/>
      <c r="G10" s="10">
        <f t="shared" si="0"/>
        <v>48405</v>
      </c>
      <c r="H10" s="16">
        <f t="shared" si="1"/>
        <v>52.96</v>
      </c>
      <c r="I10" s="15">
        <f t="shared" si="2"/>
        <v>9.1999999999999998E-2</v>
      </c>
      <c r="J10" s="15">
        <f>ROUND(G10/47651.55-1,2)</f>
        <v>0.02</v>
      </c>
    </row>
    <row r="11" spans="1:10" x14ac:dyDescent="0.25">
      <c r="A11" s="1" t="s">
        <v>16</v>
      </c>
      <c r="B11" s="1" t="s">
        <v>20</v>
      </c>
      <c r="C11" s="10">
        <v>65420</v>
      </c>
      <c r="D11" s="10"/>
      <c r="E11" s="10"/>
      <c r="F11" s="10"/>
      <c r="G11" s="10">
        <f t="shared" si="0"/>
        <v>65420</v>
      </c>
      <c r="H11" s="16">
        <f t="shared" si="1"/>
        <v>71.58</v>
      </c>
      <c r="I11" s="15">
        <f t="shared" si="2"/>
        <v>0.124</v>
      </c>
      <c r="J11" s="15">
        <f>ROUND(G11/71511.32-1,2)</f>
        <v>-0.09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1013</v>
      </c>
      <c r="F12" s="10"/>
      <c r="G12" s="10">
        <f t="shared" si="0"/>
        <v>1013</v>
      </c>
      <c r="H12" s="16">
        <f t="shared" si="1"/>
        <v>1.1100000000000001</v>
      </c>
      <c r="I12" s="15">
        <f t="shared" si="2"/>
        <v>2E-3</v>
      </c>
      <c r="J12" s="15">
        <f>ROUND(G12/2120-1,2)</f>
        <v>-0.52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56912</v>
      </c>
      <c r="F13" s="10"/>
      <c r="G13" s="10">
        <f t="shared" si="0"/>
        <v>56912</v>
      </c>
      <c r="H13" s="16">
        <f t="shared" si="1"/>
        <v>62.27</v>
      </c>
      <c r="I13" s="15">
        <f t="shared" si="2"/>
        <v>0.108</v>
      </c>
      <c r="J13" s="15">
        <f>ROUND(G13/93690.73-1,2)</f>
        <v>-0.39</v>
      </c>
    </row>
    <row r="14" spans="1:10" x14ac:dyDescent="0.25">
      <c r="A14" s="1" t="s">
        <v>16</v>
      </c>
      <c r="B14" s="1" t="s">
        <v>24</v>
      </c>
      <c r="C14" s="10">
        <v>49230</v>
      </c>
      <c r="D14" s="10"/>
      <c r="E14" s="10">
        <v>11699</v>
      </c>
      <c r="F14" s="10"/>
      <c r="G14" s="10">
        <f t="shared" si="0"/>
        <v>60929</v>
      </c>
      <c r="H14" s="16">
        <f t="shared" si="1"/>
        <v>66.66</v>
      </c>
      <c r="I14" s="15">
        <f t="shared" si="2"/>
        <v>0.11600000000000001</v>
      </c>
      <c r="J14" s="15">
        <f>ROUND(G14/62802.43-1,2)</f>
        <v>-0.03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2652</v>
      </c>
      <c r="F15" s="10"/>
      <c r="G15" s="10">
        <f t="shared" si="0"/>
        <v>2652</v>
      </c>
      <c r="H15" s="16">
        <f t="shared" si="1"/>
        <v>2.9</v>
      </c>
      <c r="I15" s="15">
        <f t="shared" si="2"/>
        <v>5.0000000000000001E-3</v>
      </c>
      <c r="J15" s="15">
        <f>ROUND(G15/2730-1,2)</f>
        <v>-0.03</v>
      </c>
    </row>
    <row r="16" spans="1:10" x14ac:dyDescent="0.25">
      <c r="A16" s="1" t="s">
        <v>16</v>
      </c>
      <c r="B16" s="1" t="s">
        <v>26</v>
      </c>
      <c r="C16" s="10">
        <v>66530</v>
      </c>
      <c r="D16" s="10"/>
      <c r="E16" s="10"/>
      <c r="F16" s="10"/>
      <c r="G16" s="10">
        <f t="shared" si="0"/>
        <v>66530</v>
      </c>
      <c r="H16" s="16">
        <f t="shared" si="1"/>
        <v>72.790000000000006</v>
      </c>
      <c r="I16" s="15">
        <f t="shared" si="2"/>
        <v>0.126</v>
      </c>
      <c r="J16" s="15">
        <f>ROUND(G16/57700-1,2)</f>
        <v>0.15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703</v>
      </c>
      <c r="F17" s="10"/>
      <c r="G17" s="10">
        <f t="shared" si="0"/>
        <v>703</v>
      </c>
      <c r="H17" s="16">
        <f t="shared" si="1"/>
        <v>0.77</v>
      </c>
      <c r="I17" s="15">
        <f t="shared" si="2"/>
        <v>1E-3</v>
      </c>
      <c r="J17" s="15">
        <f>ROUND(G17/547-1,2)</f>
        <v>0.28999999999999998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245</v>
      </c>
      <c r="F18" s="10"/>
      <c r="G18" s="10">
        <f t="shared" si="0"/>
        <v>245</v>
      </c>
      <c r="H18" s="16">
        <f t="shared" si="1"/>
        <v>0.27</v>
      </c>
      <c r="I18" s="15">
        <f t="shared" si="2"/>
        <v>0</v>
      </c>
      <c r="J18" s="15">
        <f>ROUND(G18/432-1,2)</f>
        <v>-0.43</v>
      </c>
    </row>
    <row r="19" spans="1:10" x14ac:dyDescent="0.25">
      <c r="A19" s="1" t="s">
        <v>16</v>
      </c>
      <c r="B19" s="1" t="s">
        <v>42</v>
      </c>
      <c r="C19" s="10"/>
      <c r="D19" s="10"/>
      <c r="E19" s="10">
        <v>85</v>
      </c>
      <c r="F19" s="10"/>
      <c r="G19" s="10">
        <f t="shared" si="0"/>
        <v>85</v>
      </c>
      <c r="H19" s="16">
        <f t="shared" si="1"/>
        <v>0.09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1304</v>
      </c>
      <c r="F20" s="10"/>
      <c r="G20" s="10">
        <f t="shared" si="0"/>
        <v>1304</v>
      </c>
      <c r="H20" s="16">
        <f t="shared" si="1"/>
        <v>1.43</v>
      </c>
      <c r="I20" s="15">
        <f t="shared" si="2"/>
        <v>2E-3</v>
      </c>
      <c r="J20" s="15">
        <f>ROUND(G20/4070-1,2)</f>
        <v>-0.68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361</v>
      </c>
      <c r="F21" s="10"/>
      <c r="G21" s="10">
        <f t="shared" si="0"/>
        <v>361</v>
      </c>
      <c r="H21" s="16">
        <f t="shared" si="1"/>
        <v>0.39</v>
      </c>
      <c r="I21" s="15">
        <f t="shared" si="2"/>
        <v>1E-3</v>
      </c>
      <c r="J21" s="15">
        <f>ROUND(G21/380-1,2)</f>
        <v>-0.05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494</v>
      </c>
      <c r="F22" s="10"/>
      <c r="G22" s="10">
        <f t="shared" si="0"/>
        <v>494</v>
      </c>
      <c r="H22" s="16">
        <f t="shared" si="1"/>
        <v>0.54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78</v>
      </c>
      <c r="F23" s="10"/>
      <c r="G23" s="10">
        <f t="shared" si="0"/>
        <v>78</v>
      </c>
      <c r="H23" s="16">
        <f t="shared" si="1"/>
        <v>0.09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3158</v>
      </c>
      <c r="F24" s="10"/>
      <c r="G24" s="10">
        <f t="shared" si="0"/>
        <v>3158</v>
      </c>
      <c r="H24" s="16">
        <f t="shared" si="1"/>
        <v>3.46</v>
      </c>
      <c r="I24" s="15">
        <f t="shared" si="2"/>
        <v>6.0000000000000001E-3</v>
      </c>
      <c r="J24" s="15">
        <f>ROUND(G24/4250-1,2)</f>
        <v>-0.26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26572</v>
      </c>
      <c r="F25" s="10"/>
      <c r="G25" s="10">
        <f t="shared" si="0"/>
        <v>26572</v>
      </c>
      <c r="H25" s="16">
        <f t="shared" si="1"/>
        <v>29.07</v>
      </c>
      <c r="I25" s="15">
        <f t="shared" si="2"/>
        <v>0.05</v>
      </c>
      <c r="J25" s="15">
        <f>ROUND(G25/48935.84-1,2)</f>
        <v>-0.46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10058</v>
      </c>
      <c r="F26" s="10"/>
      <c r="G26" s="10">
        <f t="shared" si="0"/>
        <v>10058</v>
      </c>
      <c r="H26" s="16">
        <f t="shared" si="1"/>
        <v>11</v>
      </c>
      <c r="I26" s="15">
        <f t="shared" si="2"/>
        <v>1.9E-2</v>
      </c>
      <c r="J26" s="15">
        <f>ROUND(G26/17099.54-1,2)</f>
        <v>-0.41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6978</v>
      </c>
      <c r="F27" s="10"/>
      <c r="G27" s="10">
        <f t="shared" si="0"/>
        <v>6978</v>
      </c>
      <c r="H27" s="16">
        <f t="shared" si="1"/>
        <v>7.63</v>
      </c>
      <c r="I27" s="15">
        <f t="shared" si="2"/>
        <v>1.2999999999999999E-2</v>
      </c>
      <c r="J27" s="15">
        <f>ROUND(G27/9158.91-1,2)</f>
        <v>-0.24</v>
      </c>
    </row>
    <row r="28" spans="1:10" x14ac:dyDescent="0.25">
      <c r="A28" s="1" t="s">
        <v>16</v>
      </c>
      <c r="B28" s="1" t="s">
        <v>34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ROUND(G28/921-1,2)</f>
        <v>-1</v>
      </c>
    </row>
    <row r="29" spans="1:10" x14ac:dyDescent="0.25">
      <c r="A29" s="1" t="s">
        <v>16</v>
      </c>
      <c r="B29" s="1" t="s">
        <v>43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ROUND(G29/9810-1,2)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ROUND(G30/2298.89-1,2)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21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146460</v>
      </c>
      <c r="D35" s="10"/>
      <c r="E35" s="10"/>
      <c r="F35" s="10"/>
      <c r="G35" s="10">
        <f t="shared" si="0"/>
        <v>146460</v>
      </c>
      <c r="H35" s="16">
        <f t="shared" si="1"/>
        <v>160.24</v>
      </c>
      <c r="I35" s="15">
        <f t="shared" si="2"/>
        <v>0.27800000000000002</v>
      </c>
      <c r="J35" s="15">
        <f>ROUND(G35/161120-1,2)</f>
        <v>-0.09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28648</v>
      </c>
      <c r="F36" s="10"/>
      <c r="G36" s="10">
        <f t="shared" si="0"/>
        <v>28648</v>
      </c>
      <c r="H36" s="16">
        <f t="shared" si="1"/>
        <v>31.34</v>
      </c>
      <c r="I36" s="15">
        <f t="shared" si="2"/>
        <v>5.3999999999999999E-2</v>
      </c>
      <c r="J36" s="15">
        <f>ROUND(G36/40112.48-1,2)</f>
        <v>-0.28999999999999998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5" t="s">
        <v>12</v>
      </c>
      <c r="B39" s="25"/>
      <c r="C39" s="11">
        <f t="shared" ref="C39:H39" si="3">SUM(C8:C38)</f>
        <v>372310</v>
      </c>
      <c r="D39" s="11">
        <f t="shared" si="3"/>
        <v>0</v>
      </c>
      <c r="E39" s="11">
        <f t="shared" si="3"/>
        <v>154729</v>
      </c>
      <c r="F39" s="11">
        <f t="shared" si="3"/>
        <v>0</v>
      </c>
      <c r="G39" s="11">
        <f t="shared" si="3"/>
        <v>527039</v>
      </c>
      <c r="H39" s="14">
        <f t="shared" si="3"/>
        <v>576.63</v>
      </c>
      <c r="I39" s="17"/>
      <c r="J39" s="17"/>
    </row>
    <row r="40" spans="1:10" x14ac:dyDescent="0.25">
      <c r="A40" s="25" t="s">
        <v>14</v>
      </c>
      <c r="B40" s="25"/>
      <c r="C40" s="12">
        <f>ROUND(C39/G39,2)</f>
        <v>0.71</v>
      </c>
      <c r="D40" s="12">
        <f>ROUND(D39/G39,2)</f>
        <v>0</v>
      </c>
      <c r="E40" s="12">
        <f>ROUND(E39/G39,2)</f>
        <v>0.28999999999999998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5" t="s">
        <v>53</v>
      </c>
      <c r="B45" s="25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0" t="s">
        <v>54</v>
      </c>
      <c r="B46" s="20"/>
      <c r="C46" s="10">
        <v>225850</v>
      </c>
      <c r="D46" s="10">
        <v>0</v>
      </c>
      <c r="E46" s="10">
        <v>126081</v>
      </c>
      <c r="F46" s="10">
        <v>0</v>
      </c>
      <c r="G46" s="10">
        <f>SUM(C46:F46)</f>
        <v>351931</v>
      </c>
      <c r="H46" s="16">
        <f>ROUND(G46/914,2)</f>
        <v>385.04</v>
      </c>
      <c r="I46" s="9"/>
      <c r="J46" s="9"/>
    </row>
    <row r="47" spans="1:10" x14ac:dyDescent="0.25">
      <c r="A47" s="20" t="s">
        <v>55</v>
      </c>
      <c r="B47" s="20"/>
      <c r="C47" s="10">
        <v>146460</v>
      </c>
      <c r="D47" s="10">
        <v>0</v>
      </c>
      <c r="E47" s="10">
        <v>28648</v>
      </c>
      <c r="F47" s="10">
        <v>0</v>
      </c>
      <c r="G47" s="10">
        <f>SUM(C47:F47)</f>
        <v>175108</v>
      </c>
      <c r="H47" s="16">
        <f>ROUND(G47/914,2)</f>
        <v>191.58</v>
      </c>
      <c r="I47" s="9"/>
      <c r="J47" s="9"/>
    </row>
    <row r="48" spans="1:10" x14ac:dyDescent="0.25">
      <c r="A48" s="20" t="s">
        <v>56</v>
      </c>
      <c r="B48" s="20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ROUND(G48/914,2)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57</v>
      </c>
      <c r="B53" s="25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0" t="s">
        <v>58</v>
      </c>
      <c r="B54" s="20"/>
      <c r="C54" s="15">
        <f>ROUND(0.6817, 4)</f>
        <v>0.68169999999999997</v>
      </c>
      <c r="D54" s="15">
        <f>ROUND(0.6978, 4)</f>
        <v>0.69779999999999998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3" t="s">
        <v>64</v>
      </c>
      <c r="J54" s="23" t="s">
        <v>65</v>
      </c>
    </row>
    <row r="55" spans="1:10" x14ac:dyDescent="0.25">
      <c r="A55" s="20" t="s">
        <v>66</v>
      </c>
      <c r="B55" s="20"/>
      <c r="C55" s="15">
        <f>ROUND(0.6433, 4)</f>
        <v>0.64329999999999998</v>
      </c>
      <c r="D55" s="15">
        <f>ROUND(0.6651, 4)</f>
        <v>0.66510000000000002</v>
      </c>
      <c r="E55" s="15">
        <f>ROUND(0.7608, 4)</f>
        <v>0.76080000000000003</v>
      </c>
      <c r="F55" s="8"/>
      <c r="G55" s="14" t="s">
        <v>67</v>
      </c>
      <c r="H55" s="27"/>
      <c r="I55" s="24"/>
      <c r="J55" s="24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68</v>
      </c>
      <c r="B59" s="25"/>
      <c r="C59" s="14" t="s">
        <v>2</v>
      </c>
      <c r="D59" s="14" t="s">
        <v>178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0" t="s">
        <v>73</v>
      </c>
      <c r="B60" s="20"/>
      <c r="C60" s="16">
        <v>160.24</v>
      </c>
      <c r="D60" s="16">
        <v>160.57</v>
      </c>
      <c r="E60" s="16">
        <v>91.13</v>
      </c>
      <c r="F60" s="16">
        <v>54.95</v>
      </c>
      <c r="G60" s="16">
        <f>12/10*C60</f>
        <v>192.28800000000001</v>
      </c>
      <c r="H60" s="8"/>
      <c r="I60" s="9"/>
      <c r="J60" s="9"/>
    </row>
    <row r="61" spans="1:10" x14ac:dyDescent="0.25">
      <c r="A61" s="20" t="s">
        <v>74</v>
      </c>
      <c r="B61" s="20"/>
      <c r="C61" s="16">
        <v>72.790000000000006</v>
      </c>
      <c r="D61" s="16">
        <v>80.8</v>
      </c>
      <c r="E61" s="16">
        <v>61.18</v>
      </c>
      <c r="F61" s="16">
        <v>62.89</v>
      </c>
      <c r="G61" s="16">
        <f>12/10*C61</f>
        <v>87.347999999999999</v>
      </c>
      <c r="H61" s="8"/>
      <c r="I61" s="9"/>
      <c r="J61" s="9"/>
    </row>
    <row r="62" spans="1:10" x14ac:dyDescent="0.25">
      <c r="A62" s="20" t="s">
        <v>75</v>
      </c>
      <c r="B62" s="20"/>
      <c r="C62" s="16">
        <v>385.04</v>
      </c>
      <c r="D62" s="16">
        <v>499.53</v>
      </c>
      <c r="E62" s="16">
        <v>287.25</v>
      </c>
      <c r="F62" s="16">
        <v>278.91000000000003</v>
      </c>
      <c r="G62" s="16">
        <f>12/10*C62</f>
        <v>462.048</v>
      </c>
      <c r="H62" s="8"/>
      <c r="I62" s="9"/>
      <c r="J62" s="9"/>
    </row>
    <row r="63" spans="1:10" x14ac:dyDescent="0.25">
      <c r="A63" s="20" t="s">
        <v>76</v>
      </c>
      <c r="B63" s="20"/>
      <c r="C63" s="16">
        <v>191.58</v>
      </c>
      <c r="D63" s="16">
        <v>221.88</v>
      </c>
      <c r="E63" s="16">
        <v>114.69</v>
      </c>
      <c r="F63" s="16">
        <v>78.319999999999993</v>
      </c>
      <c r="G63" s="16">
        <f>12/10*C63</f>
        <v>229.89600000000002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2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</row>
    <row r="70" spans="1:10" x14ac:dyDescent="0.25">
      <c r="A70" s="3" t="s">
        <v>72</v>
      </c>
      <c r="B70" s="1" t="s">
        <v>81</v>
      </c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8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530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6" si="0">SUM(C9:F9)</f>
        <v>19</v>
      </c>
      <c r="H9" s="16">
        <f t="shared" ref="H9:H36" si="1">ROUND(G9/530,2)</f>
        <v>0.04</v>
      </c>
      <c r="I9" s="15">
        <f t="shared" ref="I9:I36" si="2">ROUND(G9/$G$37,3)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15950</v>
      </c>
      <c r="D10" s="10"/>
      <c r="E10" s="10">
        <v>2165</v>
      </c>
      <c r="F10" s="10"/>
      <c r="G10" s="10">
        <f t="shared" si="0"/>
        <v>18115</v>
      </c>
      <c r="H10" s="16">
        <f t="shared" si="1"/>
        <v>34.18</v>
      </c>
      <c r="I10" s="15">
        <f t="shared" si="2"/>
        <v>7.3999999999999996E-2</v>
      </c>
      <c r="J10" s="15">
        <f>ROUND(G10/19538.45-1,2)</f>
        <v>-7.0000000000000007E-2</v>
      </c>
    </row>
    <row r="11" spans="1:10" x14ac:dyDescent="0.25">
      <c r="A11" s="1" t="s">
        <v>16</v>
      </c>
      <c r="B11" s="1" t="s">
        <v>20</v>
      </c>
      <c r="C11" s="10">
        <v>20330</v>
      </c>
      <c r="D11" s="10"/>
      <c r="E11" s="10"/>
      <c r="F11" s="10"/>
      <c r="G11" s="10">
        <f t="shared" si="0"/>
        <v>20330</v>
      </c>
      <c r="H11" s="16">
        <f t="shared" si="1"/>
        <v>38.36</v>
      </c>
      <c r="I11" s="15">
        <f t="shared" si="2"/>
        <v>8.3000000000000004E-2</v>
      </c>
      <c r="J11" s="15">
        <f>ROUND(G11/19633.68-1,2)</f>
        <v>0.04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587</v>
      </c>
      <c r="F12" s="10"/>
      <c r="G12" s="10">
        <f t="shared" si="0"/>
        <v>587</v>
      </c>
      <c r="H12" s="16">
        <f t="shared" si="1"/>
        <v>1.1100000000000001</v>
      </c>
      <c r="I12" s="15">
        <f t="shared" si="2"/>
        <v>2E-3</v>
      </c>
      <c r="J12" s="15"/>
    </row>
    <row r="13" spans="1:10" x14ac:dyDescent="0.25">
      <c r="A13" s="1" t="s">
        <v>16</v>
      </c>
      <c r="B13" s="1" t="s">
        <v>23</v>
      </c>
      <c r="C13" s="10"/>
      <c r="D13" s="10"/>
      <c r="E13" s="10">
        <v>32998</v>
      </c>
      <c r="F13" s="10"/>
      <c r="G13" s="10">
        <f t="shared" si="0"/>
        <v>32998</v>
      </c>
      <c r="H13" s="16">
        <f t="shared" si="1"/>
        <v>62.26</v>
      </c>
      <c r="I13" s="15">
        <f t="shared" si="2"/>
        <v>0.13500000000000001</v>
      </c>
      <c r="J13" s="15">
        <f>ROUND(G13/6869.27-1,2)</f>
        <v>3.8</v>
      </c>
    </row>
    <row r="14" spans="1:10" x14ac:dyDescent="0.25">
      <c r="A14" s="1" t="s">
        <v>16</v>
      </c>
      <c r="B14" s="1" t="s">
        <v>24</v>
      </c>
      <c r="C14" s="10">
        <v>24230</v>
      </c>
      <c r="D14" s="10"/>
      <c r="E14" s="10">
        <v>6781</v>
      </c>
      <c r="F14" s="10"/>
      <c r="G14" s="10">
        <f t="shared" si="0"/>
        <v>31011</v>
      </c>
      <c r="H14" s="16">
        <f t="shared" si="1"/>
        <v>58.51</v>
      </c>
      <c r="I14" s="15">
        <f t="shared" si="2"/>
        <v>0.127</v>
      </c>
      <c r="J14" s="15">
        <f>ROUND(G14/24477.57-1,2)</f>
        <v>0.27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1538</v>
      </c>
      <c r="F15" s="10"/>
      <c r="G15" s="10">
        <f t="shared" si="0"/>
        <v>1538</v>
      </c>
      <c r="H15" s="16">
        <f t="shared" si="1"/>
        <v>2.9</v>
      </c>
      <c r="I15" s="15">
        <f t="shared" si="2"/>
        <v>6.0000000000000001E-3</v>
      </c>
      <c r="J15" s="15"/>
    </row>
    <row r="16" spans="1:10" x14ac:dyDescent="0.25">
      <c r="A16" s="1" t="s">
        <v>16</v>
      </c>
      <c r="B16" s="1" t="s">
        <v>26</v>
      </c>
      <c r="C16" s="10">
        <v>23410</v>
      </c>
      <c r="D16" s="10"/>
      <c r="E16" s="10"/>
      <c r="F16" s="10"/>
      <c r="G16" s="10">
        <f t="shared" si="0"/>
        <v>23410</v>
      </c>
      <c r="H16" s="16">
        <f t="shared" si="1"/>
        <v>44.17</v>
      </c>
      <c r="I16" s="15">
        <f t="shared" si="2"/>
        <v>9.6000000000000002E-2</v>
      </c>
      <c r="J16" s="15">
        <f>ROUND(G16/20670-1,2)</f>
        <v>0.13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407</v>
      </c>
      <c r="F17" s="10"/>
      <c r="G17" s="10">
        <f t="shared" si="0"/>
        <v>407</v>
      </c>
      <c r="H17" s="16">
        <f t="shared" si="1"/>
        <v>0.77</v>
      </c>
      <c r="I17" s="15">
        <f t="shared" si="2"/>
        <v>2E-3</v>
      </c>
      <c r="J17" s="15"/>
    </row>
    <row r="18" spans="1:10" x14ac:dyDescent="0.25">
      <c r="A18" s="1" t="s">
        <v>16</v>
      </c>
      <c r="B18" s="1" t="s">
        <v>28</v>
      </c>
      <c r="C18" s="10"/>
      <c r="D18" s="10"/>
      <c r="E18" s="10">
        <v>141</v>
      </c>
      <c r="F18" s="10"/>
      <c r="G18" s="10">
        <f t="shared" si="0"/>
        <v>141</v>
      </c>
      <c r="H18" s="16">
        <f t="shared" si="1"/>
        <v>0.27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42</v>
      </c>
      <c r="C19" s="10"/>
      <c r="D19" s="10"/>
      <c r="E19" s="10">
        <v>50</v>
      </c>
      <c r="F19" s="10"/>
      <c r="G19" s="10">
        <f t="shared" si="0"/>
        <v>50</v>
      </c>
      <c r="H19" s="16">
        <f t="shared" si="1"/>
        <v>0.09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755</v>
      </c>
      <c r="F20" s="10"/>
      <c r="G20" s="10">
        <f t="shared" si="0"/>
        <v>755</v>
      </c>
      <c r="H20" s="16">
        <f t="shared" si="1"/>
        <v>1.42</v>
      </c>
      <c r="I20" s="15">
        <f t="shared" si="2"/>
        <v>3.0000000000000001E-3</v>
      </c>
      <c r="J20" s="15"/>
    </row>
    <row r="21" spans="1:10" x14ac:dyDescent="0.25">
      <c r="A21" s="1" t="s">
        <v>16</v>
      </c>
      <c r="B21" s="1" t="s">
        <v>30</v>
      </c>
      <c r="C21" s="10"/>
      <c r="D21" s="10"/>
      <c r="E21" s="10">
        <v>209</v>
      </c>
      <c r="F21" s="10"/>
      <c r="G21" s="10">
        <f t="shared" si="0"/>
        <v>209</v>
      </c>
      <c r="H21" s="16">
        <f t="shared" si="1"/>
        <v>0.39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32</v>
      </c>
      <c r="C22" s="10"/>
      <c r="D22" s="10"/>
      <c r="E22" s="10">
        <v>286</v>
      </c>
      <c r="F22" s="10"/>
      <c r="G22" s="10">
        <f t="shared" si="0"/>
        <v>286</v>
      </c>
      <c r="H22" s="16">
        <f t="shared" si="1"/>
        <v>0.54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46</v>
      </c>
      <c r="F23" s="10"/>
      <c r="G23" s="10">
        <f t="shared" si="0"/>
        <v>46</v>
      </c>
      <c r="H23" s="16">
        <f t="shared" si="1"/>
        <v>0.09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1832</v>
      </c>
      <c r="F24" s="10"/>
      <c r="G24" s="10">
        <f t="shared" si="0"/>
        <v>1832</v>
      </c>
      <c r="H24" s="16">
        <f t="shared" si="1"/>
        <v>3.46</v>
      </c>
      <c r="I24" s="15">
        <f t="shared" si="2"/>
        <v>7.0000000000000001E-3</v>
      </c>
      <c r="J24" s="15"/>
    </row>
    <row r="25" spans="1:10" x14ac:dyDescent="0.25">
      <c r="A25" s="1" t="s">
        <v>16</v>
      </c>
      <c r="B25" s="1" t="s">
        <v>38</v>
      </c>
      <c r="C25" s="10"/>
      <c r="D25" s="10"/>
      <c r="E25" s="10">
        <v>15408</v>
      </c>
      <c r="F25" s="10"/>
      <c r="G25" s="10">
        <f t="shared" si="0"/>
        <v>15408</v>
      </c>
      <c r="H25" s="16">
        <f t="shared" si="1"/>
        <v>29.07</v>
      </c>
      <c r="I25" s="15">
        <f t="shared" si="2"/>
        <v>6.3E-2</v>
      </c>
      <c r="J25" s="15">
        <f>ROUND(G25/4149.16-1,2)</f>
        <v>2.71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5832</v>
      </c>
      <c r="F26" s="10"/>
      <c r="G26" s="10">
        <f t="shared" si="0"/>
        <v>5832</v>
      </c>
      <c r="H26" s="16">
        <f t="shared" si="1"/>
        <v>11</v>
      </c>
      <c r="I26" s="15">
        <f t="shared" si="2"/>
        <v>2.4E-2</v>
      </c>
      <c r="J26" s="15">
        <f>ROUND(G26/1500.46-1,2)</f>
        <v>2.89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7976</v>
      </c>
      <c r="F27" s="10"/>
      <c r="G27" s="10">
        <f t="shared" si="0"/>
        <v>7976</v>
      </c>
      <c r="H27" s="16">
        <f t="shared" si="1"/>
        <v>15.05</v>
      </c>
      <c r="I27" s="15">
        <f t="shared" si="2"/>
        <v>3.3000000000000002E-2</v>
      </c>
      <c r="J27" s="15">
        <f>ROUND(G27/1896.09-1,2)</f>
        <v>3.21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ROUND(G28/621.11-1,2)</f>
        <v>-1</v>
      </c>
    </row>
    <row r="29" spans="1:10" x14ac:dyDescent="0.25">
      <c r="A29" s="1" t="s">
        <v>16</v>
      </c>
      <c r="B29" s="1" t="s">
        <v>21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59720</v>
      </c>
      <c r="D33" s="10"/>
      <c r="E33" s="10"/>
      <c r="F33" s="10"/>
      <c r="G33" s="10">
        <f t="shared" si="0"/>
        <v>59720</v>
      </c>
      <c r="H33" s="16">
        <f t="shared" si="1"/>
        <v>112.68</v>
      </c>
      <c r="I33" s="15">
        <f t="shared" si="2"/>
        <v>0.24399999999999999</v>
      </c>
      <c r="J33" s="15">
        <f>ROUND(G33/63020-1,2)</f>
        <v>-0.05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7300</v>
      </c>
      <c r="G34" s="10">
        <f t="shared" si="0"/>
        <v>7300</v>
      </c>
      <c r="H34" s="16">
        <f t="shared" si="1"/>
        <v>13.77</v>
      </c>
      <c r="I34" s="15">
        <f t="shared" si="2"/>
        <v>0.03</v>
      </c>
      <c r="J34" s="15">
        <f>ROUND(G34/6765-1,2)</f>
        <v>0.08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16612</v>
      </c>
      <c r="F35" s="10"/>
      <c r="G35" s="10">
        <f t="shared" si="0"/>
        <v>16612</v>
      </c>
      <c r="H35" s="16">
        <f t="shared" si="1"/>
        <v>31.34</v>
      </c>
      <c r="I35" s="15">
        <f t="shared" si="2"/>
        <v>6.8000000000000005E-2</v>
      </c>
      <c r="J35" s="15">
        <f>ROUND(G35/4137.52-1,2)</f>
        <v>3.01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5" t="s">
        <v>12</v>
      </c>
      <c r="B37" s="25"/>
      <c r="C37" s="11">
        <f t="shared" ref="C37:H37" si="3">SUM(C8:C36)</f>
        <v>143640</v>
      </c>
      <c r="D37" s="11">
        <f t="shared" si="3"/>
        <v>0</v>
      </c>
      <c r="E37" s="11">
        <f t="shared" si="3"/>
        <v>93642</v>
      </c>
      <c r="F37" s="11">
        <f t="shared" si="3"/>
        <v>7300</v>
      </c>
      <c r="G37" s="11">
        <f t="shared" si="3"/>
        <v>244582</v>
      </c>
      <c r="H37" s="14">
        <f t="shared" si="3"/>
        <v>461.46999999999997</v>
      </c>
      <c r="I37" s="17"/>
      <c r="J37" s="17"/>
    </row>
    <row r="38" spans="1:10" x14ac:dyDescent="0.25">
      <c r="A38" s="25" t="s">
        <v>14</v>
      </c>
      <c r="B38" s="25"/>
      <c r="C38" s="12">
        <f>ROUND(C37/G37,2)</f>
        <v>0.59</v>
      </c>
      <c r="D38" s="12">
        <f>ROUND(D37/G37,2)</f>
        <v>0</v>
      </c>
      <c r="E38" s="12">
        <f>ROUND(E37/G37,2)</f>
        <v>0.38</v>
      </c>
      <c r="F38" s="12">
        <f>ROUND(F37/G37,2)</f>
        <v>0.03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5" t="s">
        <v>53</v>
      </c>
      <c r="B43" s="25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0" t="s">
        <v>54</v>
      </c>
      <c r="B44" s="20"/>
      <c r="C44" s="10">
        <v>83920</v>
      </c>
      <c r="D44" s="10">
        <v>0</v>
      </c>
      <c r="E44" s="10">
        <v>77030</v>
      </c>
      <c r="F44" s="10">
        <v>0</v>
      </c>
      <c r="G44" s="10">
        <f>SUM(C44:F44)</f>
        <v>160950</v>
      </c>
      <c r="H44" s="16">
        <f>ROUND(G44/530,2)</f>
        <v>303.68</v>
      </c>
      <c r="I44" s="9"/>
      <c r="J44" s="9"/>
    </row>
    <row r="45" spans="1:10" x14ac:dyDescent="0.25">
      <c r="A45" s="20" t="s">
        <v>55</v>
      </c>
      <c r="B45" s="20"/>
      <c r="C45" s="10">
        <v>59720</v>
      </c>
      <c r="D45" s="10">
        <v>0</v>
      </c>
      <c r="E45" s="10">
        <v>16612</v>
      </c>
      <c r="F45" s="10">
        <v>7300</v>
      </c>
      <c r="G45" s="10">
        <f>SUM(C45:F45)</f>
        <v>83632</v>
      </c>
      <c r="H45" s="16">
        <f>ROUND(G45/530,2)</f>
        <v>157.80000000000001</v>
      </c>
      <c r="I45" s="9"/>
      <c r="J45" s="9"/>
    </row>
    <row r="46" spans="1:10" x14ac:dyDescent="0.25">
      <c r="A46" s="20" t="s">
        <v>56</v>
      </c>
      <c r="B46" s="20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ROUND(G46/530,2)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57</v>
      </c>
      <c r="B51" s="25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0" t="s">
        <v>58</v>
      </c>
      <c r="B52" s="20"/>
      <c r="C52" s="15">
        <f>ROUND(0.7042, 4)</f>
        <v>0.70420000000000005</v>
      </c>
      <c r="D52" s="15">
        <f>ROUND(0.595, 4)</f>
        <v>0.59499999999999997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3" t="s">
        <v>64</v>
      </c>
      <c r="J52" s="23" t="s">
        <v>65</v>
      </c>
    </row>
    <row r="53" spans="1:10" x14ac:dyDescent="0.25">
      <c r="A53" s="20" t="s">
        <v>66</v>
      </c>
      <c r="B53" s="20"/>
      <c r="C53" s="15">
        <f>ROUND(0.6723, 4)</f>
        <v>0.67230000000000001</v>
      </c>
      <c r="D53" s="15">
        <f>ROUND(0.5522, 4)</f>
        <v>0.55220000000000002</v>
      </c>
      <c r="E53" s="15">
        <f>ROUND(0.7608, 4)</f>
        <v>0.76080000000000003</v>
      </c>
      <c r="F53" s="8"/>
      <c r="G53" s="14" t="s">
        <v>67</v>
      </c>
      <c r="H53" s="27"/>
      <c r="I53" s="24"/>
      <c r="J53" s="24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68</v>
      </c>
      <c r="B57" s="25"/>
      <c r="C57" s="14" t="s">
        <v>2</v>
      </c>
      <c r="D57" s="14" t="s">
        <v>181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0" t="s">
        <v>73</v>
      </c>
      <c r="B58" s="20"/>
      <c r="C58" s="16">
        <v>112.68</v>
      </c>
      <c r="D58" s="16">
        <v>112.26</v>
      </c>
      <c r="E58" s="16">
        <v>91.13</v>
      </c>
      <c r="F58" s="16">
        <v>54.95</v>
      </c>
      <c r="G58" s="16">
        <f>12/10*C58</f>
        <v>135.21600000000001</v>
      </c>
      <c r="H58" s="8"/>
      <c r="I58" s="9"/>
      <c r="J58" s="9"/>
    </row>
    <row r="59" spans="1:10" x14ac:dyDescent="0.25">
      <c r="A59" s="20" t="s">
        <v>74</v>
      </c>
      <c r="B59" s="20"/>
      <c r="C59" s="16">
        <v>44.17</v>
      </c>
      <c r="D59" s="16">
        <v>49.99</v>
      </c>
      <c r="E59" s="16">
        <v>61.18</v>
      </c>
      <c r="F59" s="16">
        <v>62.89</v>
      </c>
      <c r="G59" s="16">
        <f>12/10*C59</f>
        <v>53.003999999999998</v>
      </c>
      <c r="H59" s="8"/>
      <c r="I59" s="9"/>
      <c r="J59" s="9"/>
    </row>
    <row r="60" spans="1:10" x14ac:dyDescent="0.25">
      <c r="A60" s="20" t="s">
        <v>75</v>
      </c>
      <c r="B60" s="20"/>
      <c r="C60" s="16">
        <v>303.68</v>
      </c>
      <c r="D60" s="16">
        <v>254.85</v>
      </c>
      <c r="E60" s="16">
        <v>287.25</v>
      </c>
      <c r="F60" s="16">
        <v>278.91000000000003</v>
      </c>
      <c r="G60" s="16">
        <f>12/10*C60</f>
        <v>364.416</v>
      </c>
      <c r="H60" s="8"/>
      <c r="I60" s="9"/>
      <c r="J60" s="9"/>
    </row>
    <row r="61" spans="1:10" x14ac:dyDescent="0.25">
      <c r="A61" s="20" t="s">
        <v>76</v>
      </c>
      <c r="B61" s="20"/>
      <c r="C61" s="16">
        <v>157.80000000000001</v>
      </c>
      <c r="D61" s="16">
        <v>146.54</v>
      </c>
      <c r="E61" s="16">
        <v>114.69</v>
      </c>
      <c r="F61" s="16">
        <v>78.319999999999993</v>
      </c>
      <c r="G61" s="16">
        <f>12/10*C61</f>
        <v>189.36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2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182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2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10520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211</v>
      </c>
      <c r="F9" s="10"/>
      <c r="G9" s="10">
        <f t="shared" ref="G9:G47" si="0">SUM(C9:F9)</f>
        <v>211</v>
      </c>
      <c r="H9" s="16">
        <f t="shared" ref="H9:H47" si="1">ROUND(G9/10520,2)</f>
        <v>0.02</v>
      </c>
      <c r="I9" s="15">
        <f t="shared" ref="I9:I47" si="2">ROUND(G9/$G$48,3)</f>
        <v>0</v>
      </c>
      <c r="J9" s="15">
        <f>ROUND(G9/461-1,2)</f>
        <v>-0.54</v>
      </c>
    </row>
    <row r="10" spans="1:10" x14ac:dyDescent="0.25">
      <c r="A10" s="1" t="s">
        <v>16</v>
      </c>
      <c r="B10" s="1" t="s">
        <v>18</v>
      </c>
      <c r="C10" s="10"/>
      <c r="D10" s="10"/>
      <c r="E10" s="10">
        <v>36360</v>
      </c>
      <c r="F10" s="10">
        <v>25900</v>
      </c>
      <c r="G10" s="10">
        <f t="shared" si="0"/>
        <v>62260</v>
      </c>
      <c r="H10" s="16">
        <f t="shared" si="1"/>
        <v>5.92</v>
      </c>
      <c r="I10" s="15">
        <f t="shared" si="2"/>
        <v>1.7000000000000001E-2</v>
      </c>
      <c r="J10" s="15">
        <f>ROUND(G10/43620-1,2)</f>
        <v>0.43</v>
      </c>
    </row>
    <row r="11" spans="1:10" x14ac:dyDescent="0.25">
      <c r="A11" s="1" t="s">
        <v>16</v>
      </c>
      <c r="B11" s="1" t="s">
        <v>90</v>
      </c>
      <c r="C11" s="10"/>
      <c r="D11" s="10"/>
      <c r="E11" s="10">
        <v>11340</v>
      </c>
      <c r="F11" s="10">
        <v>500</v>
      </c>
      <c r="G11" s="10">
        <f t="shared" si="0"/>
        <v>11840</v>
      </c>
      <c r="H11" s="16">
        <f t="shared" si="1"/>
        <v>1.1299999999999999</v>
      </c>
      <c r="I11" s="15">
        <f t="shared" si="2"/>
        <v>3.0000000000000001E-3</v>
      </c>
      <c r="J11" s="15">
        <f>ROUND(G11/9020-1,2)</f>
        <v>0.31</v>
      </c>
    </row>
    <row r="12" spans="1:10" x14ac:dyDescent="0.25">
      <c r="A12" s="1" t="s">
        <v>16</v>
      </c>
      <c r="B12" s="1" t="s">
        <v>19</v>
      </c>
      <c r="C12" s="10">
        <v>321330</v>
      </c>
      <c r="D12" s="10"/>
      <c r="E12" s="10"/>
      <c r="F12" s="10">
        <v>6360</v>
      </c>
      <c r="G12" s="10">
        <f t="shared" si="0"/>
        <v>327690</v>
      </c>
      <c r="H12" s="16">
        <f t="shared" si="1"/>
        <v>31.15</v>
      </c>
      <c r="I12" s="15">
        <f t="shared" si="2"/>
        <v>8.7999999999999995E-2</v>
      </c>
      <c r="J12" s="15">
        <f>ROUND(G12/301740-1,2)</f>
        <v>0.09</v>
      </c>
    </row>
    <row r="13" spans="1:10" x14ac:dyDescent="0.25">
      <c r="A13" s="1" t="s">
        <v>16</v>
      </c>
      <c r="B13" s="1" t="s">
        <v>20</v>
      </c>
      <c r="C13" s="10">
        <v>416280</v>
      </c>
      <c r="D13" s="10"/>
      <c r="E13" s="10"/>
      <c r="F13" s="10">
        <v>1910</v>
      </c>
      <c r="G13" s="10">
        <f t="shared" si="0"/>
        <v>418190</v>
      </c>
      <c r="H13" s="16">
        <f t="shared" si="1"/>
        <v>39.75</v>
      </c>
      <c r="I13" s="15">
        <f t="shared" si="2"/>
        <v>0.112</v>
      </c>
      <c r="J13" s="15">
        <f>ROUND(G13/386530-1,2)</f>
        <v>0.08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260</v>
      </c>
      <c r="F14" s="10"/>
      <c r="G14" s="10">
        <f t="shared" si="0"/>
        <v>260</v>
      </c>
      <c r="H14" s="16">
        <f t="shared" si="1"/>
        <v>0.02</v>
      </c>
      <c r="I14" s="15">
        <f t="shared" si="2"/>
        <v>0</v>
      </c>
      <c r="J14" s="15">
        <f>ROUND(G14/335-1,2)</f>
        <v>-0.22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1013</v>
      </c>
      <c r="F15" s="10"/>
      <c r="G15" s="10">
        <f t="shared" si="0"/>
        <v>1013</v>
      </c>
      <c r="H15" s="16">
        <f t="shared" si="1"/>
        <v>0.1</v>
      </c>
      <c r="I15" s="15">
        <f t="shared" si="2"/>
        <v>0</v>
      </c>
      <c r="J15" s="15">
        <f>ROUND(G15/915-1,2)</f>
        <v>0.11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3800</v>
      </c>
      <c r="F16" s="10"/>
      <c r="G16" s="10">
        <f t="shared" si="0"/>
        <v>3800</v>
      </c>
      <c r="H16" s="16">
        <f t="shared" si="1"/>
        <v>0.36</v>
      </c>
      <c r="I16" s="15">
        <f t="shared" si="2"/>
        <v>1E-3</v>
      </c>
      <c r="J16" s="15">
        <f>ROUND(G16/2860-1,2)</f>
        <v>0.33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195850</v>
      </c>
      <c r="F17" s="10"/>
      <c r="G17" s="10">
        <f t="shared" si="0"/>
        <v>195850</v>
      </c>
      <c r="H17" s="16">
        <f t="shared" si="1"/>
        <v>18.62</v>
      </c>
      <c r="I17" s="15">
        <f t="shared" si="2"/>
        <v>5.2999999999999999E-2</v>
      </c>
      <c r="J17" s="15">
        <f>ROUND(G17/219280-1,2)</f>
        <v>-0.11</v>
      </c>
    </row>
    <row r="18" spans="1:10" x14ac:dyDescent="0.25">
      <c r="A18" s="1" t="s">
        <v>16</v>
      </c>
      <c r="B18" s="1" t="s">
        <v>24</v>
      </c>
      <c r="C18" s="10">
        <v>494770</v>
      </c>
      <c r="D18" s="10"/>
      <c r="E18" s="10">
        <v>29370</v>
      </c>
      <c r="F18" s="10">
        <v>2490</v>
      </c>
      <c r="G18" s="10">
        <f t="shared" si="0"/>
        <v>526630</v>
      </c>
      <c r="H18" s="16">
        <f t="shared" si="1"/>
        <v>50.06</v>
      </c>
      <c r="I18" s="15">
        <f t="shared" si="2"/>
        <v>0.14199999999999999</v>
      </c>
      <c r="J18" s="15">
        <f>ROUND(G18/497770-1,2)</f>
        <v>0.06</v>
      </c>
    </row>
    <row r="19" spans="1:10" x14ac:dyDescent="0.25">
      <c r="A19" s="1" t="s">
        <v>16</v>
      </c>
      <c r="B19" s="1" t="s">
        <v>25</v>
      </c>
      <c r="C19" s="10"/>
      <c r="D19" s="10"/>
      <c r="E19" s="10">
        <v>18610</v>
      </c>
      <c r="F19" s="10"/>
      <c r="G19" s="10">
        <f t="shared" si="0"/>
        <v>18610</v>
      </c>
      <c r="H19" s="16">
        <f t="shared" si="1"/>
        <v>1.77</v>
      </c>
      <c r="I19" s="15">
        <f t="shared" si="2"/>
        <v>5.0000000000000001E-3</v>
      </c>
      <c r="J19" s="15">
        <f>ROUND(G19/16835-1,2)</f>
        <v>0.11</v>
      </c>
    </row>
    <row r="20" spans="1:10" x14ac:dyDescent="0.25">
      <c r="A20" s="1" t="s">
        <v>16</v>
      </c>
      <c r="B20" s="1" t="s">
        <v>26</v>
      </c>
      <c r="C20" s="10">
        <v>644350</v>
      </c>
      <c r="D20" s="10"/>
      <c r="E20" s="10"/>
      <c r="F20" s="10">
        <v>3290</v>
      </c>
      <c r="G20" s="10">
        <f t="shared" si="0"/>
        <v>647640</v>
      </c>
      <c r="H20" s="16">
        <f t="shared" si="1"/>
        <v>61.56</v>
      </c>
      <c r="I20" s="15">
        <f t="shared" si="2"/>
        <v>0.17399999999999999</v>
      </c>
      <c r="J20" s="15">
        <f>ROUND(G20/618000-1,2)</f>
        <v>0.05</v>
      </c>
    </row>
    <row r="21" spans="1:10" x14ac:dyDescent="0.25">
      <c r="A21" s="1" t="s">
        <v>16</v>
      </c>
      <c r="B21" s="1" t="s">
        <v>27</v>
      </c>
      <c r="C21" s="10"/>
      <c r="D21" s="10"/>
      <c r="E21" s="10">
        <v>1382</v>
      </c>
      <c r="F21" s="10"/>
      <c r="G21" s="10">
        <f t="shared" si="0"/>
        <v>1382</v>
      </c>
      <c r="H21" s="16">
        <f t="shared" si="1"/>
        <v>0.13</v>
      </c>
      <c r="I21" s="15">
        <f t="shared" si="2"/>
        <v>0</v>
      </c>
      <c r="J21" s="15">
        <f>ROUND(G21/957-1,2)</f>
        <v>0.44</v>
      </c>
    </row>
    <row r="22" spans="1:10" x14ac:dyDescent="0.25">
      <c r="A22" s="1" t="s">
        <v>16</v>
      </c>
      <c r="B22" s="1" t="s">
        <v>28</v>
      </c>
      <c r="C22" s="10"/>
      <c r="D22" s="10"/>
      <c r="E22" s="10">
        <v>925</v>
      </c>
      <c r="F22" s="10"/>
      <c r="G22" s="10">
        <f t="shared" si="0"/>
        <v>925</v>
      </c>
      <c r="H22" s="16">
        <f t="shared" si="1"/>
        <v>0.09</v>
      </c>
      <c r="I22" s="15">
        <f t="shared" si="2"/>
        <v>0</v>
      </c>
      <c r="J22" s="15">
        <f>ROUND(G22/598-1,2)</f>
        <v>0.55000000000000004</v>
      </c>
    </row>
    <row r="23" spans="1:10" x14ac:dyDescent="0.25">
      <c r="A23" s="1" t="s">
        <v>16</v>
      </c>
      <c r="B23" s="1" t="s">
        <v>42</v>
      </c>
      <c r="C23" s="10"/>
      <c r="D23" s="10"/>
      <c r="E23" s="10">
        <v>372</v>
      </c>
      <c r="F23" s="10"/>
      <c r="G23" s="10">
        <f t="shared" si="0"/>
        <v>372</v>
      </c>
      <c r="H23" s="16">
        <f t="shared" si="1"/>
        <v>0.04</v>
      </c>
      <c r="I23" s="15">
        <f t="shared" si="2"/>
        <v>0</v>
      </c>
      <c r="J23" s="15">
        <f>ROUND(G23/542-1,2)</f>
        <v>-0.31</v>
      </c>
    </row>
    <row r="24" spans="1:10" x14ac:dyDescent="0.25">
      <c r="A24" s="1" t="s">
        <v>16</v>
      </c>
      <c r="B24" s="1" t="s">
        <v>29</v>
      </c>
      <c r="C24" s="10"/>
      <c r="D24" s="10"/>
      <c r="E24" s="10">
        <v>12790</v>
      </c>
      <c r="F24" s="10"/>
      <c r="G24" s="10">
        <f t="shared" si="0"/>
        <v>12790</v>
      </c>
      <c r="H24" s="16">
        <f t="shared" si="1"/>
        <v>1.22</v>
      </c>
      <c r="I24" s="15">
        <f t="shared" si="2"/>
        <v>3.0000000000000001E-3</v>
      </c>
      <c r="J24" s="15">
        <f>ROUND(G24/21480-1,2)</f>
        <v>-0.4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3090</v>
      </c>
      <c r="F25" s="10"/>
      <c r="G25" s="10">
        <f t="shared" si="0"/>
        <v>3090</v>
      </c>
      <c r="H25" s="16">
        <f t="shared" si="1"/>
        <v>0.28999999999999998</v>
      </c>
      <c r="I25" s="15">
        <f t="shared" si="2"/>
        <v>1E-3</v>
      </c>
      <c r="J25" s="15">
        <f>ROUND(G25/3140-1,2)</f>
        <v>-0.02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1950</v>
      </c>
      <c r="F26" s="10"/>
      <c r="G26" s="10">
        <f t="shared" si="0"/>
        <v>1950</v>
      </c>
      <c r="H26" s="16">
        <f t="shared" si="1"/>
        <v>0.19</v>
      </c>
      <c r="I26" s="15">
        <f t="shared" si="2"/>
        <v>1E-3</v>
      </c>
      <c r="J26" s="15">
        <f>ROUND(G26/1600-1,2)</f>
        <v>0.22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7995</v>
      </c>
      <c r="F27" s="10"/>
      <c r="G27" s="10">
        <f t="shared" si="0"/>
        <v>7995</v>
      </c>
      <c r="H27" s="16">
        <f t="shared" si="1"/>
        <v>0.76</v>
      </c>
      <c r="I27" s="15">
        <f t="shared" si="2"/>
        <v>2E-3</v>
      </c>
      <c r="J27" s="15">
        <f>ROUND(G27/4890-1,2)</f>
        <v>0.63</v>
      </c>
    </row>
    <row r="28" spans="1:10" x14ac:dyDescent="0.25">
      <c r="A28" s="1" t="s">
        <v>16</v>
      </c>
      <c r="B28" s="1" t="s">
        <v>33</v>
      </c>
      <c r="C28" s="10"/>
      <c r="D28" s="10">
        <v>603</v>
      </c>
      <c r="E28" s="10">
        <v>143</v>
      </c>
      <c r="F28" s="10"/>
      <c r="G28" s="10">
        <f t="shared" si="0"/>
        <v>746</v>
      </c>
      <c r="H28" s="16">
        <f t="shared" si="1"/>
        <v>7.0000000000000007E-2</v>
      </c>
      <c r="I28" s="15">
        <f t="shared" si="2"/>
        <v>0</v>
      </c>
      <c r="J28" s="15">
        <f>ROUND(G28/987-1,2)</f>
        <v>-0.24</v>
      </c>
    </row>
    <row r="29" spans="1:10" x14ac:dyDescent="0.25">
      <c r="A29" s="1" t="s">
        <v>16</v>
      </c>
      <c r="B29" s="1" t="s">
        <v>34</v>
      </c>
      <c r="C29" s="10"/>
      <c r="D29" s="10"/>
      <c r="E29" s="10">
        <v>5655</v>
      </c>
      <c r="F29" s="10"/>
      <c r="G29" s="10">
        <f t="shared" si="0"/>
        <v>5655</v>
      </c>
      <c r="H29" s="16">
        <f t="shared" si="1"/>
        <v>0.54</v>
      </c>
      <c r="I29" s="15">
        <f t="shared" si="2"/>
        <v>2E-3</v>
      </c>
      <c r="J29" s="15">
        <f>ROUND(G29/6140-1,2)</f>
        <v>-0.08</v>
      </c>
    </row>
    <row r="30" spans="1:10" x14ac:dyDescent="0.25">
      <c r="A30" s="1" t="s">
        <v>16</v>
      </c>
      <c r="B30" s="1" t="s">
        <v>35</v>
      </c>
      <c r="C30" s="10"/>
      <c r="D30" s="10">
        <v>240</v>
      </c>
      <c r="E30" s="10">
        <v>350</v>
      </c>
      <c r="F30" s="10"/>
      <c r="G30" s="10">
        <f t="shared" si="0"/>
        <v>590</v>
      </c>
      <c r="H30" s="16">
        <f t="shared" si="1"/>
        <v>0.06</v>
      </c>
      <c r="I30" s="15">
        <f t="shared" si="2"/>
        <v>0</v>
      </c>
      <c r="J30" s="15">
        <f>ROUND(G30/1160-1,2)</f>
        <v>-0.49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4300</v>
      </c>
      <c r="F31" s="10"/>
      <c r="G31" s="10">
        <f t="shared" si="0"/>
        <v>4300</v>
      </c>
      <c r="H31" s="16">
        <f t="shared" si="1"/>
        <v>0.41</v>
      </c>
      <c r="I31" s="15">
        <f t="shared" si="2"/>
        <v>1E-3</v>
      </c>
      <c r="J31" s="15">
        <f>ROUND(G31/18630-1,2)</f>
        <v>-0.77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20400</v>
      </c>
      <c r="F32" s="10"/>
      <c r="G32" s="10">
        <f t="shared" si="0"/>
        <v>20400</v>
      </c>
      <c r="H32" s="16">
        <f t="shared" si="1"/>
        <v>1.94</v>
      </c>
      <c r="I32" s="15">
        <f t="shared" si="2"/>
        <v>5.0000000000000001E-3</v>
      </c>
      <c r="J32" s="15">
        <f>ROUND(G32/38480-1,2)</f>
        <v>-0.47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267820</v>
      </c>
      <c r="F33" s="10"/>
      <c r="G33" s="10">
        <f t="shared" si="0"/>
        <v>267820</v>
      </c>
      <c r="H33" s="16">
        <f t="shared" si="1"/>
        <v>25.46</v>
      </c>
      <c r="I33" s="15">
        <f t="shared" si="2"/>
        <v>7.1999999999999995E-2</v>
      </c>
      <c r="J33" s="15">
        <f>ROUND(G33/198780-1,2)</f>
        <v>0.35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13440</v>
      </c>
      <c r="F34" s="10"/>
      <c r="G34" s="10">
        <f t="shared" si="0"/>
        <v>13440</v>
      </c>
      <c r="H34" s="16">
        <f t="shared" si="1"/>
        <v>1.28</v>
      </c>
      <c r="I34" s="15">
        <f t="shared" si="2"/>
        <v>4.0000000000000001E-3</v>
      </c>
      <c r="J34" s="15">
        <f>ROUND(G34/14630-1,2)</f>
        <v>-0.08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60630</v>
      </c>
      <c r="F35" s="10"/>
      <c r="G35" s="10">
        <f t="shared" si="0"/>
        <v>60630</v>
      </c>
      <c r="H35" s="16">
        <f t="shared" si="1"/>
        <v>5.76</v>
      </c>
      <c r="I35" s="15">
        <f t="shared" si="2"/>
        <v>1.6E-2</v>
      </c>
      <c r="J35" s="15">
        <f>ROUND(G35/47610-1,2)</f>
        <v>0.27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230470</v>
      </c>
      <c r="F36" s="10">
        <v>1600</v>
      </c>
      <c r="G36" s="10">
        <f t="shared" si="0"/>
        <v>232070</v>
      </c>
      <c r="H36" s="16">
        <f t="shared" si="1"/>
        <v>22.06</v>
      </c>
      <c r="I36" s="15">
        <f t="shared" si="2"/>
        <v>6.2E-2</v>
      </c>
      <c r="J36" s="15">
        <f>ROUND(G36/158110-1,2)</f>
        <v>0.47</v>
      </c>
    </row>
    <row r="37" spans="1:10" x14ac:dyDescent="0.25">
      <c r="A37" s="1" t="s">
        <v>16</v>
      </c>
      <c r="B37" s="1" t="s">
        <v>36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ROUND(G37/8320-1,2)</f>
        <v>-1</v>
      </c>
    </row>
    <row r="38" spans="1:10" x14ac:dyDescent="0.25">
      <c r="A38" s="1" t="s">
        <v>16</v>
      </c>
      <c r="B38" s="1" t="s">
        <v>99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184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172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670250</v>
      </c>
      <c r="D41" s="10"/>
      <c r="E41" s="10"/>
      <c r="F41" s="10">
        <v>2800</v>
      </c>
      <c r="G41" s="10">
        <f t="shared" si="0"/>
        <v>673050</v>
      </c>
      <c r="H41" s="16">
        <f t="shared" si="1"/>
        <v>63.98</v>
      </c>
      <c r="I41" s="15">
        <f t="shared" si="2"/>
        <v>0.18099999999999999</v>
      </c>
      <c r="J41" s="15">
        <f>ROUND(G41/643080-1,2)</f>
        <v>0.05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69580</v>
      </c>
      <c r="G42" s="10">
        <f t="shared" si="0"/>
        <v>69580</v>
      </c>
      <c r="H42" s="16">
        <f t="shared" si="1"/>
        <v>6.61</v>
      </c>
      <c r="I42" s="15">
        <f t="shared" si="2"/>
        <v>1.9E-2</v>
      </c>
      <c r="J42" s="15">
        <f>ROUND(G42/37440-1,2)</f>
        <v>0.86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127690</v>
      </c>
      <c r="F43" s="10"/>
      <c r="G43" s="10">
        <f t="shared" si="0"/>
        <v>127690</v>
      </c>
      <c r="H43" s="16">
        <f t="shared" si="1"/>
        <v>12.14</v>
      </c>
      <c r="I43" s="15">
        <f t="shared" si="2"/>
        <v>3.4000000000000002E-2</v>
      </c>
      <c r="J43" s="15">
        <f>ROUND(G43/90880-1,2)</f>
        <v>0.41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94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/>
    </row>
    <row r="47" spans="1:10" x14ac:dyDescent="0.25">
      <c r="A47" s="1" t="s">
        <v>48</v>
      </c>
      <c r="B47" s="1" t="s">
        <v>168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25" t="s">
        <v>12</v>
      </c>
      <c r="B48" s="25"/>
      <c r="C48" s="11">
        <f t="shared" ref="C48:H48" si="3">SUM(C8:C47)</f>
        <v>2546980</v>
      </c>
      <c r="D48" s="11">
        <f t="shared" si="3"/>
        <v>843</v>
      </c>
      <c r="E48" s="11">
        <f t="shared" si="3"/>
        <v>1056216</v>
      </c>
      <c r="F48" s="11">
        <f t="shared" si="3"/>
        <v>114430</v>
      </c>
      <c r="G48" s="11">
        <f t="shared" si="3"/>
        <v>3718469</v>
      </c>
      <c r="H48" s="14">
        <f t="shared" si="3"/>
        <v>353.48999999999995</v>
      </c>
      <c r="I48" s="17"/>
      <c r="J48" s="17"/>
    </row>
    <row r="49" spans="1:10" x14ac:dyDescent="0.25">
      <c r="A49" s="25" t="s">
        <v>14</v>
      </c>
      <c r="B49" s="25"/>
      <c r="C49" s="12">
        <f>ROUND(C48/G48,2)</f>
        <v>0.68</v>
      </c>
      <c r="D49" s="12">
        <f>ROUND(D48/G48,2)</f>
        <v>0</v>
      </c>
      <c r="E49" s="12">
        <f>ROUND(E48/G48,2)</f>
        <v>0.28000000000000003</v>
      </c>
      <c r="F49" s="12">
        <f>ROUND(F48/G48,2)</f>
        <v>0.03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53</v>
      </c>
      <c r="B54" s="25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0" t="s">
        <v>54</v>
      </c>
      <c r="B55" s="20"/>
      <c r="C55" s="10">
        <v>1876730</v>
      </c>
      <c r="D55" s="10">
        <v>843</v>
      </c>
      <c r="E55" s="10">
        <v>928526</v>
      </c>
      <c r="F55" s="10">
        <v>42050</v>
      </c>
      <c r="G55" s="10">
        <f>SUM(C55:F55)</f>
        <v>2848149</v>
      </c>
      <c r="H55" s="16">
        <f>ROUND(G55/10520,2)</f>
        <v>270.74</v>
      </c>
      <c r="I55" s="9"/>
      <c r="J55" s="9"/>
    </row>
    <row r="56" spans="1:10" x14ac:dyDescent="0.25">
      <c r="A56" s="20" t="s">
        <v>55</v>
      </c>
      <c r="B56" s="20"/>
      <c r="C56" s="10">
        <v>670250</v>
      </c>
      <c r="D56" s="10">
        <v>0</v>
      </c>
      <c r="E56" s="10">
        <v>127690</v>
      </c>
      <c r="F56" s="10">
        <v>72380</v>
      </c>
      <c r="G56" s="10">
        <f>SUM(C56:F56)</f>
        <v>870320</v>
      </c>
      <c r="H56" s="16">
        <f>ROUND(G56/10520,2)</f>
        <v>82.73</v>
      </c>
      <c r="I56" s="9"/>
      <c r="J56" s="9"/>
    </row>
    <row r="57" spans="1:10" x14ac:dyDescent="0.25">
      <c r="A57" s="20" t="s">
        <v>56</v>
      </c>
      <c r="B57" s="20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ROUND(G57/10520,2)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57</v>
      </c>
      <c r="B62" s="25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0" t="s">
        <v>58</v>
      </c>
      <c r="B63" s="20"/>
      <c r="C63" s="15">
        <f>ROUND(0.806, 4)</f>
        <v>0.80600000000000005</v>
      </c>
      <c r="D63" s="15">
        <f>ROUND(0.7897, 4)</f>
        <v>0.78969999999999996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3" t="s">
        <v>64</v>
      </c>
      <c r="J63" s="23" t="s">
        <v>65</v>
      </c>
    </row>
    <row r="64" spans="1:10" x14ac:dyDescent="0.25">
      <c r="A64" s="20" t="s">
        <v>66</v>
      </c>
      <c r="B64" s="20"/>
      <c r="C64" s="15">
        <f>ROUND(0.7941, 4)</f>
        <v>0.79410000000000003</v>
      </c>
      <c r="D64" s="15">
        <f>ROUND(0.7772, 4)</f>
        <v>0.7772</v>
      </c>
      <c r="E64" s="15">
        <f>ROUND(0.7608, 4)</f>
        <v>0.76080000000000003</v>
      </c>
      <c r="F64" s="8"/>
      <c r="G64" s="14" t="s">
        <v>67</v>
      </c>
      <c r="H64" s="27"/>
      <c r="I64" s="24"/>
      <c r="J64" s="24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5" t="s">
        <v>68</v>
      </c>
      <c r="B68" s="25"/>
      <c r="C68" s="14" t="s">
        <v>2</v>
      </c>
      <c r="D68" s="14" t="s">
        <v>185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0" t="s">
        <v>73</v>
      </c>
      <c r="B69" s="20"/>
      <c r="C69" s="16">
        <v>63.98</v>
      </c>
      <c r="D69" s="16">
        <v>70.23</v>
      </c>
      <c r="E69" s="16">
        <v>91.13</v>
      </c>
      <c r="F69" s="16">
        <v>54.95</v>
      </c>
      <c r="G69" s="16">
        <f>12/10*C69</f>
        <v>76.775999999999996</v>
      </c>
      <c r="H69" s="8"/>
      <c r="I69" s="9"/>
      <c r="J69" s="9"/>
    </row>
    <row r="70" spans="1:10" x14ac:dyDescent="0.25">
      <c r="A70" s="20" t="s">
        <v>74</v>
      </c>
      <c r="B70" s="20"/>
      <c r="C70" s="1">
        <v>61.56</v>
      </c>
      <c r="D70" s="1">
        <v>70.680000000000007</v>
      </c>
      <c r="E70" s="1">
        <v>61.18</v>
      </c>
      <c r="F70" s="1">
        <v>62.89</v>
      </c>
      <c r="G70" s="1">
        <f>12/10*C70</f>
        <v>73.872</v>
      </c>
    </row>
    <row r="71" spans="1:10" x14ac:dyDescent="0.25">
      <c r="A71" s="20" t="s">
        <v>75</v>
      </c>
      <c r="B71" s="20"/>
      <c r="C71" s="1">
        <v>274.25</v>
      </c>
      <c r="D71" s="1">
        <v>287.99</v>
      </c>
      <c r="E71" s="1">
        <v>287.25</v>
      </c>
      <c r="F71" s="1">
        <v>278.91000000000003</v>
      </c>
      <c r="G71" s="1">
        <f>12/10*C71</f>
        <v>329.09999999999997</v>
      </c>
    </row>
    <row r="72" spans="1:10" x14ac:dyDescent="0.25">
      <c r="A72" s="20" t="s">
        <v>76</v>
      </c>
      <c r="B72" s="20"/>
      <c r="C72" s="1">
        <v>82.73</v>
      </c>
      <c r="D72" s="1">
        <v>90.57</v>
      </c>
      <c r="E72" s="1">
        <v>114.69</v>
      </c>
      <c r="F72" s="1">
        <v>78.319999999999993</v>
      </c>
      <c r="G72" s="1">
        <f>12/10*C72</f>
        <v>99.275999999999996</v>
      </c>
    </row>
    <row r="75" spans="1:10" x14ac:dyDescent="0.25">
      <c r="A75" s="21" t="s">
        <v>60</v>
      </c>
      <c r="B75" s="22"/>
    </row>
    <row r="76" spans="1:10" x14ac:dyDescent="0.25">
      <c r="A76" s="3" t="s">
        <v>77</v>
      </c>
      <c r="B76" s="1" t="s">
        <v>186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0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652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14</v>
      </c>
      <c r="F9" s="10"/>
      <c r="G9" s="10">
        <f t="shared" ref="G9:G37" si="0">SUM(C9:F9)</f>
        <v>14</v>
      </c>
      <c r="H9" s="16">
        <f t="shared" ref="H9:H37" si="1">ROUND(G9/652,2)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20570</v>
      </c>
      <c r="D10" s="10"/>
      <c r="E10" s="10">
        <v>2606</v>
      </c>
      <c r="F10" s="10"/>
      <c r="G10" s="10">
        <f t="shared" si="0"/>
        <v>23176</v>
      </c>
      <c r="H10" s="16">
        <f t="shared" si="1"/>
        <v>35.549999999999997</v>
      </c>
      <c r="I10" s="15">
        <f t="shared" si="2"/>
        <v>0.11</v>
      </c>
      <c r="J10" s="15">
        <f>ROUND(G10/18879.54-1,2)</f>
        <v>0.23</v>
      </c>
    </row>
    <row r="11" spans="1:10" x14ac:dyDescent="0.25">
      <c r="A11" s="1" t="s">
        <v>16</v>
      </c>
      <c r="B11" s="1" t="s">
        <v>20</v>
      </c>
      <c r="C11" s="10">
        <v>19580</v>
      </c>
      <c r="D11" s="10"/>
      <c r="E11" s="10"/>
      <c r="F11" s="10"/>
      <c r="G11" s="10">
        <f t="shared" si="0"/>
        <v>19580</v>
      </c>
      <c r="H11" s="16">
        <f t="shared" si="1"/>
        <v>30.03</v>
      </c>
      <c r="I11" s="15">
        <f t="shared" si="2"/>
        <v>9.2999999999999999E-2</v>
      </c>
      <c r="J11" s="15">
        <f>ROUND(G11/20110-1,2)</f>
        <v>-0.03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58</v>
      </c>
      <c r="F12" s="10"/>
      <c r="G12" s="10">
        <f t="shared" si="0"/>
        <v>58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722</v>
      </c>
      <c r="F13" s="10"/>
      <c r="G13" s="10">
        <f t="shared" si="0"/>
        <v>722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16429</v>
      </c>
      <c r="F14" s="10"/>
      <c r="G14" s="10">
        <f t="shared" si="0"/>
        <v>16429</v>
      </c>
      <c r="H14" s="16">
        <f t="shared" si="1"/>
        <v>25.2</v>
      </c>
      <c r="I14" s="15">
        <f t="shared" si="2"/>
        <v>7.8E-2</v>
      </c>
      <c r="J14" s="15">
        <f>ROUND(G14/5202.37-1,2)</f>
        <v>2.16</v>
      </c>
    </row>
    <row r="15" spans="1:10" x14ac:dyDescent="0.25">
      <c r="A15" s="1" t="s">
        <v>16</v>
      </c>
      <c r="B15" s="1" t="s">
        <v>24</v>
      </c>
      <c r="C15" s="10">
        <v>15370</v>
      </c>
      <c r="D15" s="10"/>
      <c r="E15" s="10">
        <v>6405</v>
      </c>
      <c r="F15" s="10"/>
      <c r="G15" s="10">
        <f t="shared" si="0"/>
        <v>21775</v>
      </c>
      <c r="H15" s="16">
        <f t="shared" si="1"/>
        <v>33.4</v>
      </c>
      <c r="I15" s="15">
        <f t="shared" si="2"/>
        <v>0.10299999999999999</v>
      </c>
      <c r="J15" s="15">
        <f>ROUND(G15/18232.97-1,2)</f>
        <v>0.19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1055</v>
      </c>
      <c r="F16" s="10"/>
      <c r="G16" s="10">
        <f t="shared" si="0"/>
        <v>1055</v>
      </c>
      <c r="H16" s="16">
        <f t="shared" si="1"/>
        <v>1.62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19720</v>
      </c>
      <c r="D17" s="10"/>
      <c r="E17" s="10"/>
      <c r="F17" s="10"/>
      <c r="G17" s="10">
        <f t="shared" si="0"/>
        <v>19720</v>
      </c>
      <c r="H17" s="16">
        <f t="shared" si="1"/>
        <v>30.25</v>
      </c>
      <c r="I17" s="15">
        <f t="shared" si="2"/>
        <v>9.2999999999999999E-2</v>
      </c>
      <c r="J17" s="15">
        <f>ROUND(G17/21050-1,2)</f>
        <v>-0.06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195</v>
      </c>
      <c r="F18" s="10"/>
      <c r="G18" s="10">
        <f t="shared" si="0"/>
        <v>195</v>
      </c>
      <c r="H18" s="16">
        <f t="shared" si="1"/>
        <v>0.3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129</v>
      </c>
      <c r="F19" s="10"/>
      <c r="G19" s="10">
        <f t="shared" si="0"/>
        <v>129</v>
      </c>
      <c r="H19" s="16">
        <f t="shared" si="1"/>
        <v>0.2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21</v>
      </c>
      <c r="F20" s="10"/>
      <c r="G20" s="10">
        <f t="shared" si="0"/>
        <v>21</v>
      </c>
      <c r="H20" s="16">
        <f t="shared" si="1"/>
        <v>0.03</v>
      </c>
      <c r="I20" s="15">
        <f t="shared" si="2"/>
        <v>0</v>
      </c>
      <c r="J20" s="15">
        <f>ROUND(G20/37.24-1,2)</f>
        <v>-0.44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499</v>
      </c>
      <c r="F21" s="10"/>
      <c r="G21" s="10">
        <f t="shared" si="0"/>
        <v>499</v>
      </c>
      <c r="H21" s="16">
        <f t="shared" si="1"/>
        <v>0.77</v>
      </c>
      <c r="I21" s="15">
        <f t="shared" si="2"/>
        <v>2E-3</v>
      </c>
      <c r="J21" s="15">
        <f>ROUND(G21/428.57-1,2)</f>
        <v>0.16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118</v>
      </c>
      <c r="F22" s="10"/>
      <c r="G22" s="10">
        <f t="shared" si="0"/>
        <v>118</v>
      </c>
      <c r="H22" s="16">
        <f t="shared" si="1"/>
        <v>0.18</v>
      </c>
      <c r="I22" s="15">
        <f t="shared" si="2"/>
        <v>1E-3</v>
      </c>
      <c r="J22" s="15">
        <f>ROUND(G22/33.62-1,2)</f>
        <v>2.5099999999999998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137</v>
      </c>
      <c r="F23" s="10"/>
      <c r="G23" s="10">
        <f t="shared" si="0"/>
        <v>137</v>
      </c>
      <c r="H23" s="16">
        <f t="shared" si="1"/>
        <v>0.21</v>
      </c>
      <c r="I23" s="15">
        <f t="shared" si="2"/>
        <v>1E-3</v>
      </c>
      <c r="J23" s="15">
        <f>ROUND(G23/42.86-1,2)</f>
        <v>2.2000000000000002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393</v>
      </c>
      <c r="F24" s="10"/>
      <c r="G24" s="10">
        <f t="shared" si="0"/>
        <v>393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55</v>
      </c>
      <c r="F25" s="10"/>
      <c r="G25" s="10">
        <f t="shared" si="0"/>
        <v>55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43</v>
      </c>
      <c r="C26" s="10"/>
      <c r="D26" s="10"/>
      <c r="E26" s="10">
        <v>884</v>
      </c>
      <c r="F26" s="10"/>
      <c r="G26" s="10">
        <f t="shared" si="0"/>
        <v>884</v>
      </c>
      <c r="H26" s="16">
        <f t="shared" si="1"/>
        <v>1.36</v>
      </c>
      <c r="I26" s="15">
        <f t="shared" si="2"/>
        <v>4.0000000000000001E-3</v>
      </c>
      <c r="J26" s="15"/>
    </row>
    <row r="27" spans="1:10" x14ac:dyDescent="0.25">
      <c r="A27" s="1" t="s">
        <v>16</v>
      </c>
      <c r="B27" s="1" t="s">
        <v>37</v>
      </c>
      <c r="C27" s="10"/>
      <c r="D27" s="10"/>
      <c r="E27" s="10">
        <v>895</v>
      </c>
      <c r="F27" s="10"/>
      <c r="G27" s="10">
        <f t="shared" si="0"/>
        <v>895</v>
      </c>
      <c r="H27" s="16">
        <f t="shared" si="1"/>
        <v>1.37</v>
      </c>
      <c r="I27" s="15">
        <f t="shared" si="2"/>
        <v>4.0000000000000001E-3</v>
      </c>
      <c r="J27" s="15">
        <f>ROUND(G27/58.02-1,2)</f>
        <v>14.43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15753</v>
      </c>
      <c r="F28" s="10"/>
      <c r="G28" s="10">
        <f t="shared" si="0"/>
        <v>15753</v>
      </c>
      <c r="H28" s="16">
        <f t="shared" si="1"/>
        <v>24.16</v>
      </c>
      <c r="I28" s="15">
        <f t="shared" si="2"/>
        <v>7.4999999999999997E-2</v>
      </c>
      <c r="J28" s="15">
        <f>ROUND(G28/6507.65-1,2)</f>
        <v>1.42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5839</v>
      </c>
      <c r="F29" s="10"/>
      <c r="G29" s="10">
        <f t="shared" si="0"/>
        <v>5839</v>
      </c>
      <c r="H29" s="16">
        <f t="shared" si="1"/>
        <v>8.9600000000000009</v>
      </c>
      <c r="I29" s="15">
        <f t="shared" si="2"/>
        <v>2.8000000000000001E-2</v>
      </c>
      <c r="J29" s="15">
        <f>ROUND(G29/2866.29-1,2)</f>
        <v>1.04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11125</v>
      </c>
      <c r="F30" s="10"/>
      <c r="G30" s="10">
        <f t="shared" si="0"/>
        <v>11125</v>
      </c>
      <c r="H30" s="16">
        <f t="shared" si="1"/>
        <v>17.059999999999999</v>
      </c>
      <c r="I30" s="15">
        <f t="shared" si="2"/>
        <v>5.2999999999999999E-2</v>
      </c>
      <c r="J30" s="15">
        <f>ROUND(G30/730.07-1,2)</f>
        <v>14.24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ROUND(G31/499.69-1,2)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62860</v>
      </c>
      <c r="D34" s="10"/>
      <c r="E34" s="10"/>
      <c r="F34" s="10"/>
      <c r="G34" s="10">
        <f t="shared" si="0"/>
        <v>62860</v>
      </c>
      <c r="H34" s="16">
        <f t="shared" si="1"/>
        <v>96.41</v>
      </c>
      <c r="I34" s="15">
        <f t="shared" si="2"/>
        <v>0.29799999999999999</v>
      </c>
      <c r="J34" s="15">
        <f>ROUND(G34/57280-1,2)</f>
        <v>0.1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9618</v>
      </c>
      <c r="F35" s="10"/>
      <c r="G35" s="10">
        <f t="shared" si="0"/>
        <v>9618</v>
      </c>
      <c r="H35" s="16">
        <f t="shared" si="1"/>
        <v>14.75</v>
      </c>
      <c r="I35" s="15">
        <f t="shared" si="2"/>
        <v>4.5999999999999999E-2</v>
      </c>
      <c r="J35" s="15">
        <f>ROUND(G35/3473.55-1,2)</f>
        <v>1.77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5" t="s">
        <v>12</v>
      </c>
      <c r="B38" s="25"/>
      <c r="C38" s="11">
        <f t="shared" ref="C38:H38" si="3">SUM(C8:C37)</f>
        <v>138100</v>
      </c>
      <c r="D38" s="11">
        <f t="shared" si="3"/>
        <v>0</v>
      </c>
      <c r="E38" s="11">
        <f t="shared" si="3"/>
        <v>72950</v>
      </c>
      <c r="F38" s="11">
        <f t="shared" si="3"/>
        <v>0</v>
      </c>
      <c r="G38" s="11">
        <f t="shared" si="3"/>
        <v>211050</v>
      </c>
      <c r="H38" s="14">
        <f t="shared" si="3"/>
        <v>323.71000000000004</v>
      </c>
      <c r="I38" s="17"/>
      <c r="J38" s="17"/>
    </row>
    <row r="39" spans="1:10" x14ac:dyDescent="0.25">
      <c r="A39" s="25" t="s">
        <v>14</v>
      </c>
      <c r="B39" s="25"/>
      <c r="C39" s="12">
        <f>ROUND(C38/G38,2)</f>
        <v>0.65</v>
      </c>
      <c r="D39" s="12">
        <f>ROUND(D38/G38,2)</f>
        <v>0</v>
      </c>
      <c r="E39" s="12">
        <f>ROUND(E38/G38,2)</f>
        <v>0.35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53</v>
      </c>
      <c r="B44" s="25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0" t="s">
        <v>54</v>
      </c>
      <c r="B45" s="20"/>
      <c r="C45" s="10">
        <v>75240</v>
      </c>
      <c r="D45" s="10">
        <v>0</v>
      </c>
      <c r="E45" s="10">
        <v>63332</v>
      </c>
      <c r="F45" s="10">
        <v>0</v>
      </c>
      <c r="G45" s="10">
        <f>SUM(C45:F45)</f>
        <v>138572</v>
      </c>
      <c r="H45" s="16">
        <f>ROUND(G45/652,2)</f>
        <v>212.53</v>
      </c>
      <c r="I45" s="9"/>
      <c r="J45" s="9"/>
    </row>
    <row r="46" spans="1:10" x14ac:dyDescent="0.25">
      <c r="A46" s="20" t="s">
        <v>55</v>
      </c>
      <c r="B46" s="20"/>
      <c r="C46" s="10">
        <v>62860</v>
      </c>
      <c r="D46" s="10">
        <v>0</v>
      </c>
      <c r="E46" s="10">
        <v>9618</v>
      </c>
      <c r="F46" s="10">
        <v>0</v>
      </c>
      <c r="G46" s="10">
        <f>SUM(C46:F46)</f>
        <v>72478</v>
      </c>
      <c r="H46" s="16">
        <f>ROUND(G46/652,2)</f>
        <v>111.16</v>
      </c>
      <c r="I46" s="9"/>
      <c r="J46" s="9"/>
    </row>
    <row r="47" spans="1:10" x14ac:dyDescent="0.25">
      <c r="A47" s="20" t="s">
        <v>56</v>
      </c>
      <c r="B47" s="20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ROUND(G47/652,2)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57</v>
      </c>
      <c r="B52" s="25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0" t="s">
        <v>58</v>
      </c>
      <c r="B53" s="20"/>
      <c r="C53" s="15">
        <f>ROUND(0.6728, 4)</f>
        <v>0.67279999999999995</v>
      </c>
      <c r="D53" s="15">
        <f>ROUND(0.5958, 4)</f>
        <v>0.5958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3" t="s">
        <v>64</v>
      </c>
      <c r="J53" s="23" t="s">
        <v>65</v>
      </c>
    </row>
    <row r="54" spans="1:10" x14ac:dyDescent="0.25">
      <c r="A54" s="20" t="s">
        <v>66</v>
      </c>
      <c r="B54" s="20"/>
      <c r="C54" s="15">
        <f>ROUND(0.6284, 4)</f>
        <v>0.62839999999999996</v>
      </c>
      <c r="D54" s="15">
        <f>ROUND(0.5494, 4)</f>
        <v>0.5494</v>
      </c>
      <c r="E54" s="15">
        <f>ROUND(0.7608, 4)</f>
        <v>0.76080000000000003</v>
      </c>
      <c r="F54" s="8"/>
      <c r="G54" s="14" t="s">
        <v>67</v>
      </c>
      <c r="H54" s="27"/>
      <c r="I54" s="24"/>
      <c r="J54" s="24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68</v>
      </c>
      <c r="B58" s="25"/>
      <c r="C58" s="14" t="s">
        <v>2</v>
      </c>
      <c r="D58" s="14" t="s">
        <v>188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0" t="s">
        <v>73</v>
      </c>
      <c r="B59" s="20"/>
      <c r="C59" s="16">
        <v>96.41</v>
      </c>
      <c r="D59" s="16">
        <v>93.45</v>
      </c>
      <c r="E59" s="16">
        <v>91.13</v>
      </c>
      <c r="F59" s="16">
        <v>54.95</v>
      </c>
      <c r="G59" s="16">
        <f>12/10*C59</f>
        <v>115.69199999999999</v>
      </c>
      <c r="H59" s="8"/>
      <c r="I59" s="9"/>
      <c r="J59" s="9"/>
    </row>
    <row r="60" spans="1:10" x14ac:dyDescent="0.25">
      <c r="A60" s="20" t="s">
        <v>74</v>
      </c>
      <c r="B60" s="20"/>
      <c r="C60" s="16">
        <v>30.25</v>
      </c>
      <c r="D60" s="16">
        <v>34.69</v>
      </c>
      <c r="E60" s="16">
        <v>61.18</v>
      </c>
      <c r="F60" s="16">
        <v>62.89</v>
      </c>
      <c r="G60" s="16">
        <f>12/10*C60</f>
        <v>36.299999999999997</v>
      </c>
      <c r="H60" s="8"/>
      <c r="I60" s="9"/>
      <c r="J60" s="9"/>
    </row>
    <row r="61" spans="1:10" x14ac:dyDescent="0.25">
      <c r="A61" s="20" t="s">
        <v>75</v>
      </c>
      <c r="B61" s="20"/>
      <c r="C61" s="16">
        <v>212.53</v>
      </c>
      <c r="D61" s="16">
        <v>191.24</v>
      </c>
      <c r="E61" s="16">
        <v>287.25</v>
      </c>
      <c r="F61" s="16">
        <v>278.91000000000003</v>
      </c>
      <c r="G61" s="16">
        <f>12/10*C61</f>
        <v>255.036</v>
      </c>
      <c r="H61" s="8"/>
      <c r="I61" s="9"/>
      <c r="J61" s="9"/>
    </row>
    <row r="62" spans="1:10" x14ac:dyDescent="0.25">
      <c r="A62" s="20" t="s">
        <v>76</v>
      </c>
      <c r="B62" s="20"/>
      <c r="C62" s="16">
        <v>111.16</v>
      </c>
      <c r="D62" s="16">
        <v>106.25</v>
      </c>
      <c r="E62" s="16">
        <v>114.69</v>
      </c>
      <c r="F62" s="16">
        <v>78.319999999999993</v>
      </c>
      <c r="G62" s="16">
        <f>12/10*C62</f>
        <v>133.392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2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189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2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3611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130</v>
      </c>
      <c r="F9" s="10"/>
      <c r="G9" s="10">
        <f t="shared" ref="G9:G42" si="0">SUM(C9:F9)</f>
        <v>130</v>
      </c>
      <c r="H9" s="16">
        <f t="shared" ref="H9:H42" si="1">ROUND(G9/3611,2)</f>
        <v>0.04</v>
      </c>
      <c r="I9" s="15">
        <f t="shared" ref="I9:I42" si="2">ROUND(G9/$G$43,3)</f>
        <v>0</v>
      </c>
      <c r="J9" s="15">
        <f>ROUND(G9/57-1,2)</f>
        <v>1.28</v>
      </c>
    </row>
    <row r="10" spans="1:10" x14ac:dyDescent="0.25">
      <c r="A10" s="1" t="s">
        <v>16</v>
      </c>
      <c r="B10" s="1" t="s">
        <v>19</v>
      </c>
      <c r="C10" s="10">
        <v>100790</v>
      </c>
      <c r="D10" s="10"/>
      <c r="E10" s="10">
        <v>4080</v>
      </c>
      <c r="F10" s="10">
        <v>170</v>
      </c>
      <c r="G10" s="10">
        <f t="shared" si="0"/>
        <v>105040</v>
      </c>
      <c r="H10" s="16">
        <f t="shared" si="1"/>
        <v>29.09</v>
      </c>
      <c r="I10" s="15">
        <f t="shared" si="2"/>
        <v>9.2999999999999999E-2</v>
      </c>
      <c r="J10" s="15">
        <f>ROUND(G10/100910-1,2)</f>
        <v>0.04</v>
      </c>
    </row>
    <row r="11" spans="1:10" x14ac:dyDescent="0.25">
      <c r="A11" s="1" t="s">
        <v>16</v>
      </c>
      <c r="B11" s="1" t="s">
        <v>20</v>
      </c>
      <c r="C11" s="10">
        <v>105570</v>
      </c>
      <c r="D11" s="10"/>
      <c r="E11" s="10"/>
      <c r="F11" s="10"/>
      <c r="G11" s="10">
        <f t="shared" si="0"/>
        <v>105570</v>
      </c>
      <c r="H11" s="16">
        <f t="shared" si="1"/>
        <v>29.24</v>
      </c>
      <c r="I11" s="15">
        <f t="shared" si="2"/>
        <v>9.4E-2</v>
      </c>
      <c r="J11" s="15">
        <f>ROUND(G11/113680-1,2)</f>
        <v>-7.0000000000000007E-2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168</v>
      </c>
      <c r="F12" s="10"/>
      <c r="G12" s="10">
        <f t="shared" si="0"/>
        <v>168</v>
      </c>
      <c r="H12" s="16">
        <f t="shared" si="1"/>
        <v>0.05</v>
      </c>
      <c r="I12" s="15">
        <f t="shared" si="2"/>
        <v>0</v>
      </c>
      <c r="J12" s="15">
        <f>ROUND(G12/102-1,2)</f>
        <v>0.65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637</v>
      </c>
      <c r="F13" s="10"/>
      <c r="G13" s="10">
        <f t="shared" si="0"/>
        <v>637</v>
      </c>
      <c r="H13" s="16">
        <f t="shared" si="1"/>
        <v>0.18</v>
      </c>
      <c r="I13" s="15">
        <f t="shared" si="2"/>
        <v>1E-3</v>
      </c>
      <c r="J13" s="15">
        <f>ROUND(G13/252-1,2)</f>
        <v>1.53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1280</v>
      </c>
      <c r="F14" s="10"/>
      <c r="G14" s="10">
        <f t="shared" si="0"/>
        <v>1280</v>
      </c>
      <c r="H14" s="16">
        <f t="shared" si="1"/>
        <v>0.35</v>
      </c>
      <c r="I14" s="15">
        <f t="shared" si="2"/>
        <v>1E-3</v>
      </c>
      <c r="J14" s="15">
        <f>ROUND(G14/2260-1,2)</f>
        <v>-0.43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122660</v>
      </c>
      <c r="F15" s="10"/>
      <c r="G15" s="10">
        <f t="shared" si="0"/>
        <v>122660</v>
      </c>
      <c r="H15" s="16">
        <f t="shared" si="1"/>
        <v>33.97</v>
      </c>
      <c r="I15" s="15">
        <f t="shared" si="2"/>
        <v>0.109</v>
      </c>
      <c r="J15" s="15">
        <f>ROUND(G15/20940-1,2)</f>
        <v>4.8600000000000003</v>
      </c>
    </row>
    <row r="16" spans="1:10" x14ac:dyDescent="0.25">
      <c r="A16" s="1" t="s">
        <v>16</v>
      </c>
      <c r="B16" s="1" t="s">
        <v>24</v>
      </c>
      <c r="C16" s="10">
        <v>131260</v>
      </c>
      <c r="D16" s="10"/>
      <c r="E16" s="10">
        <v>15560</v>
      </c>
      <c r="F16" s="10"/>
      <c r="G16" s="10">
        <f t="shared" si="0"/>
        <v>146820</v>
      </c>
      <c r="H16" s="16">
        <f t="shared" si="1"/>
        <v>40.659999999999997</v>
      </c>
      <c r="I16" s="15">
        <f t="shared" si="2"/>
        <v>0.13</v>
      </c>
      <c r="J16" s="15">
        <f>ROUND(G16/147940-1,2)</f>
        <v>-0.01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12390</v>
      </c>
      <c r="F17" s="10"/>
      <c r="G17" s="10">
        <f t="shared" si="0"/>
        <v>12390</v>
      </c>
      <c r="H17" s="16">
        <f t="shared" si="1"/>
        <v>3.43</v>
      </c>
      <c r="I17" s="15">
        <f t="shared" si="2"/>
        <v>1.0999999999999999E-2</v>
      </c>
      <c r="J17" s="15">
        <f>ROUND(G17/6300-1,2)</f>
        <v>0.97</v>
      </c>
    </row>
    <row r="18" spans="1:10" x14ac:dyDescent="0.25">
      <c r="A18" s="1" t="s">
        <v>16</v>
      </c>
      <c r="B18" s="1" t="s">
        <v>26</v>
      </c>
      <c r="C18" s="10">
        <v>164590</v>
      </c>
      <c r="D18" s="10"/>
      <c r="E18" s="10"/>
      <c r="F18" s="10">
        <v>1530</v>
      </c>
      <c r="G18" s="10">
        <f t="shared" si="0"/>
        <v>166120</v>
      </c>
      <c r="H18" s="16">
        <f t="shared" si="1"/>
        <v>46</v>
      </c>
      <c r="I18" s="15">
        <f t="shared" si="2"/>
        <v>0.14699999999999999</v>
      </c>
      <c r="J18" s="15">
        <f>ROUND(G18/156380-1,2)</f>
        <v>0.06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926</v>
      </c>
      <c r="F19" s="10"/>
      <c r="G19" s="10">
        <f t="shared" si="0"/>
        <v>926</v>
      </c>
      <c r="H19" s="16">
        <f t="shared" si="1"/>
        <v>0.26</v>
      </c>
      <c r="I19" s="15">
        <f t="shared" si="2"/>
        <v>1E-3</v>
      </c>
      <c r="J19" s="15">
        <f>ROUND(G19/661-1,2)</f>
        <v>0.4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904</v>
      </c>
      <c r="F20" s="10"/>
      <c r="G20" s="10">
        <f t="shared" si="0"/>
        <v>904</v>
      </c>
      <c r="H20" s="16">
        <f t="shared" si="1"/>
        <v>0.25</v>
      </c>
      <c r="I20" s="15">
        <f t="shared" si="2"/>
        <v>1E-3</v>
      </c>
      <c r="J20" s="15">
        <f>ROUND(G20/620-1,2)</f>
        <v>0.46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93</v>
      </c>
      <c r="F21" s="10"/>
      <c r="G21" s="10">
        <f t="shared" si="0"/>
        <v>93</v>
      </c>
      <c r="H21" s="16">
        <f t="shared" si="1"/>
        <v>0.03</v>
      </c>
      <c r="I21" s="15">
        <f t="shared" si="2"/>
        <v>0</v>
      </c>
      <c r="J21" s="15">
        <f>ROUND(G21/144-1,2)</f>
        <v>-0.35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3880</v>
      </c>
      <c r="F22" s="10"/>
      <c r="G22" s="10">
        <f t="shared" si="0"/>
        <v>3880</v>
      </c>
      <c r="H22" s="16">
        <f t="shared" si="1"/>
        <v>1.07</v>
      </c>
      <c r="I22" s="15">
        <f t="shared" si="2"/>
        <v>3.0000000000000001E-3</v>
      </c>
      <c r="J22" s="15">
        <f>ROUND(G22/5640-1,2)</f>
        <v>-0.31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1330</v>
      </c>
      <c r="F23" s="10"/>
      <c r="G23" s="10">
        <f t="shared" si="0"/>
        <v>1330</v>
      </c>
      <c r="H23" s="16">
        <f t="shared" si="1"/>
        <v>0.37</v>
      </c>
      <c r="I23" s="15">
        <f t="shared" si="2"/>
        <v>1E-3</v>
      </c>
      <c r="J23" s="15">
        <f>ROUND(G23/1060-1,2)</f>
        <v>0.25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850</v>
      </c>
      <c r="F24" s="10"/>
      <c r="G24" s="10">
        <f t="shared" si="0"/>
        <v>850</v>
      </c>
      <c r="H24" s="16">
        <f t="shared" si="1"/>
        <v>0.24</v>
      </c>
      <c r="I24" s="15">
        <f t="shared" si="2"/>
        <v>1E-3</v>
      </c>
      <c r="J24" s="15">
        <f>ROUND(G24/530-1,2)</f>
        <v>0.6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2155</v>
      </c>
      <c r="F25" s="10"/>
      <c r="G25" s="10">
        <f t="shared" si="0"/>
        <v>2155</v>
      </c>
      <c r="H25" s="16">
        <f t="shared" si="1"/>
        <v>0.6</v>
      </c>
      <c r="I25" s="15">
        <f t="shared" si="2"/>
        <v>2E-3</v>
      </c>
      <c r="J25" s="15">
        <f>ROUND(G25/745-1,2)</f>
        <v>1.89</v>
      </c>
    </row>
    <row r="26" spans="1:10" x14ac:dyDescent="0.25">
      <c r="A26" s="1" t="s">
        <v>16</v>
      </c>
      <c r="B26" s="1" t="s">
        <v>33</v>
      </c>
      <c r="C26" s="10"/>
      <c r="D26" s="10">
        <v>181</v>
      </c>
      <c r="E26" s="10">
        <v>104</v>
      </c>
      <c r="F26" s="10"/>
      <c r="G26" s="10">
        <f t="shared" si="0"/>
        <v>285</v>
      </c>
      <c r="H26" s="16">
        <f t="shared" si="1"/>
        <v>0.08</v>
      </c>
      <c r="I26" s="15">
        <f t="shared" si="2"/>
        <v>0</v>
      </c>
      <c r="J26" s="15">
        <f>ROUND(G26/183-1,2)</f>
        <v>0.56000000000000005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600</v>
      </c>
      <c r="F27" s="10"/>
      <c r="G27" s="10">
        <f t="shared" si="0"/>
        <v>600</v>
      </c>
      <c r="H27" s="16">
        <f t="shared" si="1"/>
        <v>0.17</v>
      </c>
      <c r="I27" s="15">
        <f t="shared" si="2"/>
        <v>1E-3</v>
      </c>
      <c r="J27" s="15"/>
    </row>
    <row r="28" spans="1:10" x14ac:dyDescent="0.25">
      <c r="A28" s="1" t="s">
        <v>16</v>
      </c>
      <c r="B28" s="1" t="s">
        <v>35</v>
      </c>
      <c r="C28" s="10"/>
      <c r="D28" s="10"/>
      <c r="E28" s="10">
        <v>190</v>
      </c>
      <c r="F28" s="10"/>
      <c r="G28" s="10">
        <f t="shared" si="0"/>
        <v>190</v>
      </c>
      <c r="H28" s="16">
        <f t="shared" si="1"/>
        <v>0.05</v>
      </c>
      <c r="I28" s="15">
        <f t="shared" si="2"/>
        <v>0</v>
      </c>
      <c r="J28" s="15">
        <f>ROUND(G28/741-1,2)</f>
        <v>-0.74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4330</v>
      </c>
      <c r="F29" s="10"/>
      <c r="G29" s="10">
        <f t="shared" si="0"/>
        <v>4330</v>
      </c>
      <c r="H29" s="16">
        <f t="shared" si="1"/>
        <v>1.2</v>
      </c>
      <c r="I29" s="15">
        <f t="shared" si="2"/>
        <v>4.0000000000000001E-3</v>
      </c>
      <c r="J29" s="15">
        <f>ROUND(G29/2320-1,2)</f>
        <v>0.87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11180</v>
      </c>
      <c r="F30" s="10"/>
      <c r="G30" s="10">
        <f t="shared" si="0"/>
        <v>11180</v>
      </c>
      <c r="H30" s="16">
        <f t="shared" si="1"/>
        <v>3.1</v>
      </c>
      <c r="I30" s="15">
        <f t="shared" si="2"/>
        <v>0.01</v>
      </c>
      <c r="J30" s="15">
        <f>ROUND(G30/6277-1,2)</f>
        <v>0.78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85710</v>
      </c>
      <c r="F31" s="10"/>
      <c r="G31" s="10">
        <f t="shared" si="0"/>
        <v>85710</v>
      </c>
      <c r="H31" s="16">
        <f t="shared" si="1"/>
        <v>23.74</v>
      </c>
      <c r="I31" s="15">
        <f t="shared" si="2"/>
        <v>7.5999999999999998E-2</v>
      </c>
      <c r="J31" s="15">
        <f>ROUND(G31/45100-1,2)</f>
        <v>0.9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5420</v>
      </c>
      <c r="F32" s="10"/>
      <c r="G32" s="10">
        <f t="shared" si="0"/>
        <v>5420</v>
      </c>
      <c r="H32" s="16">
        <f t="shared" si="1"/>
        <v>1.5</v>
      </c>
      <c r="I32" s="15">
        <f t="shared" si="2"/>
        <v>5.0000000000000001E-3</v>
      </c>
      <c r="J32" s="15">
        <f>ROUND(G32/8945-1,2)</f>
        <v>-0.39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21780</v>
      </c>
      <c r="F33" s="10"/>
      <c r="G33" s="10">
        <f t="shared" si="0"/>
        <v>21780</v>
      </c>
      <c r="H33" s="16">
        <f t="shared" si="1"/>
        <v>6.03</v>
      </c>
      <c r="I33" s="15">
        <f t="shared" si="2"/>
        <v>1.9E-2</v>
      </c>
      <c r="J33" s="15">
        <f>ROUND(G33/18600-1,2)</f>
        <v>0.17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99960</v>
      </c>
      <c r="F34" s="10"/>
      <c r="G34" s="10">
        <f t="shared" si="0"/>
        <v>99960</v>
      </c>
      <c r="H34" s="16">
        <f t="shared" si="1"/>
        <v>27.68</v>
      </c>
      <c r="I34" s="15">
        <f t="shared" si="2"/>
        <v>8.8999999999999996E-2</v>
      </c>
      <c r="J34" s="15">
        <f>ROUND(G34/50770-1,2)</f>
        <v>0.97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ROUND(G35/4619-1,2)</f>
        <v>-1</v>
      </c>
    </row>
    <row r="36" spans="1:10" x14ac:dyDescent="0.25">
      <c r="A36" s="1" t="s">
        <v>44</v>
      </c>
      <c r="B36" s="1" t="s">
        <v>45</v>
      </c>
      <c r="C36" s="10">
        <v>143750</v>
      </c>
      <c r="D36" s="10"/>
      <c r="E36" s="10"/>
      <c r="F36" s="10"/>
      <c r="G36" s="10">
        <f t="shared" si="0"/>
        <v>143750</v>
      </c>
      <c r="H36" s="16">
        <f t="shared" si="1"/>
        <v>39.81</v>
      </c>
      <c r="I36" s="15">
        <f t="shared" si="2"/>
        <v>0.127</v>
      </c>
      <c r="J36" s="15">
        <f>ROUND(G36/138190-1,2)</f>
        <v>0.04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13690</v>
      </c>
      <c r="G37" s="10">
        <f t="shared" si="0"/>
        <v>13690</v>
      </c>
      <c r="H37" s="16">
        <f t="shared" si="1"/>
        <v>3.79</v>
      </c>
      <c r="I37" s="15">
        <f t="shared" si="2"/>
        <v>1.2E-2</v>
      </c>
      <c r="J37" s="15">
        <f>ROUND(G37/8820-1,2)</f>
        <v>0.55000000000000004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70760</v>
      </c>
      <c r="F38" s="10"/>
      <c r="G38" s="10">
        <f t="shared" si="0"/>
        <v>70760</v>
      </c>
      <c r="H38" s="16">
        <f t="shared" si="1"/>
        <v>19.600000000000001</v>
      </c>
      <c r="I38" s="15">
        <f t="shared" si="2"/>
        <v>6.3E-2</v>
      </c>
      <c r="J38" s="15">
        <f>ROUND(G38/37460-1,2)</f>
        <v>0.89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86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5" t="s">
        <v>12</v>
      </c>
      <c r="B43" s="25"/>
      <c r="C43" s="11">
        <f t="shared" ref="C43:H43" si="3">SUM(C8:C42)</f>
        <v>645960</v>
      </c>
      <c r="D43" s="11">
        <f t="shared" si="3"/>
        <v>181</v>
      </c>
      <c r="E43" s="11">
        <f t="shared" si="3"/>
        <v>467077</v>
      </c>
      <c r="F43" s="11">
        <f t="shared" si="3"/>
        <v>15390</v>
      </c>
      <c r="G43" s="11">
        <f t="shared" si="3"/>
        <v>1128608</v>
      </c>
      <c r="H43" s="14">
        <f t="shared" si="3"/>
        <v>312.58000000000004</v>
      </c>
      <c r="I43" s="17"/>
      <c r="J43" s="17"/>
    </row>
    <row r="44" spans="1:10" x14ac:dyDescent="0.25">
      <c r="A44" s="25" t="s">
        <v>14</v>
      </c>
      <c r="B44" s="25"/>
      <c r="C44" s="12">
        <f>ROUND(C43/G43,2)</f>
        <v>0.56999999999999995</v>
      </c>
      <c r="D44" s="12">
        <f>ROUND(D43/G43,2)</f>
        <v>0</v>
      </c>
      <c r="E44" s="12">
        <f>ROUND(E43/G43,2)</f>
        <v>0.41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5" t="s">
        <v>53</v>
      </c>
      <c r="B49" s="25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0" t="s">
        <v>54</v>
      </c>
      <c r="B50" s="20"/>
      <c r="C50" s="10">
        <v>502210</v>
      </c>
      <c r="D50" s="10">
        <v>181</v>
      </c>
      <c r="E50" s="10">
        <v>396317</v>
      </c>
      <c r="F50" s="10">
        <v>1700</v>
      </c>
      <c r="G50" s="10">
        <f>SUM(C50:F50)</f>
        <v>900408</v>
      </c>
      <c r="H50" s="16">
        <f>ROUND(G50/3611,2)</f>
        <v>249.35</v>
      </c>
      <c r="I50" s="9"/>
      <c r="J50" s="9"/>
    </row>
    <row r="51" spans="1:10" x14ac:dyDescent="0.25">
      <c r="A51" s="20" t="s">
        <v>55</v>
      </c>
      <c r="B51" s="20"/>
      <c r="C51" s="10">
        <v>143750</v>
      </c>
      <c r="D51" s="10">
        <v>0</v>
      </c>
      <c r="E51" s="10">
        <v>70760</v>
      </c>
      <c r="F51" s="10">
        <v>13690</v>
      </c>
      <c r="G51" s="10">
        <f>SUM(C51:F51)</f>
        <v>228200</v>
      </c>
      <c r="H51" s="16">
        <f>ROUND(G51/3611,2)</f>
        <v>63.2</v>
      </c>
      <c r="I51" s="9"/>
      <c r="J51" s="9"/>
    </row>
    <row r="52" spans="1:10" x14ac:dyDescent="0.25">
      <c r="A52" s="20" t="s">
        <v>56</v>
      </c>
      <c r="B52" s="20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ROUND(G52/3611,2)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57</v>
      </c>
      <c r="B57" s="25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0" t="s">
        <v>58</v>
      </c>
      <c r="B58" s="20"/>
      <c r="C58" s="15">
        <f>ROUND(0.8547, 4)</f>
        <v>0.85470000000000002</v>
      </c>
      <c r="D58" s="15">
        <f>ROUND(0.8455, 4)</f>
        <v>0.84550000000000003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3" t="s">
        <v>64</v>
      </c>
      <c r="J58" s="23" t="s">
        <v>65</v>
      </c>
    </row>
    <row r="59" spans="1:10" x14ac:dyDescent="0.25">
      <c r="A59" s="20" t="s">
        <v>66</v>
      </c>
      <c r="B59" s="20"/>
      <c r="C59" s="15">
        <f>ROUND(0.8412, 4)</f>
        <v>0.84119999999999995</v>
      </c>
      <c r="D59" s="15">
        <f>ROUND(0.8324, 4)</f>
        <v>0.83240000000000003</v>
      </c>
      <c r="E59" s="15">
        <f>ROUND(0.7608, 4)</f>
        <v>0.76080000000000003</v>
      </c>
      <c r="F59" s="8"/>
      <c r="G59" s="14" t="s">
        <v>67</v>
      </c>
      <c r="H59" s="27"/>
      <c r="I59" s="24"/>
      <c r="J59" s="24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5" t="s">
        <v>68</v>
      </c>
      <c r="B63" s="25"/>
      <c r="C63" s="14" t="s">
        <v>2</v>
      </c>
      <c r="D63" s="14" t="s">
        <v>191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0" t="s">
        <v>73</v>
      </c>
      <c r="B64" s="20"/>
      <c r="C64" s="16">
        <v>39.81</v>
      </c>
      <c r="D64" s="16">
        <v>42.7</v>
      </c>
      <c r="E64" s="16">
        <v>91.13</v>
      </c>
      <c r="F64" s="16">
        <v>54.95</v>
      </c>
      <c r="G64" s="16">
        <f>12/10*C64</f>
        <v>47.771999999999998</v>
      </c>
      <c r="H64" s="8"/>
      <c r="I64" s="9"/>
      <c r="J64" s="9"/>
    </row>
    <row r="65" spans="1:10" x14ac:dyDescent="0.25">
      <c r="A65" s="20" t="s">
        <v>74</v>
      </c>
      <c r="B65" s="20"/>
      <c r="C65" s="16">
        <v>46</v>
      </c>
      <c r="D65" s="16">
        <v>53.62</v>
      </c>
      <c r="E65" s="16">
        <v>61.18</v>
      </c>
      <c r="F65" s="16">
        <v>62.89</v>
      </c>
      <c r="G65" s="16">
        <f>12/10*C65</f>
        <v>55.199999999999996</v>
      </c>
      <c r="H65" s="8"/>
      <c r="I65" s="9"/>
      <c r="J65" s="9"/>
    </row>
    <row r="66" spans="1:10" x14ac:dyDescent="0.25">
      <c r="A66" s="20" t="s">
        <v>75</v>
      </c>
      <c r="B66" s="20"/>
      <c r="C66" s="16">
        <v>272.41000000000003</v>
      </c>
      <c r="D66" s="16">
        <v>274.20999999999998</v>
      </c>
      <c r="E66" s="16">
        <v>287.25</v>
      </c>
      <c r="F66" s="16">
        <v>278.91000000000003</v>
      </c>
      <c r="G66" s="16">
        <f>12/10*C66</f>
        <v>326.892</v>
      </c>
      <c r="H66" s="8"/>
      <c r="I66" s="9"/>
      <c r="J66" s="9"/>
    </row>
    <row r="67" spans="1:10" x14ac:dyDescent="0.25">
      <c r="A67" s="20" t="s">
        <v>76</v>
      </c>
      <c r="B67" s="20"/>
      <c r="C67" s="16">
        <v>63.2</v>
      </c>
      <c r="D67" s="16">
        <v>69.099999999999994</v>
      </c>
      <c r="E67" s="16">
        <v>114.69</v>
      </c>
      <c r="F67" s="16">
        <v>78.319999999999993</v>
      </c>
      <c r="G67" s="16">
        <f>12/10*C67</f>
        <v>75.84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2"/>
    </row>
    <row r="71" spans="1:10" x14ac:dyDescent="0.25">
      <c r="A71" s="3" t="s">
        <v>77</v>
      </c>
      <c r="B71" s="1" t="s">
        <v>192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17470</v>
      </c>
      <c r="D9" s="10"/>
      <c r="E9" s="10"/>
      <c r="F9" s="10"/>
      <c r="G9" s="10">
        <f t="shared" ref="G9:G37" si="0">SUM(C9:F9)</f>
        <v>17470</v>
      </c>
      <c r="H9" s="16">
        <f t="shared" ref="H9:H37" si="1">ROUND(G9/600,2)</f>
        <v>29.12</v>
      </c>
      <c r="I9" s="15">
        <f t="shared" ref="I9:I37" si="2">ROUND(G9/$G$38,3)</f>
        <v>9.0999999999999998E-2</v>
      </c>
      <c r="J9" s="15">
        <f>ROUND(G9/16060-1,2)</f>
        <v>0.09</v>
      </c>
    </row>
    <row r="10" spans="1:10" x14ac:dyDescent="0.25">
      <c r="A10" s="1" t="s">
        <v>16</v>
      </c>
      <c r="B10" s="1" t="s">
        <v>20</v>
      </c>
      <c r="C10" s="10">
        <v>24220</v>
      </c>
      <c r="D10" s="10"/>
      <c r="E10" s="10"/>
      <c r="F10" s="10"/>
      <c r="G10" s="10">
        <f t="shared" si="0"/>
        <v>24220</v>
      </c>
      <c r="H10" s="16">
        <f t="shared" si="1"/>
        <v>40.369999999999997</v>
      </c>
      <c r="I10" s="15">
        <f t="shared" si="2"/>
        <v>0.126</v>
      </c>
      <c r="J10" s="15">
        <f>ROUND(G10/30000-1,2)</f>
        <v>-0.19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60</v>
      </c>
      <c r="F11" s="10"/>
      <c r="G11" s="10">
        <f t="shared" si="0"/>
        <v>60</v>
      </c>
      <c r="H11" s="16">
        <f t="shared" si="1"/>
        <v>0.1</v>
      </c>
      <c r="I11" s="15">
        <f t="shared" si="2"/>
        <v>0</v>
      </c>
      <c r="J11" s="15">
        <f>ROUND(G11/91-1,2)</f>
        <v>-0.34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14460</v>
      </c>
      <c r="F12" s="10"/>
      <c r="G12" s="10">
        <f t="shared" si="0"/>
        <v>14460</v>
      </c>
      <c r="H12" s="16">
        <f t="shared" si="1"/>
        <v>24.1</v>
      </c>
      <c r="I12" s="15">
        <f t="shared" si="2"/>
        <v>7.4999999999999997E-2</v>
      </c>
      <c r="J12" s="15">
        <f>ROUND(G12/7380-1,2)</f>
        <v>0.96</v>
      </c>
    </row>
    <row r="13" spans="1:10" x14ac:dyDescent="0.25">
      <c r="A13" s="1" t="s">
        <v>16</v>
      </c>
      <c r="B13" s="1" t="s">
        <v>24</v>
      </c>
      <c r="C13" s="10">
        <v>20520</v>
      </c>
      <c r="D13" s="10"/>
      <c r="E13" s="10"/>
      <c r="F13" s="10"/>
      <c r="G13" s="10">
        <f t="shared" si="0"/>
        <v>20520</v>
      </c>
      <c r="H13" s="16">
        <f t="shared" si="1"/>
        <v>34.200000000000003</v>
      </c>
      <c r="I13" s="15">
        <f t="shared" si="2"/>
        <v>0.106</v>
      </c>
      <c r="J13" s="15">
        <f>ROUND(G13/20380-1,2)</f>
        <v>0.01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950</v>
      </c>
      <c r="F14" s="10"/>
      <c r="G14" s="10">
        <f t="shared" si="0"/>
        <v>950</v>
      </c>
      <c r="H14" s="16">
        <f t="shared" si="1"/>
        <v>1.58</v>
      </c>
      <c r="I14" s="15">
        <f t="shared" si="2"/>
        <v>5.0000000000000001E-3</v>
      </c>
      <c r="J14" s="15">
        <f>ROUND(G14/1550-1,2)</f>
        <v>-0.39</v>
      </c>
    </row>
    <row r="15" spans="1:10" x14ac:dyDescent="0.25">
      <c r="A15" s="1" t="s">
        <v>16</v>
      </c>
      <c r="B15" s="1" t="s">
        <v>26</v>
      </c>
      <c r="C15" s="10">
        <v>22240</v>
      </c>
      <c r="D15" s="10"/>
      <c r="E15" s="10"/>
      <c r="F15" s="10"/>
      <c r="G15" s="10">
        <f t="shared" si="0"/>
        <v>22240</v>
      </c>
      <c r="H15" s="16">
        <f t="shared" si="1"/>
        <v>37.07</v>
      </c>
      <c r="I15" s="15">
        <f t="shared" si="2"/>
        <v>0.115</v>
      </c>
      <c r="J15" s="15">
        <f>ROUND(G15/22200-1,2)</f>
        <v>0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579</v>
      </c>
      <c r="F16" s="10"/>
      <c r="G16" s="10">
        <f t="shared" si="0"/>
        <v>579</v>
      </c>
      <c r="H16" s="16">
        <f t="shared" si="1"/>
        <v>0.97</v>
      </c>
      <c r="I16" s="15">
        <f t="shared" si="2"/>
        <v>3.0000000000000001E-3</v>
      </c>
      <c r="J16" s="15">
        <f>ROUND(G16/822-1,2)</f>
        <v>-0.3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265</v>
      </c>
      <c r="F17" s="10"/>
      <c r="G17" s="10">
        <f t="shared" si="0"/>
        <v>265</v>
      </c>
      <c r="H17" s="16">
        <f t="shared" si="1"/>
        <v>0.44</v>
      </c>
      <c r="I17" s="15">
        <f t="shared" si="2"/>
        <v>1E-3</v>
      </c>
      <c r="J17" s="15">
        <f>ROUND(G17/400-1,2)</f>
        <v>-0.34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1030</v>
      </c>
      <c r="F18" s="10"/>
      <c r="G18" s="10">
        <f t="shared" si="0"/>
        <v>1030</v>
      </c>
      <c r="H18" s="16">
        <f t="shared" si="1"/>
        <v>1.72</v>
      </c>
      <c r="I18" s="15">
        <f t="shared" si="2"/>
        <v>5.0000000000000001E-3</v>
      </c>
      <c r="J18" s="15">
        <f>ROUND(G18/1680-1,2)</f>
        <v>-0.39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200</v>
      </c>
      <c r="F19" s="10"/>
      <c r="G19" s="10">
        <f t="shared" si="0"/>
        <v>200</v>
      </c>
      <c r="H19" s="16">
        <f t="shared" si="1"/>
        <v>0.33</v>
      </c>
      <c r="I19" s="15">
        <f t="shared" si="2"/>
        <v>1E-3</v>
      </c>
      <c r="J19" s="15">
        <f>ROUND(G19/180-1,2)</f>
        <v>0.11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600</v>
      </c>
      <c r="F20" s="10"/>
      <c r="G20" s="10">
        <f t="shared" si="0"/>
        <v>600</v>
      </c>
      <c r="H20" s="16">
        <f t="shared" si="1"/>
        <v>1</v>
      </c>
      <c r="I20" s="15">
        <f t="shared" si="2"/>
        <v>3.0000000000000001E-3</v>
      </c>
      <c r="J20" s="15">
        <f>ROUND(G20/605-1,2)</f>
        <v>-0.01</v>
      </c>
    </row>
    <row r="21" spans="1:10" x14ac:dyDescent="0.25">
      <c r="A21" s="1" t="s">
        <v>16</v>
      </c>
      <c r="B21" s="1" t="s">
        <v>33</v>
      </c>
      <c r="C21" s="10"/>
      <c r="D21" s="10">
        <v>52</v>
      </c>
      <c r="E21" s="10">
        <v>15</v>
      </c>
      <c r="F21" s="10"/>
      <c r="G21" s="10">
        <f t="shared" si="0"/>
        <v>67</v>
      </c>
      <c r="H21" s="16">
        <f t="shared" si="1"/>
        <v>0.11</v>
      </c>
      <c r="I21" s="15">
        <f t="shared" si="2"/>
        <v>0</v>
      </c>
      <c r="J21" s="15">
        <f>ROUND(G21/73-1,2)</f>
        <v>-0.08</v>
      </c>
    </row>
    <row r="22" spans="1:10" x14ac:dyDescent="0.25">
      <c r="A22" s="1" t="s">
        <v>16</v>
      </c>
      <c r="B22" s="1" t="s">
        <v>35</v>
      </c>
      <c r="C22" s="10"/>
      <c r="D22" s="10"/>
      <c r="E22" s="10">
        <v>160</v>
      </c>
      <c r="F22" s="10"/>
      <c r="G22" s="10">
        <f t="shared" si="0"/>
        <v>160</v>
      </c>
      <c r="H22" s="16">
        <f t="shared" si="1"/>
        <v>0.27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37</v>
      </c>
      <c r="C23" s="10"/>
      <c r="D23" s="10"/>
      <c r="E23" s="10">
        <v>750</v>
      </c>
      <c r="F23" s="10"/>
      <c r="G23" s="10">
        <f t="shared" si="0"/>
        <v>750</v>
      </c>
      <c r="H23" s="16">
        <f t="shared" si="1"/>
        <v>1.25</v>
      </c>
      <c r="I23" s="15">
        <f t="shared" si="2"/>
        <v>4.0000000000000001E-3</v>
      </c>
      <c r="J23" s="15">
        <f>ROUND(G23/1640-1,2)</f>
        <v>-0.54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21360</v>
      </c>
      <c r="F24" s="10"/>
      <c r="G24" s="10">
        <f t="shared" si="0"/>
        <v>21360</v>
      </c>
      <c r="H24" s="16">
        <f t="shared" si="1"/>
        <v>35.6</v>
      </c>
      <c r="I24" s="15">
        <f t="shared" si="2"/>
        <v>0.111</v>
      </c>
      <c r="J24" s="15">
        <f>ROUND(G24/11220-1,2)</f>
        <v>0.9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1910</v>
      </c>
      <c r="F25" s="10"/>
      <c r="G25" s="10">
        <f t="shared" si="0"/>
        <v>1910</v>
      </c>
      <c r="H25" s="16">
        <f t="shared" si="1"/>
        <v>3.18</v>
      </c>
      <c r="I25" s="15">
        <f t="shared" si="2"/>
        <v>0.01</v>
      </c>
      <c r="J25" s="15">
        <f>ROUND(G25/2600-1,2)</f>
        <v>-0.27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6940</v>
      </c>
      <c r="F26" s="10"/>
      <c r="G26" s="10">
        <f t="shared" si="0"/>
        <v>6940</v>
      </c>
      <c r="H26" s="16">
        <f t="shared" si="1"/>
        <v>11.57</v>
      </c>
      <c r="I26" s="15">
        <f t="shared" si="2"/>
        <v>3.5999999999999997E-2</v>
      </c>
      <c r="J26" s="15">
        <f>ROUND(G26/7810-1,2)</f>
        <v>-0.11</v>
      </c>
    </row>
    <row r="27" spans="1:10" x14ac:dyDescent="0.25">
      <c r="A27" s="1" t="s">
        <v>16</v>
      </c>
      <c r="B27" s="1" t="s">
        <v>36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ROUND(G27/900-1,2)</f>
        <v>-1</v>
      </c>
    </row>
    <row r="28" spans="1:10" x14ac:dyDescent="0.25">
      <c r="A28" s="1" t="s">
        <v>16</v>
      </c>
      <c r="B28" s="1" t="s">
        <v>43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ROUND(G28/700-1,2)</f>
        <v>-1</v>
      </c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95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34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ROUND(G32/800-1,2)</f>
        <v>-1</v>
      </c>
    </row>
    <row r="33" spans="1:10" x14ac:dyDescent="0.25">
      <c r="A33" s="1" t="s">
        <v>16</v>
      </c>
      <c r="B33" s="1" t="s">
        <v>194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45215</v>
      </c>
      <c r="D35" s="10"/>
      <c r="E35" s="10"/>
      <c r="F35" s="10"/>
      <c r="G35" s="10">
        <f t="shared" si="0"/>
        <v>45215</v>
      </c>
      <c r="H35" s="16">
        <f t="shared" si="1"/>
        <v>75.36</v>
      </c>
      <c r="I35" s="15">
        <f t="shared" si="2"/>
        <v>0.23499999999999999</v>
      </c>
      <c r="J35" s="15">
        <f>ROUND(G35/45645-1,2)</f>
        <v>-0.01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13780</v>
      </c>
      <c r="F36" s="10"/>
      <c r="G36" s="10">
        <f t="shared" si="0"/>
        <v>13780</v>
      </c>
      <c r="H36" s="16">
        <f t="shared" si="1"/>
        <v>22.97</v>
      </c>
      <c r="I36" s="15">
        <f t="shared" si="2"/>
        <v>7.0999999999999994E-2</v>
      </c>
      <c r="J36" s="15">
        <f>ROUND(G36/9020-1,2)</f>
        <v>0.53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5" t="s">
        <v>12</v>
      </c>
      <c r="B38" s="25"/>
      <c r="C38" s="11">
        <f t="shared" ref="C38:H38" si="3">SUM(C8:C37)</f>
        <v>129665</v>
      </c>
      <c r="D38" s="11">
        <f t="shared" si="3"/>
        <v>52</v>
      </c>
      <c r="E38" s="11">
        <f t="shared" si="3"/>
        <v>63059</v>
      </c>
      <c r="F38" s="11">
        <f t="shared" si="3"/>
        <v>0</v>
      </c>
      <c r="G38" s="11">
        <f t="shared" si="3"/>
        <v>192776</v>
      </c>
      <c r="H38" s="14">
        <f t="shared" si="3"/>
        <v>321.31000000000006</v>
      </c>
      <c r="I38" s="17"/>
      <c r="J38" s="17"/>
    </row>
    <row r="39" spans="1:10" x14ac:dyDescent="0.25">
      <c r="A39" s="25" t="s">
        <v>14</v>
      </c>
      <c r="B39" s="25"/>
      <c r="C39" s="12">
        <f>ROUND(C38/G38,2)</f>
        <v>0.67</v>
      </c>
      <c r="D39" s="12">
        <f>ROUND(D38/G38,2)</f>
        <v>0</v>
      </c>
      <c r="E39" s="12">
        <f>ROUND(E38/G38,2)</f>
        <v>0.33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53</v>
      </c>
      <c r="B44" s="25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0" t="s">
        <v>54</v>
      </c>
      <c r="B45" s="20"/>
      <c r="C45" s="10">
        <v>84450</v>
      </c>
      <c r="D45" s="10">
        <v>52</v>
      </c>
      <c r="E45" s="10">
        <v>49279</v>
      </c>
      <c r="F45" s="10">
        <v>0</v>
      </c>
      <c r="G45" s="10">
        <f>SUM(C45:F45)</f>
        <v>133781</v>
      </c>
      <c r="H45" s="16">
        <f>ROUND(G45/600,2)</f>
        <v>222.97</v>
      </c>
      <c r="I45" s="9"/>
      <c r="J45" s="9"/>
    </row>
    <row r="46" spans="1:10" x14ac:dyDescent="0.25">
      <c r="A46" s="20" t="s">
        <v>55</v>
      </c>
      <c r="B46" s="20"/>
      <c r="C46" s="10">
        <v>45215</v>
      </c>
      <c r="D46" s="10">
        <v>0</v>
      </c>
      <c r="E46" s="10">
        <v>13780</v>
      </c>
      <c r="F46" s="10">
        <v>0</v>
      </c>
      <c r="G46" s="10">
        <f>SUM(C46:F46)</f>
        <v>58995</v>
      </c>
      <c r="H46" s="16">
        <f>ROUND(G46/600,2)</f>
        <v>98.33</v>
      </c>
      <c r="I46" s="9"/>
      <c r="J46" s="9"/>
    </row>
    <row r="47" spans="1:10" x14ac:dyDescent="0.25">
      <c r="A47" s="20" t="s">
        <v>56</v>
      </c>
      <c r="B47" s="20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ROUND(G47/600,2)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57</v>
      </c>
      <c r="B52" s="25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0" t="s">
        <v>58</v>
      </c>
      <c r="B53" s="20"/>
      <c r="C53" s="15">
        <f>ROUND(0.7381, 4)</f>
        <v>0.73809999999999998</v>
      </c>
      <c r="D53" s="15">
        <f>ROUND(0.7388, 4)</f>
        <v>0.73880000000000001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3" t="s">
        <v>64</v>
      </c>
      <c r="J53" s="23" t="s">
        <v>65</v>
      </c>
    </row>
    <row r="54" spans="1:10" x14ac:dyDescent="0.25">
      <c r="A54" s="20" t="s">
        <v>66</v>
      </c>
      <c r="B54" s="20"/>
      <c r="C54" s="15">
        <f>ROUND(0.7255, 4)</f>
        <v>0.72550000000000003</v>
      </c>
      <c r="D54" s="15">
        <f>ROUND(0.7263, 4)</f>
        <v>0.72629999999999995</v>
      </c>
      <c r="E54" s="15">
        <f>ROUND(0.7608, 4)</f>
        <v>0.76080000000000003</v>
      </c>
      <c r="F54" s="8"/>
      <c r="G54" s="14" t="s">
        <v>67</v>
      </c>
      <c r="H54" s="27"/>
      <c r="I54" s="24"/>
      <c r="J54" s="24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68</v>
      </c>
      <c r="B58" s="25"/>
      <c r="C58" s="14" t="s">
        <v>2</v>
      </c>
      <c r="D58" s="14" t="s">
        <v>195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0" t="s">
        <v>73</v>
      </c>
      <c r="B59" s="20"/>
      <c r="C59" s="16">
        <v>75.36</v>
      </c>
      <c r="D59" s="16">
        <v>88.88</v>
      </c>
      <c r="E59" s="16">
        <v>91.13</v>
      </c>
      <c r="F59" s="16">
        <v>54.95</v>
      </c>
      <c r="G59" s="16">
        <f>12/10*C59</f>
        <v>90.432000000000002</v>
      </c>
      <c r="H59" s="8"/>
      <c r="I59" s="9"/>
      <c r="J59" s="9"/>
    </row>
    <row r="60" spans="1:10" x14ac:dyDescent="0.25">
      <c r="A60" s="20" t="s">
        <v>74</v>
      </c>
      <c r="B60" s="20"/>
      <c r="C60" s="16">
        <v>37.07</v>
      </c>
      <c r="D60" s="16">
        <v>41.41</v>
      </c>
      <c r="E60" s="16">
        <v>61.18</v>
      </c>
      <c r="F60" s="16">
        <v>62.89</v>
      </c>
      <c r="G60" s="16">
        <f>12/10*C60</f>
        <v>44.484000000000002</v>
      </c>
      <c r="H60" s="8"/>
      <c r="I60" s="9"/>
      <c r="J60" s="9"/>
    </row>
    <row r="61" spans="1:10" x14ac:dyDescent="0.25">
      <c r="A61" s="20" t="s">
        <v>75</v>
      </c>
      <c r="B61" s="20"/>
      <c r="C61" s="16">
        <v>222.97</v>
      </c>
      <c r="D61" s="16">
        <v>249.57</v>
      </c>
      <c r="E61" s="16">
        <v>287.25</v>
      </c>
      <c r="F61" s="16">
        <v>278.91000000000003</v>
      </c>
      <c r="G61" s="16">
        <f>12/10*C61</f>
        <v>267.56399999999996</v>
      </c>
      <c r="H61" s="8"/>
      <c r="I61" s="9"/>
      <c r="J61" s="9"/>
    </row>
    <row r="62" spans="1:10" x14ac:dyDescent="0.25">
      <c r="A62" s="20" t="s">
        <v>76</v>
      </c>
      <c r="B62" s="20"/>
      <c r="C62" s="16">
        <v>98.32</v>
      </c>
      <c r="D62" s="16">
        <v>108.32</v>
      </c>
      <c r="E62" s="16">
        <v>114.69</v>
      </c>
      <c r="F62" s="16">
        <v>78.319999999999993</v>
      </c>
      <c r="G62" s="16">
        <f>12/10*C62</f>
        <v>117.98399999999998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2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196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112" bestFit="1" customWidth="1"/>
    <col min="3" max="3" width="14.5703125" customWidth="1"/>
    <col min="4" max="4" width="34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2253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86</v>
      </c>
      <c r="F9" s="10"/>
      <c r="G9" s="10">
        <f t="shared" ref="G9:G40" si="0">SUM(C9:F9)</f>
        <v>86</v>
      </c>
      <c r="H9" s="16">
        <f t="shared" ref="H9:H40" si="1">ROUND(G9/2253,2)</f>
        <v>0.04</v>
      </c>
      <c r="I9" s="15">
        <f t="shared" ref="I9:I40" si="2">ROUND(G9/$G$41,3)</f>
        <v>0</v>
      </c>
      <c r="J9" s="15"/>
    </row>
    <row r="10" spans="1:10" x14ac:dyDescent="0.25">
      <c r="A10" s="1" t="s">
        <v>16</v>
      </c>
      <c r="B10" s="1" t="s">
        <v>19</v>
      </c>
      <c r="C10" s="10">
        <v>51780</v>
      </c>
      <c r="D10" s="10"/>
      <c r="E10" s="10">
        <v>2840</v>
      </c>
      <c r="F10" s="10"/>
      <c r="G10" s="10">
        <f t="shared" si="0"/>
        <v>54620</v>
      </c>
      <c r="H10" s="16">
        <f t="shared" si="1"/>
        <v>24.24</v>
      </c>
      <c r="I10" s="15">
        <f t="shared" si="2"/>
        <v>5.6000000000000001E-2</v>
      </c>
      <c r="J10" s="15">
        <f>ROUND(G10/53055-1,2)</f>
        <v>0.03</v>
      </c>
    </row>
    <row r="11" spans="1:10" x14ac:dyDescent="0.25">
      <c r="A11" s="1" t="s">
        <v>16</v>
      </c>
      <c r="B11" s="1" t="s">
        <v>20</v>
      </c>
      <c r="C11" s="10">
        <v>73470</v>
      </c>
      <c r="D11" s="10"/>
      <c r="E11" s="10"/>
      <c r="F11" s="10"/>
      <c r="G11" s="10">
        <f t="shared" si="0"/>
        <v>73470</v>
      </c>
      <c r="H11" s="16">
        <f t="shared" si="1"/>
        <v>32.61</v>
      </c>
      <c r="I11" s="15">
        <f t="shared" si="2"/>
        <v>7.5999999999999998E-2</v>
      </c>
      <c r="J11" s="15">
        <f>ROUND(G11/74340-1,2)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229</v>
      </c>
      <c r="F12" s="10"/>
      <c r="G12" s="10">
        <f t="shared" si="0"/>
        <v>229</v>
      </c>
      <c r="H12" s="16">
        <f t="shared" si="1"/>
        <v>0.1</v>
      </c>
      <c r="I12" s="15">
        <f t="shared" si="2"/>
        <v>0</v>
      </c>
      <c r="J12" s="15">
        <f>ROUND(G12/218-1,2)</f>
        <v>0.05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70</v>
      </c>
      <c r="F13" s="10"/>
      <c r="G13" s="10">
        <f t="shared" si="0"/>
        <v>70</v>
      </c>
      <c r="H13" s="16">
        <f t="shared" si="1"/>
        <v>0.03</v>
      </c>
      <c r="I13" s="15">
        <f t="shared" si="2"/>
        <v>0</v>
      </c>
      <c r="J13" s="15">
        <f>ROUND(G13/26-1,2)</f>
        <v>1.69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31640</v>
      </c>
      <c r="F14" s="10"/>
      <c r="G14" s="10">
        <f t="shared" si="0"/>
        <v>31640</v>
      </c>
      <c r="H14" s="16">
        <f t="shared" si="1"/>
        <v>14.04</v>
      </c>
      <c r="I14" s="15">
        <f t="shared" si="2"/>
        <v>3.3000000000000002E-2</v>
      </c>
      <c r="J14" s="15">
        <f>ROUND(G14/30020-1,2)</f>
        <v>0.05</v>
      </c>
    </row>
    <row r="15" spans="1:10" x14ac:dyDescent="0.25">
      <c r="A15" s="1" t="s">
        <v>16</v>
      </c>
      <c r="B15" s="1" t="s">
        <v>24</v>
      </c>
      <c r="C15" s="10">
        <v>74820</v>
      </c>
      <c r="D15" s="10"/>
      <c r="E15" s="10">
        <v>17440</v>
      </c>
      <c r="F15" s="10"/>
      <c r="G15" s="10">
        <f t="shared" si="0"/>
        <v>92260</v>
      </c>
      <c r="H15" s="16">
        <f t="shared" si="1"/>
        <v>40.950000000000003</v>
      </c>
      <c r="I15" s="15">
        <f t="shared" si="2"/>
        <v>9.5000000000000001E-2</v>
      </c>
      <c r="J15" s="15">
        <f>ROUND(G15/88380-1,2)</f>
        <v>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3205</v>
      </c>
      <c r="F16" s="10"/>
      <c r="G16" s="10">
        <f t="shared" si="0"/>
        <v>3205</v>
      </c>
      <c r="H16" s="16">
        <f t="shared" si="1"/>
        <v>1.42</v>
      </c>
      <c r="I16" s="15">
        <f t="shared" si="2"/>
        <v>3.0000000000000001E-3</v>
      </c>
      <c r="J16" s="15">
        <f>ROUND(G16/2750-1,2)</f>
        <v>0.17</v>
      </c>
    </row>
    <row r="17" spans="1:10" x14ac:dyDescent="0.25">
      <c r="A17" s="1" t="s">
        <v>16</v>
      </c>
      <c r="B17" s="1" t="s">
        <v>26</v>
      </c>
      <c r="C17" s="10"/>
      <c r="D17" s="10">
        <v>23635</v>
      </c>
      <c r="E17" s="10"/>
      <c r="F17" s="10">
        <v>875</v>
      </c>
      <c r="G17" s="10">
        <f t="shared" si="0"/>
        <v>24510</v>
      </c>
      <c r="H17" s="16">
        <f t="shared" si="1"/>
        <v>10.88</v>
      </c>
      <c r="I17" s="15">
        <f t="shared" si="2"/>
        <v>2.5000000000000001E-2</v>
      </c>
      <c r="J17" s="15">
        <f>ROUND(G17/20570-1,2)</f>
        <v>0.19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396</v>
      </c>
      <c r="F18" s="10"/>
      <c r="G18" s="10">
        <f t="shared" si="0"/>
        <v>396</v>
      </c>
      <c r="H18" s="16">
        <f t="shared" si="1"/>
        <v>0.18</v>
      </c>
      <c r="I18" s="15">
        <f t="shared" si="2"/>
        <v>0</v>
      </c>
      <c r="J18" s="15">
        <f>ROUND(G18/326-1,2)</f>
        <v>0.21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271</v>
      </c>
      <c r="F19" s="10"/>
      <c r="G19" s="10">
        <f t="shared" si="0"/>
        <v>271</v>
      </c>
      <c r="H19" s="16">
        <f t="shared" si="1"/>
        <v>0.12</v>
      </c>
      <c r="I19" s="15">
        <f t="shared" si="2"/>
        <v>0</v>
      </c>
      <c r="J19" s="15">
        <f>ROUND(G19/379-1,2)</f>
        <v>-0.28000000000000003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3120</v>
      </c>
      <c r="F20" s="10"/>
      <c r="G20" s="10">
        <f t="shared" si="0"/>
        <v>3120</v>
      </c>
      <c r="H20" s="16">
        <f t="shared" si="1"/>
        <v>1.38</v>
      </c>
      <c r="I20" s="15">
        <f t="shared" si="2"/>
        <v>3.0000000000000001E-3</v>
      </c>
      <c r="J20" s="15">
        <f>ROUND(G20/2160-1,2)</f>
        <v>0.44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400</v>
      </c>
      <c r="F21" s="10"/>
      <c r="G21" s="10">
        <f t="shared" si="0"/>
        <v>400</v>
      </c>
      <c r="H21" s="16">
        <f t="shared" si="1"/>
        <v>0.18</v>
      </c>
      <c r="I21" s="15">
        <f t="shared" si="2"/>
        <v>0</v>
      </c>
      <c r="J21" s="15">
        <f>ROUND(G21/830-1,2)</f>
        <v>-0.52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560</v>
      </c>
      <c r="F22" s="10"/>
      <c r="G22" s="10">
        <f t="shared" si="0"/>
        <v>560</v>
      </c>
      <c r="H22" s="16">
        <f t="shared" si="1"/>
        <v>0.25</v>
      </c>
      <c r="I22" s="15">
        <f t="shared" si="2"/>
        <v>1E-3</v>
      </c>
      <c r="J22" s="15">
        <f>ROUND(G22/970-1,2)</f>
        <v>-0.42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2175</v>
      </c>
      <c r="F23" s="10"/>
      <c r="G23" s="10">
        <f t="shared" si="0"/>
        <v>2175</v>
      </c>
      <c r="H23" s="16">
        <f t="shared" si="1"/>
        <v>0.97</v>
      </c>
      <c r="I23" s="15">
        <f t="shared" si="2"/>
        <v>2E-3</v>
      </c>
      <c r="J23" s="15">
        <f>ROUND(G23/1085-1,2)</f>
        <v>1</v>
      </c>
    </row>
    <row r="24" spans="1:10" x14ac:dyDescent="0.25">
      <c r="A24" s="1" t="s">
        <v>16</v>
      </c>
      <c r="B24" s="1" t="s">
        <v>33</v>
      </c>
      <c r="C24" s="10"/>
      <c r="D24" s="10">
        <v>157</v>
      </c>
      <c r="E24" s="10">
        <v>71</v>
      </c>
      <c r="F24" s="10"/>
      <c r="G24" s="10">
        <f t="shared" si="0"/>
        <v>228</v>
      </c>
      <c r="H24" s="16">
        <f t="shared" si="1"/>
        <v>0.1</v>
      </c>
      <c r="I24" s="15">
        <f t="shared" si="2"/>
        <v>0</v>
      </c>
      <c r="J24" s="15">
        <f>ROUND(G24/210-1,2)</f>
        <v>0.09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730</v>
      </c>
      <c r="F25" s="10"/>
      <c r="G25" s="10">
        <f t="shared" si="0"/>
        <v>730</v>
      </c>
      <c r="H25" s="16">
        <f t="shared" si="1"/>
        <v>0.32</v>
      </c>
      <c r="I25" s="15">
        <f t="shared" si="2"/>
        <v>1E-3</v>
      </c>
      <c r="J25" s="15">
        <f>ROUND(G25/1465-1,2)</f>
        <v>-0.5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3880</v>
      </c>
      <c r="F26" s="10"/>
      <c r="G26" s="10">
        <f t="shared" si="0"/>
        <v>3880</v>
      </c>
      <c r="H26" s="16">
        <f t="shared" si="1"/>
        <v>1.72</v>
      </c>
      <c r="I26" s="15">
        <f t="shared" si="2"/>
        <v>4.0000000000000001E-3</v>
      </c>
      <c r="J26" s="15">
        <f>ROUND(G26/1090-1,2)</f>
        <v>2.56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53230</v>
      </c>
      <c r="F27" s="10"/>
      <c r="G27" s="10">
        <f t="shared" si="0"/>
        <v>53230</v>
      </c>
      <c r="H27" s="16">
        <f t="shared" si="1"/>
        <v>23.63</v>
      </c>
      <c r="I27" s="15">
        <f t="shared" si="2"/>
        <v>5.5E-2</v>
      </c>
      <c r="J27" s="15">
        <f>ROUND(G27/51385-1,2)</f>
        <v>0.04</v>
      </c>
    </row>
    <row r="28" spans="1:10" x14ac:dyDescent="0.25">
      <c r="A28" s="1" t="s">
        <v>16</v>
      </c>
      <c r="B28" s="1" t="s">
        <v>39</v>
      </c>
      <c r="C28" s="10"/>
      <c r="D28" s="10"/>
      <c r="E28" s="10">
        <v>7470</v>
      </c>
      <c r="F28" s="10"/>
      <c r="G28" s="10">
        <f t="shared" si="0"/>
        <v>7470</v>
      </c>
      <c r="H28" s="16">
        <f t="shared" si="1"/>
        <v>3.32</v>
      </c>
      <c r="I28" s="15">
        <f t="shared" si="2"/>
        <v>8.0000000000000002E-3</v>
      </c>
      <c r="J28" s="15">
        <f>ROUND(G28/3200-1,2)</f>
        <v>1.33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17630</v>
      </c>
      <c r="F29" s="10"/>
      <c r="G29" s="10">
        <f t="shared" si="0"/>
        <v>17630</v>
      </c>
      <c r="H29" s="16">
        <f t="shared" si="1"/>
        <v>7.83</v>
      </c>
      <c r="I29" s="15">
        <f t="shared" si="2"/>
        <v>1.7999999999999999E-2</v>
      </c>
      <c r="J29" s="15">
        <f>ROUND(G29/13470-1,2)</f>
        <v>0.31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197760</v>
      </c>
      <c r="F30" s="10"/>
      <c r="G30" s="10">
        <f t="shared" si="0"/>
        <v>197760</v>
      </c>
      <c r="H30" s="16">
        <f t="shared" si="1"/>
        <v>87.78</v>
      </c>
      <c r="I30" s="15">
        <f t="shared" si="2"/>
        <v>0.20399999999999999</v>
      </c>
      <c r="J30" s="15">
        <f>ROUND(G30/156070-1,2)</f>
        <v>0.27</v>
      </c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ROUND(G31/4700-1,2)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ROUND(G33/3080-1,2)</f>
        <v>-1</v>
      </c>
    </row>
    <row r="34" spans="1:10" x14ac:dyDescent="0.25">
      <c r="A34" s="1" t="s">
        <v>16</v>
      </c>
      <c r="B34" s="1" t="s">
        <v>43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ROUND(G34/8190-1,2)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ROUND(G35/151-1,2)</f>
        <v>-1</v>
      </c>
    </row>
    <row r="36" spans="1:10" x14ac:dyDescent="0.25">
      <c r="A36" s="1" t="s">
        <v>16</v>
      </c>
      <c r="B36" s="1" t="s">
        <v>198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ROUND(G36/99.5-1,2)</f>
        <v>-1</v>
      </c>
    </row>
    <row r="37" spans="1:10" x14ac:dyDescent="0.25">
      <c r="A37" s="1" t="s">
        <v>44</v>
      </c>
      <c r="B37" s="1" t="s">
        <v>45</v>
      </c>
      <c r="C37" s="10">
        <v>90</v>
      </c>
      <c r="D37" s="10">
        <v>364960</v>
      </c>
      <c r="E37" s="10"/>
      <c r="F37" s="10"/>
      <c r="G37" s="10">
        <f t="shared" si="0"/>
        <v>365050</v>
      </c>
      <c r="H37" s="16">
        <f t="shared" si="1"/>
        <v>162.03</v>
      </c>
      <c r="I37" s="15">
        <f t="shared" si="2"/>
        <v>0.377</v>
      </c>
      <c r="J37" s="15">
        <f>ROUND(G37/315245-1,2)</f>
        <v>0.16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34170</v>
      </c>
      <c r="F38" s="10"/>
      <c r="G38" s="10">
        <f t="shared" si="0"/>
        <v>34170</v>
      </c>
      <c r="H38" s="16">
        <f t="shared" si="1"/>
        <v>15.17</v>
      </c>
      <c r="I38" s="15">
        <f t="shared" si="2"/>
        <v>3.5000000000000003E-2</v>
      </c>
      <c r="J38" s="15">
        <f>ROUND(G38/31740-1,2)</f>
        <v>0.08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ROUND(G39/7710-1,2)</f>
        <v>-1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5" t="s">
        <v>12</v>
      </c>
      <c r="B41" s="25"/>
      <c r="C41" s="11">
        <f t="shared" ref="C41:H41" si="3">SUM(C8:C40)</f>
        <v>200160</v>
      </c>
      <c r="D41" s="11">
        <f t="shared" si="3"/>
        <v>388752</v>
      </c>
      <c r="E41" s="11">
        <f t="shared" si="3"/>
        <v>377373</v>
      </c>
      <c r="F41" s="11">
        <f t="shared" si="3"/>
        <v>875</v>
      </c>
      <c r="G41" s="11">
        <f t="shared" si="3"/>
        <v>967160</v>
      </c>
      <c r="H41" s="14">
        <f t="shared" si="3"/>
        <v>429.29</v>
      </c>
      <c r="I41" s="17"/>
      <c r="J41" s="17"/>
    </row>
    <row r="42" spans="1:10" x14ac:dyDescent="0.25">
      <c r="A42" s="25" t="s">
        <v>14</v>
      </c>
      <c r="B42" s="25"/>
      <c r="C42" s="12">
        <f>ROUND(C41/G41,2)</f>
        <v>0.21</v>
      </c>
      <c r="D42" s="12">
        <f>ROUND(D41/G41,2)</f>
        <v>0.4</v>
      </c>
      <c r="E42" s="12">
        <f>ROUND(E41/G41,2)</f>
        <v>0.39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5" t="s">
        <v>53</v>
      </c>
      <c r="B47" s="25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0" t="s">
        <v>54</v>
      </c>
      <c r="B48" s="20"/>
      <c r="C48" s="10">
        <v>200070</v>
      </c>
      <c r="D48" s="10">
        <v>23792</v>
      </c>
      <c r="E48" s="10">
        <v>343203</v>
      </c>
      <c r="F48" s="10">
        <v>875</v>
      </c>
      <c r="G48" s="10">
        <f>SUM(C48:F48)</f>
        <v>567940</v>
      </c>
      <c r="H48" s="16">
        <f>ROUND(G48/2253,2)</f>
        <v>252.08</v>
      </c>
      <c r="I48" s="9"/>
      <c r="J48" s="9"/>
    </row>
    <row r="49" spans="1:10" x14ac:dyDescent="0.25">
      <c r="A49" s="20" t="s">
        <v>55</v>
      </c>
      <c r="B49" s="20"/>
      <c r="C49" s="10">
        <v>90</v>
      </c>
      <c r="D49" s="10">
        <v>364960</v>
      </c>
      <c r="E49" s="10">
        <v>34170</v>
      </c>
      <c r="F49" s="10">
        <v>0</v>
      </c>
      <c r="G49" s="10">
        <f>SUM(C49:F49)</f>
        <v>399220</v>
      </c>
      <c r="H49" s="16">
        <f>ROUND(G49/2253,2)</f>
        <v>177.19</v>
      </c>
      <c r="I49" s="9"/>
      <c r="J49" s="9"/>
    </row>
    <row r="50" spans="1:10" x14ac:dyDescent="0.25">
      <c r="A50" s="20" t="s">
        <v>56</v>
      </c>
      <c r="B50" s="20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ROUND(G50/2253,2)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57</v>
      </c>
      <c r="B55" s="25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0" t="s">
        <v>58</v>
      </c>
      <c r="B56" s="20"/>
      <c r="C56" s="15">
        <f>ROUND(0.6071, 4)</f>
        <v>0.60709999999999997</v>
      </c>
      <c r="D56" s="15">
        <f>ROUND(0.6124, 4)</f>
        <v>0.61240000000000006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3" t="s">
        <v>64</v>
      </c>
      <c r="J56" s="23" t="s">
        <v>65</v>
      </c>
    </row>
    <row r="57" spans="1:10" x14ac:dyDescent="0.25">
      <c r="A57" s="20" t="s">
        <v>66</v>
      </c>
      <c r="B57" s="20"/>
      <c r="C57" s="15">
        <f>ROUND(0.5996, 4)</f>
        <v>0.59960000000000002</v>
      </c>
      <c r="D57" s="15">
        <f>ROUND(0.6038, 4)</f>
        <v>0.6038</v>
      </c>
      <c r="E57" s="15">
        <f>ROUND(0.7608, 4)</f>
        <v>0.76080000000000003</v>
      </c>
      <c r="F57" s="8"/>
      <c r="G57" s="14" t="s">
        <v>67</v>
      </c>
      <c r="H57" s="27"/>
      <c r="I57" s="24"/>
      <c r="J57" s="24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5" t="s">
        <v>68</v>
      </c>
      <c r="B61" s="25"/>
      <c r="C61" s="14" t="s">
        <v>2</v>
      </c>
      <c r="D61" s="14" t="s">
        <v>199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0" t="s">
        <v>73</v>
      </c>
      <c r="B62" s="20"/>
      <c r="C62" s="16">
        <v>162.03</v>
      </c>
      <c r="D62" s="16">
        <v>164</v>
      </c>
      <c r="E62" s="16">
        <v>91.13</v>
      </c>
      <c r="F62" s="16">
        <v>54.95</v>
      </c>
      <c r="G62" s="16">
        <f>12/10*C62</f>
        <v>194.43600000000001</v>
      </c>
      <c r="H62" s="8"/>
      <c r="I62" s="9"/>
      <c r="J62" s="9"/>
    </row>
    <row r="63" spans="1:10" x14ac:dyDescent="0.25">
      <c r="A63" s="20" t="s">
        <v>74</v>
      </c>
      <c r="B63" s="20"/>
      <c r="C63" s="16">
        <v>10.88</v>
      </c>
      <c r="D63" s="16">
        <v>10.32</v>
      </c>
      <c r="E63" s="16">
        <v>61.18</v>
      </c>
      <c r="F63" s="16">
        <v>62.89</v>
      </c>
      <c r="G63" s="16">
        <f>12/10*C63</f>
        <v>13.056000000000001</v>
      </c>
      <c r="H63" s="8"/>
      <c r="I63" s="9"/>
      <c r="J63" s="9"/>
    </row>
    <row r="64" spans="1:10" x14ac:dyDescent="0.25">
      <c r="A64" s="20" t="s">
        <v>75</v>
      </c>
      <c r="B64" s="20"/>
      <c r="C64" s="16">
        <v>252.08</v>
      </c>
      <c r="D64" s="16">
        <v>268.43</v>
      </c>
      <c r="E64" s="16">
        <v>287.25</v>
      </c>
      <c r="F64" s="16">
        <v>278.91000000000003</v>
      </c>
      <c r="G64" s="16">
        <f>12/10*C64</f>
        <v>302.49599999999998</v>
      </c>
      <c r="H64" s="8"/>
      <c r="I64" s="9"/>
      <c r="J64" s="9"/>
    </row>
    <row r="65" spans="1:10" x14ac:dyDescent="0.25">
      <c r="A65" s="20" t="s">
        <v>76</v>
      </c>
      <c r="B65" s="20"/>
      <c r="C65" s="16">
        <v>177.19</v>
      </c>
      <c r="D65" s="16">
        <v>186.19</v>
      </c>
      <c r="E65" s="16">
        <v>114.69</v>
      </c>
      <c r="F65" s="16">
        <v>78.319999999999993</v>
      </c>
      <c r="G65" s="16">
        <f>12/10*C65</f>
        <v>212.62799999999999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2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200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5747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169</v>
      </c>
      <c r="F9" s="10"/>
      <c r="G9" s="10">
        <f t="shared" ref="G9:G44" si="0">SUM(C9:F9)</f>
        <v>169</v>
      </c>
      <c r="H9" s="16">
        <f t="shared" ref="H9:H44" si="1">ROUND(G9/5747,2)</f>
        <v>0.03</v>
      </c>
      <c r="I9" s="15">
        <f t="shared" ref="I9:I44" si="2">ROUND(G9/$G$45,3)</f>
        <v>0</v>
      </c>
      <c r="J9" s="15">
        <f>ROUND(G9/165-1,2)</f>
        <v>0.02</v>
      </c>
    </row>
    <row r="10" spans="1:10" x14ac:dyDescent="0.25">
      <c r="A10" s="1" t="s">
        <v>16</v>
      </c>
      <c r="B10" s="1" t="s">
        <v>19</v>
      </c>
      <c r="C10" s="10">
        <v>151890</v>
      </c>
      <c r="D10" s="10"/>
      <c r="E10" s="10">
        <v>6060</v>
      </c>
      <c r="F10" s="10"/>
      <c r="G10" s="10">
        <f t="shared" si="0"/>
        <v>157950</v>
      </c>
      <c r="H10" s="16">
        <f t="shared" si="1"/>
        <v>27.48</v>
      </c>
      <c r="I10" s="15">
        <f t="shared" si="2"/>
        <v>7.8E-2</v>
      </c>
      <c r="J10" s="15">
        <f>ROUND(G10/154660-1,2)</f>
        <v>0.02</v>
      </c>
    </row>
    <row r="11" spans="1:10" x14ac:dyDescent="0.25">
      <c r="A11" s="1" t="s">
        <v>16</v>
      </c>
      <c r="B11" s="1" t="s">
        <v>20</v>
      </c>
      <c r="C11" s="10">
        <v>184370</v>
      </c>
      <c r="D11" s="10"/>
      <c r="E11" s="10"/>
      <c r="F11" s="10"/>
      <c r="G11" s="10">
        <f t="shared" si="0"/>
        <v>184370</v>
      </c>
      <c r="H11" s="16">
        <f t="shared" si="1"/>
        <v>32.08</v>
      </c>
      <c r="I11" s="15">
        <f t="shared" si="2"/>
        <v>9.0999999999999998E-2</v>
      </c>
      <c r="J11" s="15">
        <f>ROUND(G11/188130-1,2)</f>
        <v>-0.02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84220</v>
      </c>
      <c r="F12" s="10"/>
      <c r="G12" s="10">
        <f t="shared" si="0"/>
        <v>84220</v>
      </c>
      <c r="H12" s="16">
        <f t="shared" si="1"/>
        <v>14.65</v>
      </c>
      <c r="I12" s="15">
        <f t="shared" si="2"/>
        <v>4.2000000000000003E-2</v>
      </c>
      <c r="J12" s="15">
        <f>ROUND(G12/63700-1,2)</f>
        <v>0.32</v>
      </c>
    </row>
    <row r="13" spans="1:10" x14ac:dyDescent="0.25">
      <c r="A13" s="1" t="s">
        <v>16</v>
      </c>
      <c r="B13" s="1" t="s">
        <v>24</v>
      </c>
      <c r="C13" s="10">
        <v>208750</v>
      </c>
      <c r="D13" s="10"/>
      <c r="E13" s="10">
        <v>27370</v>
      </c>
      <c r="F13" s="10"/>
      <c r="G13" s="10">
        <f t="shared" si="0"/>
        <v>236120</v>
      </c>
      <c r="H13" s="16">
        <f t="shared" si="1"/>
        <v>41.09</v>
      </c>
      <c r="I13" s="15">
        <f t="shared" si="2"/>
        <v>0.11700000000000001</v>
      </c>
      <c r="J13" s="15">
        <f>ROUND(G13/230990-1,2)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10300</v>
      </c>
      <c r="F14" s="10"/>
      <c r="G14" s="10">
        <f t="shared" si="0"/>
        <v>10300</v>
      </c>
      <c r="H14" s="16">
        <f t="shared" si="1"/>
        <v>1.79</v>
      </c>
      <c r="I14" s="15">
        <f t="shared" si="2"/>
        <v>5.0000000000000001E-3</v>
      </c>
      <c r="J14" s="15">
        <f>ROUND(G14/10880-1,2)</f>
        <v>-0.05</v>
      </c>
    </row>
    <row r="15" spans="1:10" x14ac:dyDescent="0.25">
      <c r="A15" s="1" t="s">
        <v>16</v>
      </c>
      <c r="B15" s="1" t="s">
        <v>26</v>
      </c>
      <c r="C15" s="10">
        <v>378660</v>
      </c>
      <c r="D15" s="10"/>
      <c r="E15" s="10"/>
      <c r="F15" s="10">
        <v>660</v>
      </c>
      <c r="G15" s="10">
        <f t="shared" si="0"/>
        <v>379320</v>
      </c>
      <c r="H15" s="16">
        <f t="shared" si="1"/>
        <v>66</v>
      </c>
      <c r="I15" s="15">
        <f t="shared" si="2"/>
        <v>0.187</v>
      </c>
      <c r="J15" s="15">
        <f>ROUND(G15/406880-1,2)</f>
        <v>-7.0000000000000007E-2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492</v>
      </c>
      <c r="F16" s="10"/>
      <c r="G16" s="10">
        <f t="shared" si="0"/>
        <v>492</v>
      </c>
      <c r="H16" s="16">
        <f t="shared" si="1"/>
        <v>0.09</v>
      </c>
      <c r="I16" s="15">
        <f t="shared" si="2"/>
        <v>0</v>
      </c>
      <c r="J16" s="15">
        <f>ROUND(G16/824-1,2)</f>
        <v>-0.4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496</v>
      </c>
      <c r="F17" s="10"/>
      <c r="G17" s="10">
        <f t="shared" si="0"/>
        <v>496</v>
      </c>
      <c r="H17" s="16">
        <f t="shared" si="1"/>
        <v>0.09</v>
      </c>
      <c r="I17" s="15">
        <f t="shared" si="2"/>
        <v>0</v>
      </c>
      <c r="J17" s="15">
        <f>ROUND(G17/381-1,2)</f>
        <v>0.3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5970</v>
      </c>
      <c r="F18" s="10"/>
      <c r="G18" s="10">
        <f t="shared" si="0"/>
        <v>5970</v>
      </c>
      <c r="H18" s="16">
        <f t="shared" si="1"/>
        <v>1.04</v>
      </c>
      <c r="I18" s="15">
        <f t="shared" si="2"/>
        <v>3.0000000000000001E-3</v>
      </c>
      <c r="J18" s="15">
        <f>ROUND(G18/11320-1,2)</f>
        <v>-0.47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2260</v>
      </c>
      <c r="F19" s="10"/>
      <c r="G19" s="10">
        <f t="shared" si="0"/>
        <v>2260</v>
      </c>
      <c r="H19" s="16">
        <f t="shared" si="1"/>
        <v>0.39</v>
      </c>
      <c r="I19" s="15">
        <f t="shared" si="2"/>
        <v>1E-3</v>
      </c>
      <c r="J19" s="15">
        <f>ROUND(G19/1970-1,2)</f>
        <v>0.15</v>
      </c>
    </row>
    <row r="20" spans="1:10" x14ac:dyDescent="0.25">
      <c r="A20" s="1" t="s">
        <v>16</v>
      </c>
      <c r="B20" s="1" t="s">
        <v>31</v>
      </c>
      <c r="C20" s="10"/>
      <c r="D20" s="10"/>
      <c r="E20" s="10">
        <v>570</v>
      </c>
      <c r="F20" s="10"/>
      <c r="G20" s="10">
        <f t="shared" si="0"/>
        <v>570</v>
      </c>
      <c r="H20" s="16">
        <f t="shared" si="1"/>
        <v>0.1</v>
      </c>
      <c r="I20" s="15">
        <f t="shared" si="2"/>
        <v>0</v>
      </c>
      <c r="J20" s="15">
        <f>ROUND(G20/450-1,2)</f>
        <v>0.27</v>
      </c>
    </row>
    <row r="21" spans="1:10" x14ac:dyDescent="0.25">
      <c r="A21" s="1" t="s">
        <v>16</v>
      </c>
      <c r="B21" s="1" t="s">
        <v>33</v>
      </c>
      <c r="C21" s="10"/>
      <c r="D21" s="10">
        <v>529</v>
      </c>
      <c r="E21" s="10">
        <v>102</v>
      </c>
      <c r="F21" s="10"/>
      <c r="G21" s="10">
        <f t="shared" si="0"/>
        <v>631</v>
      </c>
      <c r="H21" s="16">
        <f t="shared" si="1"/>
        <v>0.11</v>
      </c>
      <c r="I21" s="15">
        <f t="shared" si="2"/>
        <v>0</v>
      </c>
      <c r="J21" s="15">
        <f>ROUND(G21/659-1,2)</f>
        <v>-0.04</v>
      </c>
    </row>
    <row r="22" spans="1:10" x14ac:dyDescent="0.25">
      <c r="A22" s="1" t="s">
        <v>16</v>
      </c>
      <c r="B22" s="1" t="s">
        <v>35</v>
      </c>
      <c r="C22" s="10"/>
      <c r="D22" s="10">
        <v>180</v>
      </c>
      <c r="E22" s="10">
        <v>160</v>
      </c>
      <c r="F22" s="10"/>
      <c r="G22" s="10">
        <f t="shared" si="0"/>
        <v>340</v>
      </c>
      <c r="H22" s="16">
        <f t="shared" si="1"/>
        <v>0.06</v>
      </c>
      <c r="I22" s="15">
        <f t="shared" si="2"/>
        <v>0</v>
      </c>
      <c r="J22" s="15">
        <f>ROUND(G22/1045-1,2)</f>
        <v>-0.67</v>
      </c>
    </row>
    <row r="23" spans="1:10" x14ac:dyDescent="0.25">
      <c r="A23" s="1" t="s">
        <v>16</v>
      </c>
      <c r="B23" s="1" t="s">
        <v>34</v>
      </c>
      <c r="C23" s="10"/>
      <c r="D23" s="10"/>
      <c r="E23" s="10">
        <v>855</v>
      </c>
      <c r="F23" s="10"/>
      <c r="G23" s="10">
        <f t="shared" si="0"/>
        <v>855</v>
      </c>
      <c r="H23" s="16">
        <f t="shared" si="1"/>
        <v>0.15</v>
      </c>
      <c r="I23" s="15">
        <f t="shared" si="2"/>
        <v>0</v>
      </c>
      <c r="J23" s="15">
        <f>ROUND(G23/1960-1,2)</f>
        <v>-0.56000000000000005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7545</v>
      </c>
      <c r="F24" s="10"/>
      <c r="G24" s="10">
        <f t="shared" si="0"/>
        <v>7545</v>
      </c>
      <c r="H24" s="16">
        <f t="shared" si="1"/>
        <v>1.31</v>
      </c>
      <c r="I24" s="15">
        <f t="shared" si="2"/>
        <v>4.0000000000000001E-3</v>
      </c>
      <c r="J24" s="15">
        <f>ROUND(G24/14600-1,2)</f>
        <v>-0.48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7070</v>
      </c>
      <c r="F25" s="10"/>
      <c r="G25" s="10">
        <f t="shared" si="0"/>
        <v>7070</v>
      </c>
      <c r="H25" s="16">
        <f t="shared" si="1"/>
        <v>1.23</v>
      </c>
      <c r="I25" s="15">
        <f t="shared" si="2"/>
        <v>3.0000000000000001E-3</v>
      </c>
      <c r="J25" s="15">
        <f>ROUND(G25/11511-1,2)</f>
        <v>-0.39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145120</v>
      </c>
      <c r="F26" s="10"/>
      <c r="G26" s="10">
        <f t="shared" si="0"/>
        <v>145120</v>
      </c>
      <c r="H26" s="16">
        <f t="shared" si="1"/>
        <v>25.25</v>
      </c>
      <c r="I26" s="15">
        <f t="shared" si="2"/>
        <v>7.1999999999999995E-2</v>
      </c>
      <c r="J26" s="15">
        <f>ROUND(G26/122950-1,2)</f>
        <v>0.18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5980</v>
      </c>
      <c r="F27" s="10"/>
      <c r="G27" s="10">
        <f t="shared" si="0"/>
        <v>5980</v>
      </c>
      <c r="H27" s="16">
        <f t="shared" si="1"/>
        <v>1.04</v>
      </c>
      <c r="I27" s="15">
        <f t="shared" si="2"/>
        <v>3.0000000000000001E-3</v>
      </c>
      <c r="J27" s="15">
        <f>ROUND(G27/5230-1,2)</f>
        <v>0.14000000000000001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36920</v>
      </c>
      <c r="F28" s="10"/>
      <c r="G28" s="10">
        <f t="shared" si="0"/>
        <v>36920</v>
      </c>
      <c r="H28" s="16">
        <f t="shared" si="1"/>
        <v>6.42</v>
      </c>
      <c r="I28" s="15">
        <f t="shared" si="2"/>
        <v>1.7999999999999999E-2</v>
      </c>
      <c r="J28" s="15">
        <f>ROUND(G28/35100-1,2)</f>
        <v>0.05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195420</v>
      </c>
      <c r="F29" s="10"/>
      <c r="G29" s="10">
        <f t="shared" si="0"/>
        <v>195420</v>
      </c>
      <c r="H29" s="16">
        <f t="shared" si="1"/>
        <v>34</v>
      </c>
      <c r="I29" s="15">
        <f t="shared" si="2"/>
        <v>9.7000000000000003E-2</v>
      </c>
      <c r="J29" s="15">
        <f>ROUND(G29/201190-1,2)</f>
        <v>-0.03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ROUND(G30/387-1,2)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ROUND(G31/4951-1,2)</f>
        <v>-1</v>
      </c>
    </row>
    <row r="32" spans="1:10" x14ac:dyDescent="0.25">
      <c r="A32" s="1" t="s">
        <v>16</v>
      </c>
      <c r="B32" s="1" t="s">
        <v>120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98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ROUND(G33/920-1,2)</f>
        <v>-1</v>
      </c>
    </row>
    <row r="34" spans="1:10" x14ac:dyDescent="0.25">
      <c r="A34" s="1" t="s">
        <v>16</v>
      </c>
      <c r="B34" s="1" t="s">
        <v>32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161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202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425820</v>
      </c>
      <c r="D37" s="10"/>
      <c r="E37" s="10"/>
      <c r="F37" s="10"/>
      <c r="G37" s="10">
        <f t="shared" si="0"/>
        <v>425820</v>
      </c>
      <c r="H37" s="16">
        <f t="shared" si="1"/>
        <v>74.09</v>
      </c>
      <c r="I37" s="15">
        <f t="shared" si="2"/>
        <v>0.21</v>
      </c>
      <c r="J37" s="15">
        <f>ROUND(G37/403920-1,2)</f>
        <v>0.05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>
        <v>56580</v>
      </c>
      <c r="G38" s="10">
        <f t="shared" si="0"/>
        <v>56580</v>
      </c>
      <c r="H38" s="16">
        <f t="shared" si="1"/>
        <v>9.85</v>
      </c>
      <c r="I38" s="15">
        <f t="shared" si="2"/>
        <v>2.8000000000000001E-2</v>
      </c>
      <c r="J38" s="15">
        <f>ROUND(G38/49820-1,2)</f>
        <v>0.14000000000000001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79260</v>
      </c>
      <c r="F39" s="10"/>
      <c r="G39" s="10">
        <f t="shared" si="0"/>
        <v>79260</v>
      </c>
      <c r="H39" s="16">
        <f t="shared" si="1"/>
        <v>13.79</v>
      </c>
      <c r="I39" s="15">
        <f t="shared" si="2"/>
        <v>3.9E-2</v>
      </c>
      <c r="J39" s="15">
        <f>ROUND(G39/75740-1,2)</f>
        <v>0.05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ROUND(G41/65-1,2)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ROUND(G42/885-1,2)</f>
        <v>-1</v>
      </c>
    </row>
    <row r="43" spans="1:10" x14ac:dyDescent="0.25">
      <c r="A43" s="1" t="s">
        <v>48</v>
      </c>
      <c r="B43" s="1" t="s">
        <v>94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5" t="s">
        <v>12</v>
      </c>
      <c r="B45" s="25"/>
      <c r="C45" s="11">
        <f t="shared" ref="C45:H45" si="3">SUM(C8:C44)</f>
        <v>1349490</v>
      </c>
      <c r="D45" s="11">
        <f t="shared" si="3"/>
        <v>709</v>
      </c>
      <c r="E45" s="11">
        <f t="shared" si="3"/>
        <v>616339</v>
      </c>
      <c r="F45" s="11">
        <f t="shared" si="3"/>
        <v>57240</v>
      </c>
      <c r="G45" s="11">
        <f t="shared" si="3"/>
        <v>2023778</v>
      </c>
      <c r="H45" s="14">
        <f t="shared" si="3"/>
        <v>352.13000000000005</v>
      </c>
      <c r="I45" s="17"/>
      <c r="J45" s="17"/>
    </row>
    <row r="46" spans="1:10" x14ac:dyDescent="0.25">
      <c r="A46" s="25" t="s">
        <v>14</v>
      </c>
      <c r="B46" s="25"/>
      <c r="C46" s="12">
        <f>ROUND(C45/G45,2)</f>
        <v>0.67</v>
      </c>
      <c r="D46" s="12">
        <f>ROUND(D45/G45,2)</f>
        <v>0</v>
      </c>
      <c r="E46" s="12">
        <f>ROUND(E45/G45,2)</f>
        <v>0.3</v>
      </c>
      <c r="F46" s="12">
        <f>ROUND(F45/G45,2)</f>
        <v>0.03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53</v>
      </c>
      <c r="B51" s="25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0" t="s">
        <v>54</v>
      </c>
      <c r="B52" s="20"/>
      <c r="C52" s="10">
        <v>923670</v>
      </c>
      <c r="D52" s="10">
        <v>709</v>
      </c>
      <c r="E52" s="10">
        <v>537079</v>
      </c>
      <c r="F52" s="10">
        <v>660</v>
      </c>
      <c r="G52" s="10">
        <f>SUM(C52:F52)</f>
        <v>1462118</v>
      </c>
      <c r="H52" s="16">
        <f>ROUND(G52/5747,2)</f>
        <v>254.41</v>
      </c>
      <c r="I52" s="9"/>
      <c r="J52" s="9"/>
    </row>
    <row r="53" spans="1:10" x14ac:dyDescent="0.25">
      <c r="A53" s="20" t="s">
        <v>55</v>
      </c>
      <c r="B53" s="20"/>
      <c r="C53" s="10">
        <v>425820</v>
      </c>
      <c r="D53" s="10">
        <v>0</v>
      </c>
      <c r="E53" s="10">
        <v>79260</v>
      </c>
      <c r="F53" s="10">
        <v>56580</v>
      </c>
      <c r="G53" s="10">
        <f>SUM(C53:F53)</f>
        <v>561660</v>
      </c>
      <c r="H53" s="16">
        <f>ROUND(G53/5747,2)</f>
        <v>97.73</v>
      </c>
      <c r="I53" s="9"/>
      <c r="J53" s="9"/>
    </row>
    <row r="54" spans="1:10" x14ac:dyDescent="0.25">
      <c r="A54" s="20" t="s">
        <v>56</v>
      </c>
      <c r="B54" s="20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ROUND(G54/5747,2)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57</v>
      </c>
      <c r="B59" s="25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0" t="s">
        <v>58</v>
      </c>
      <c r="B60" s="20"/>
      <c r="C60" s="15">
        <f>ROUND(0.7757, 4)</f>
        <v>0.77569999999999995</v>
      </c>
      <c r="D60" s="15">
        <f>ROUND(0.7791, 4)</f>
        <v>0.77910000000000001</v>
      </c>
      <c r="E60" s="15">
        <f>ROUND(0.777, 4)</f>
        <v>0.77700000000000002</v>
      </c>
      <c r="F60" s="8"/>
      <c r="G60" s="14" t="s">
        <v>62</v>
      </c>
      <c r="H60" s="26" t="s">
        <v>63</v>
      </c>
      <c r="I60" s="23" t="s">
        <v>64</v>
      </c>
      <c r="J60" s="23" t="s">
        <v>65</v>
      </c>
    </row>
    <row r="61" spans="1:10" x14ac:dyDescent="0.25">
      <c r="A61" s="20" t="s">
        <v>66</v>
      </c>
      <c r="B61" s="20"/>
      <c r="C61" s="15">
        <f>ROUND(0.7653, 4)</f>
        <v>0.76529999999999998</v>
      </c>
      <c r="D61" s="15">
        <f>ROUND(0.7684, 4)</f>
        <v>0.76839999999999997</v>
      </c>
      <c r="E61" s="15">
        <f>ROUND(0.7608, 4)</f>
        <v>0.76080000000000003</v>
      </c>
      <c r="F61" s="8"/>
      <c r="G61" s="14" t="s">
        <v>67</v>
      </c>
      <c r="H61" s="27"/>
      <c r="I61" s="24"/>
      <c r="J61" s="24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5" t="s">
        <v>68</v>
      </c>
      <c r="B65" s="25"/>
      <c r="C65" s="14" t="s">
        <v>2</v>
      </c>
      <c r="D65" s="14" t="s">
        <v>203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0" t="s">
        <v>73</v>
      </c>
      <c r="B66" s="20"/>
      <c r="C66" s="16">
        <v>74.09</v>
      </c>
      <c r="D66" s="16">
        <v>79.05</v>
      </c>
      <c r="E66" s="16">
        <v>91.13</v>
      </c>
      <c r="F66" s="16">
        <v>54.95</v>
      </c>
      <c r="G66" s="16">
        <f>12/10*C66</f>
        <v>88.908000000000001</v>
      </c>
      <c r="H66" s="8"/>
      <c r="I66" s="9"/>
      <c r="J66" s="9"/>
    </row>
    <row r="67" spans="1:10" x14ac:dyDescent="0.25">
      <c r="A67" s="20" t="s">
        <v>74</v>
      </c>
      <c r="B67" s="20"/>
      <c r="C67" s="16">
        <v>66</v>
      </c>
      <c r="D67" s="16">
        <v>79.599999999999994</v>
      </c>
      <c r="E67" s="16">
        <v>61.18</v>
      </c>
      <c r="F67" s="16">
        <v>62.89</v>
      </c>
      <c r="G67" s="16">
        <f>12/10*C67</f>
        <v>79.2</v>
      </c>
      <c r="H67" s="8"/>
      <c r="I67" s="9"/>
      <c r="J67" s="9"/>
    </row>
    <row r="68" spans="1:10" x14ac:dyDescent="0.25">
      <c r="A68" s="20" t="s">
        <v>75</v>
      </c>
      <c r="B68" s="20"/>
      <c r="C68" s="16">
        <v>254.41</v>
      </c>
      <c r="D68" s="16">
        <v>303.60000000000002</v>
      </c>
      <c r="E68" s="16">
        <v>287.25</v>
      </c>
      <c r="F68" s="16">
        <v>278.91000000000003</v>
      </c>
      <c r="G68" s="16">
        <f>12/10*C68</f>
        <v>305.29199999999997</v>
      </c>
      <c r="H68" s="8"/>
      <c r="I68" s="9"/>
      <c r="J68" s="9"/>
    </row>
    <row r="69" spans="1:10" x14ac:dyDescent="0.25">
      <c r="A69" s="20" t="s">
        <v>76</v>
      </c>
      <c r="B69" s="20"/>
      <c r="C69" s="16">
        <v>97.73</v>
      </c>
      <c r="D69" s="16">
        <v>113.14</v>
      </c>
      <c r="E69" s="16">
        <v>114.69</v>
      </c>
      <c r="F69" s="16">
        <v>78.319999999999993</v>
      </c>
      <c r="G69" s="16">
        <f>12/10*C69</f>
        <v>117.276</v>
      </c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21" t="s">
        <v>60</v>
      </c>
      <c r="B72" s="22"/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77</v>
      </c>
      <c r="B73" s="1" t="s">
        <v>204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70</v>
      </c>
      <c r="B74" s="1" t="s">
        <v>79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71</v>
      </c>
      <c r="B75" s="1" t="s">
        <v>80</v>
      </c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8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6862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173</v>
      </c>
      <c r="G9" s="10">
        <f t="shared" ref="G9:G43" si="0">SUM(C9:F9)</f>
        <v>173</v>
      </c>
      <c r="H9" s="16">
        <f t="shared" ref="H9:H43" si="1">ROUND(G9/6862,2)</f>
        <v>0.03</v>
      </c>
      <c r="I9" s="15">
        <f t="shared" ref="I9:I43" si="2">ROUND(G9/$G$44,3)</f>
        <v>0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49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ROUND(G11/20-1,2)</f>
        <v>-1</v>
      </c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212</v>
      </c>
      <c r="F13" s="10"/>
      <c r="G13" s="10">
        <f t="shared" si="0"/>
        <v>212</v>
      </c>
      <c r="H13" s="16">
        <f t="shared" si="1"/>
        <v>0.03</v>
      </c>
      <c r="I13" s="15">
        <f t="shared" si="2"/>
        <v>0</v>
      </c>
      <c r="J13" s="15">
        <f>ROUND(G13/70-1,2)</f>
        <v>2.0299999999999998</v>
      </c>
    </row>
    <row r="14" spans="1:10" x14ac:dyDescent="0.25">
      <c r="A14" s="1" t="s">
        <v>16</v>
      </c>
      <c r="B14" s="1" t="s">
        <v>19</v>
      </c>
      <c r="C14" s="10">
        <v>160830</v>
      </c>
      <c r="D14" s="10"/>
      <c r="E14" s="10">
        <v>12450</v>
      </c>
      <c r="F14" s="10">
        <v>340</v>
      </c>
      <c r="G14" s="10">
        <f t="shared" si="0"/>
        <v>173620</v>
      </c>
      <c r="H14" s="16">
        <f t="shared" si="1"/>
        <v>25.3</v>
      </c>
      <c r="I14" s="15">
        <f t="shared" si="2"/>
        <v>6.8000000000000005E-2</v>
      </c>
      <c r="J14" s="15">
        <f>ROUND(G14/165530-1,2)</f>
        <v>0.05</v>
      </c>
    </row>
    <row r="15" spans="1:10" x14ac:dyDescent="0.25">
      <c r="A15" s="1" t="s">
        <v>16</v>
      </c>
      <c r="B15" s="1" t="s">
        <v>20</v>
      </c>
      <c r="C15" s="10">
        <v>205770</v>
      </c>
      <c r="D15" s="10"/>
      <c r="E15" s="10"/>
      <c r="F15" s="10"/>
      <c r="G15" s="10">
        <f t="shared" si="0"/>
        <v>205770</v>
      </c>
      <c r="H15" s="16">
        <f t="shared" si="1"/>
        <v>29.99</v>
      </c>
      <c r="I15" s="15">
        <f t="shared" si="2"/>
        <v>8.1000000000000003E-2</v>
      </c>
      <c r="J15" s="15">
        <f>ROUND(G15/208190-1,2)</f>
        <v>-0.01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112</v>
      </c>
      <c r="F16" s="10"/>
      <c r="G16" s="10">
        <f t="shared" si="0"/>
        <v>112</v>
      </c>
      <c r="H16" s="16">
        <f t="shared" si="1"/>
        <v>0.02</v>
      </c>
      <c r="I16" s="15">
        <f t="shared" si="2"/>
        <v>0</v>
      </c>
      <c r="J16" s="15">
        <f>ROUND(G16/204-1,2)</f>
        <v>-0.45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290</v>
      </c>
      <c r="F17" s="10"/>
      <c r="G17" s="10">
        <f t="shared" si="0"/>
        <v>290</v>
      </c>
      <c r="H17" s="16">
        <f t="shared" si="1"/>
        <v>0.04</v>
      </c>
      <c r="I17" s="15">
        <f t="shared" si="2"/>
        <v>0</v>
      </c>
      <c r="J17" s="15">
        <f>ROUND(G17/413-1,2)</f>
        <v>-0.3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2060</v>
      </c>
      <c r="F18" s="10"/>
      <c r="G18" s="10">
        <f t="shared" si="0"/>
        <v>2060</v>
      </c>
      <c r="H18" s="16">
        <f t="shared" si="1"/>
        <v>0.3</v>
      </c>
      <c r="I18" s="15">
        <f t="shared" si="2"/>
        <v>1E-3</v>
      </c>
      <c r="J18" s="15">
        <f>ROUND(G18/2860-1,2)</f>
        <v>-0.28000000000000003</v>
      </c>
    </row>
    <row r="19" spans="1:10" x14ac:dyDescent="0.25">
      <c r="A19" s="1" t="s">
        <v>16</v>
      </c>
      <c r="B19" s="1" t="s">
        <v>98</v>
      </c>
      <c r="C19" s="10"/>
      <c r="D19" s="10"/>
      <c r="E19" s="10"/>
      <c r="F19" s="10">
        <v>43</v>
      </c>
      <c r="G19" s="10">
        <f t="shared" si="0"/>
        <v>43</v>
      </c>
      <c r="H19" s="16">
        <f t="shared" si="1"/>
        <v>0.01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23</v>
      </c>
      <c r="C20" s="10"/>
      <c r="D20" s="10"/>
      <c r="E20" s="10">
        <v>243140</v>
      </c>
      <c r="F20" s="10"/>
      <c r="G20" s="10">
        <f t="shared" si="0"/>
        <v>243140</v>
      </c>
      <c r="H20" s="16">
        <f t="shared" si="1"/>
        <v>35.43</v>
      </c>
      <c r="I20" s="15">
        <f t="shared" si="2"/>
        <v>9.6000000000000002E-2</v>
      </c>
      <c r="J20" s="15">
        <f>ROUND(G20/143980-1,2)</f>
        <v>0.69</v>
      </c>
    </row>
    <row r="21" spans="1:10" x14ac:dyDescent="0.25">
      <c r="A21" s="1" t="s">
        <v>16</v>
      </c>
      <c r="B21" s="1" t="s">
        <v>24</v>
      </c>
      <c r="C21" s="10">
        <v>244700</v>
      </c>
      <c r="D21" s="10"/>
      <c r="E21" s="10">
        <v>59560</v>
      </c>
      <c r="F21" s="10">
        <v>10120</v>
      </c>
      <c r="G21" s="10">
        <f t="shared" si="0"/>
        <v>314380</v>
      </c>
      <c r="H21" s="16">
        <f t="shared" si="1"/>
        <v>45.81</v>
      </c>
      <c r="I21" s="15">
        <f t="shared" si="2"/>
        <v>0.124</v>
      </c>
      <c r="J21" s="15">
        <f>ROUND(G21/311460-1,2)</f>
        <v>0.01</v>
      </c>
    </row>
    <row r="22" spans="1:10" x14ac:dyDescent="0.25">
      <c r="A22" s="1" t="s">
        <v>16</v>
      </c>
      <c r="B22" s="1" t="s">
        <v>25</v>
      </c>
      <c r="C22" s="10"/>
      <c r="D22" s="10"/>
      <c r="E22" s="10">
        <v>11965</v>
      </c>
      <c r="F22" s="10"/>
      <c r="G22" s="10">
        <f t="shared" si="0"/>
        <v>11965</v>
      </c>
      <c r="H22" s="16">
        <f t="shared" si="1"/>
        <v>1.74</v>
      </c>
      <c r="I22" s="15">
        <f t="shared" si="2"/>
        <v>5.0000000000000001E-3</v>
      </c>
      <c r="J22" s="15">
        <f>ROUND(G22/10520-1,2)</f>
        <v>0.14000000000000001</v>
      </c>
    </row>
    <row r="23" spans="1:10" x14ac:dyDescent="0.25">
      <c r="A23" s="1" t="s">
        <v>16</v>
      </c>
      <c r="B23" s="1" t="s">
        <v>26</v>
      </c>
      <c r="C23" s="10">
        <v>355880</v>
      </c>
      <c r="D23" s="10"/>
      <c r="E23" s="10"/>
      <c r="F23" s="10">
        <v>1380</v>
      </c>
      <c r="G23" s="10">
        <f t="shared" si="0"/>
        <v>357260</v>
      </c>
      <c r="H23" s="16">
        <f t="shared" si="1"/>
        <v>52.06</v>
      </c>
      <c r="I23" s="15">
        <f t="shared" si="2"/>
        <v>0.14000000000000001</v>
      </c>
      <c r="J23" s="15">
        <f>ROUND(G23/358340-1,2)</f>
        <v>0</v>
      </c>
    </row>
    <row r="24" spans="1:10" x14ac:dyDescent="0.25">
      <c r="A24" s="1" t="s">
        <v>16</v>
      </c>
      <c r="B24" s="1" t="s">
        <v>27</v>
      </c>
      <c r="C24" s="10"/>
      <c r="D24" s="10"/>
      <c r="E24" s="10">
        <v>7244</v>
      </c>
      <c r="F24" s="10"/>
      <c r="G24" s="10">
        <f t="shared" si="0"/>
        <v>7244</v>
      </c>
      <c r="H24" s="16">
        <f t="shared" si="1"/>
        <v>1.06</v>
      </c>
      <c r="I24" s="15">
        <f t="shared" si="2"/>
        <v>3.0000000000000001E-3</v>
      </c>
      <c r="J24" s="15">
        <f>ROUND(G24/2494-1,2)</f>
        <v>1.9</v>
      </c>
    </row>
    <row r="25" spans="1:10" x14ac:dyDescent="0.25">
      <c r="A25" s="1" t="s">
        <v>16</v>
      </c>
      <c r="B25" s="1" t="s">
        <v>28</v>
      </c>
      <c r="C25" s="10"/>
      <c r="D25" s="10"/>
      <c r="E25" s="10">
        <v>1201</v>
      </c>
      <c r="F25" s="10"/>
      <c r="G25" s="10">
        <f t="shared" si="0"/>
        <v>1201</v>
      </c>
      <c r="H25" s="16">
        <f t="shared" si="1"/>
        <v>0.18</v>
      </c>
      <c r="I25" s="15">
        <f t="shared" si="2"/>
        <v>0</v>
      </c>
      <c r="J25" s="15">
        <f>ROUND(G25/1540-1,2)</f>
        <v>-0.22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5420</v>
      </c>
      <c r="F26" s="10"/>
      <c r="G26" s="10">
        <f t="shared" si="0"/>
        <v>5420</v>
      </c>
      <c r="H26" s="16">
        <f t="shared" si="1"/>
        <v>0.79</v>
      </c>
      <c r="I26" s="15">
        <f t="shared" si="2"/>
        <v>2E-3</v>
      </c>
      <c r="J26" s="15">
        <f>ROUND(G26/9270-1,2)</f>
        <v>-0.42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2780</v>
      </c>
      <c r="F27" s="10"/>
      <c r="G27" s="10">
        <f t="shared" si="0"/>
        <v>2780</v>
      </c>
      <c r="H27" s="16">
        <f t="shared" si="1"/>
        <v>0.41</v>
      </c>
      <c r="I27" s="15">
        <f t="shared" si="2"/>
        <v>1E-3</v>
      </c>
      <c r="J27" s="15">
        <f>ROUND(G27/2570-1,2)</f>
        <v>0.08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1240</v>
      </c>
      <c r="F28" s="10"/>
      <c r="G28" s="10">
        <f t="shared" si="0"/>
        <v>1240</v>
      </c>
      <c r="H28" s="16">
        <f t="shared" si="1"/>
        <v>0.18</v>
      </c>
      <c r="I28" s="15">
        <f t="shared" si="2"/>
        <v>0</v>
      </c>
      <c r="J28" s="15">
        <f>ROUND(G28/550-1,2)</f>
        <v>1.25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3160</v>
      </c>
      <c r="F29" s="10"/>
      <c r="G29" s="10">
        <f t="shared" si="0"/>
        <v>3160</v>
      </c>
      <c r="H29" s="16">
        <f t="shared" si="1"/>
        <v>0.46</v>
      </c>
      <c r="I29" s="15">
        <f t="shared" si="2"/>
        <v>1E-3</v>
      </c>
      <c r="J29" s="15">
        <f>ROUND(G29/5120-1,2)</f>
        <v>-0.38</v>
      </c>
    </row>
    <row r="30" spans="1:10" x14ac:dyDescent="0.25">
      <c r="A30" s="1" t="s">
        <v>16</v>
      </c>
      <c r="B30" s="1" t="s">
        <v>33</v>
      </c>
      <c r="C30" s="10"/>
      <c r="D30" s="10">
        <v>442</v>
      </c>
      <c r="E30" s="10">
        <v>130</v>
      </c>
      <c r="F30" s="10"/>
      <c r="G30" s="10">
        <f t="shared" si="0"/>
        <v>572</v>
      </c>
      <c r="H30" s="16">
        <f t="shared" si="1"/>
        <v>0.08</v>
      </c>
      <c r="I30" s="15">
        <f t="shared" si="2"/>
        <v>0</v>
      </c>
      <c r="J30" s="15">
        <f>ROUND(G30/552-1,2)</f>
        <v>0.04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570</v>
      </c>
      <c r="F31" s="10"/>
      <c r="G31" s="10">
        <f t="shared" si="0"/>
        <v>570</v>
      </c>
      <c r="H31" s="16">
        <f t="shared" si="1"/>
        <v>0.08</v>
      </c>
      <c r="I31" s="15">
        <f t="shared" si="2"/>
        <v>0</v>
      </c>
      <c r="J31" s="15">
        <f>ROUND(G31/1234-1,2)</f>
        <v>-0.54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5280</v>
      </c>
      <c r="F32" s="10"/>
      <c r="G32" s="10">
        <f t="shared" si="0"/>
        <v>5280</v>
      </c>
      <c r="H32" s="16">
        <f t="shared" si="1"/>
        <v>0.77</v>
      </c>
      <c r="I32" s="15">
        <f t="shared" si="2"/>
        <v>2E-3</v>
      </c>
      <c r="J32" s="15">
        <f>ROUND(G32/9880-1,2)</f>
        <v>-0.47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10650</v>
      </c>
      <c r="F33" s="10"/>
      <c r="G33" s="10">
        <f t="shared" si="0"/>
        <v>10650</v>
      </c>
      <c r="H33" s="16">
        <f t="shared" si="1"/>
        <v>1.55</v>
      </c>
      <c r="I33" s="15">
        <f t="shared" si="2"/>
        <v>4.0000000000000001E-3</v>
      </c>
      <c r="J33" s="15">
        <f>ROUND(G33/15055-1,2)</f>
        <v>-0.28999999999999998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189360</v>
      </c>
      <c r="F34" s="10"/>
      <c r="G34" s="10">
        <f t="shared" si="0"/>
        <v>189360</v>
      </c>
      <c r="H34" s="16">
        <f t="shared" si="1"/>
        <v>27.6</v>
      </c>
      <c r="I34" s="15">
        <f t="shared" si="2"/>
        <v>7.3999999999999996E-2</v>
      </c>
      <c r="J34" s="15">
        <f>ROUND(G34/157690-1,2)</f>
        <v>0.2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8570</v>
      </c>
      <c r="F35" s="10"/>
      <c r="G35" s="10">
        <f t="shared" si="0"/>
        <v>8570</v>
      </c>
      <c r="H35" s="16">
        <f t="shared" si="1"/>
        <v>1.25</v>
      </c>
      <c r="I35" s="15">
        <f t="shared" si="2"/>
        <v>3.0000000000000001E-3</v>
      </c>
      <c r="J35" s="15">
        <f>ROUND(G35/8915-1,2)</f>
        <v>-0.04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44500</v>
      </c>
      <c r="F36" s="10"/>
      <c r="G36" s="10">
        <f t="shared" si="0"/>
        <v>44500</v>
      </c>
      <c r="H36" s="16">
        <f t="shared" si="1"/>
        <v>6.48</v>
      </c>
      <c r="I36" s="15">
        <f t="shared" si="2"/>
        <v>1.7000000000000001E-2</v>
      </c>
      <c r="J36" s="15">
        <f>ROUND(G36/37120-1,2)</f>
        <v>0.2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373200</v>
      </c>
      <c r="F37" s="10">
        <v>5220</v>
      </c>
      <c r="G37" s="10">
        <f t="shared" si="0"/>
        <v>378420</v>
      </c>
      <c r="H37" s="16">
        <f t="shared" si="1"/>
        <v>55.15</v>
      </c>
      <c r="I37" s="15">
        <f t="shared" si="2"/>
        <v>0.14899999999999999</v>
      </c>
      <c r="J37" s="15">
        <f>ROUND(G37/305540-1,2)</f>
        <v>0.24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ROUND(G38/169-1,2)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ROUND(G39/5965-1,2)</f>
        <v>-1</v>
      </c>
    </row>
    <row r="40" spans="1:10" x14ac:dyDescent="0.25">
      <c r="A40" s="1" t="s">
        <v>16</v>
      </c>
      <c r="B40" s="1" t="s">
        <v>34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377480</v>
      </c>
      <c r="D41" s="10"/>
      <c r="E41" s="10"/>
      <c r="F41" s="10"/>
      <c r="G41" s="10">
        <f t="shared" si="0"/>
        <v>377480</v>
      </c>
      <c r="H41" s="16">
        <f t="shared" si="1"/>
        <v>55.01</v>
      </c>
      <c r="I41" s="15">
        <f t="shared" si="2"/>
        <v>0.14799999999999999</v>
      </c>
      <c r="J41" s="15">
        <f>ROUND(G41/370570-1,2)</f>
        <v>0.02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53300</v>
      </c>
      <c r="G42" s="10">
        <f t="shared" si="0"/>
        <v>53300</v>
      </c>
      <c r="H42" s="16">
        <f t="shared" si="1"/>
        <v>7.77</v>
      </c>
      <c r="I42" s="15">
        <f t="shared" si="2"/>
        <v>2.1000000000000001E-2</v>
      </c>
      <c r="J42" s="15">
        <f>ROUND(G42/58460-1,2)</f>
        <v>-0.09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145570</v>
      </c>
      <c r="F43" s="10"/>
      <c r="G43" s="10">
        <f t="shared" si="0"/>
        <v>145570</v>
      </c>
      <c r="H43" s="16">
        <f t="shared" si="1"/>
        <v>21.21</v>
      </c>
      <c r="I43" s="15">
        <f t="shared" si="2"/>
        <v>5.7000000000000002E-2</v>
      </c>
      <c r="J43" s="15">
        <f>ROUND(G43/117700-1,2)</f>
        <v>0.24</v>
      </c>
    </row>
    <row r="44" spans="1:10" x14ac:dyDescent="0.25">
      <c r="A44" s="25" t="s">
        <v>12</v>
      </c>
      <c r="B44" s="25"/>
      <c r="C44" s="11">
        <f t="shared" ref="C44:H44" si="3">SUM(C8:C43)</f>
        <v>1344660</v>
      </c>
      <c r="D44" s="11">
        <f t="shared" si="3"/>
        <v>442</v>
      </c>
      <c r="E44" s="11">
        <f t="shared" si="3"/>
        <v>1128664</v>
      </c>
      <c r="F44" s="11">
        <f t="shared" si="3"/>
        <v>70576</v>
      </c>
      <c r="G44" s="11">
        <f t="shared" si="3"/>
        <v>2544342</v>
      </c>
      <c r="H44" s="14">
        <f t="shared" si="3"/>
        <v>370.78999999999996</v>
      </c>
      <c r="I44" s="17"/>
      <c r="J44" s="17"/>
    </row>
    <row r="45" spans="1:10" x14ac:dyDescent="0.25">
      <c r="A45" s="25" t="s">
        <v>14</v>
      </c>
      <c r="B45" s="25"/>
      <c r="C45" s="12">
        <f>ROUND(C44/G44,2)</f>
        <v>0.53</v>
      </c>
      <c r="D45" s="12">
        <f>ROUND(D44/G44,2)</f>
        <v>0</v>
      </c>
      <c r="E45" s="12">
        <f>ROUND(E44/G44,2)</f>
        <v>0.44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53</v>
      </c>
      <c r="B50" s="25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0" t="s">
        <v>54</v>
      </c>
      <c r="B51" s="20"/>
      <c r="C51" s="10">
        <v>967180</v>
      </c>
      <c r="D51" s="10">
        <v>442</v>
      </c>
      <c r="E51" s="10">
        <v>983094</v>
      </c>
      <c r="F51" s="10">
        <v>17103</v>
      </c>
      <c r="G51" s="10">
        <f>SUM(C51:F51)</f>
        <v>1967819</v>
      </c>
      <c r="H51" s="16">
        <f>ROUND(G51/6862,2)</f>
        <v>286.77</v>
      </c>
      <c r="I51" s="9"/>
      <c r="J51" s="9"/>
    </row>
    <row r="52" spans="1:10" x14ac:dyDescent="0.25">
      <c r="A52" s="20" t="s">
        <v>55</v>
      </c>
      <c r="B52" s="20"/>
      <c r="C52" s="10">
        <v>377480</v>
      </c>
      <c r="D52" s="10">
        <v>0</v>
      </c>
      <c r="E52" s="10">
        <v>145570</v>
      </c>
      <c r="F52" s="10">
        <v>53300</v>
      </c>
      <c r="G52" s="10">
        <f>SUM(C52:F52)</f>
        <v>576350</v>
      </c>
      <c r="H52" s="16">
        <f>ROUND(G52/6862,2)</f>
        <v>83.99</v>
      </c>
      <c r="I52" s="9"/>
      <c r="J52" s="9"/>
    </row>
    <row r="53" spans="1:10" x14ac:dyDescent="0.25">
      <c r="A53" s="20" t="s">
        <v>56</v>
      </c>
      <c r="B53" s="20"/>
      <c r="C53" s="10">
        <v>0</v>
      </c>
      <c r="D53" s="10">
        <v>0</v>
      </c>
      <c r="E53" s="10">
        <v>0</v>
      </c>
      <c r="F53" s="10">
        <v>173</v>
      </c>
      <c r="G53" s="10">
        <f>SUM(C53:F53)</f>
        <v>173</v>
      </c>
      <c r="H53" s="16">
        <f>ROUND(G53/6862,2)</f>
        <v>0.03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57</v>
      </c>
      <c r="B58" s="25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0" t="s">
        <v>58</v>
      </c>
      <c r="B59" s="20"/>
      <c r="C59" s="15">
        <f>ROUND(0.8294, 4)</f>
        <v>0.82940000000000003</v>
      </c>
      <c r="D59" s="15">
        <f>ROUND(0.8175, 4)</f>
        <v>0.8175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3" t="s">
        <v>64</v>
      </c>
      <c r="J59" s="23" t="s">
        <v>65</v>
      </c>
    </row>
    <row r="60" spans="1:10" x14ac:dyDescent="0.25">
      <c r="A60" s="20" t="s">
        <v>66</v>
      </c>
      <c r="B60" s="20"/>
      <c r="C60" s="15">
        <f>ROUND(0.8197, 4)</f>
        <v>0.81969999999999998</v>
      </c>
      <c r="D60" s="15">
        <f>ROUND(0.8073, 4)</f>
        <v>0.80730000000000002</v>
      </c>
      <c r="E60" s="15">
        <f>ROUND(0.7608, 4)</f>
        <v>0.76080000000000003</v>
      </c>
      <c r="F60" s="8"/>
      <c r="G60" s="14" t="s">
        <v>67</v>
      </c>
      <c r="H60" s="27"/>
      <c r="I60" s="24"/>
      <c r="J60" s="24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5" t="s">
        <v>68</v>
      </c>
      <c r="B64" s="25"/>
      <c r="C64" s="14" t="s">
        <v>2</v>
      </c>
      <c r="D64" s="14" t="s">
        <v>206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0" t="s">
        <v>73</v>
      </c>
      <c r="B65" s="20"/>
      <c r="C65" s="16">
        <v>55.01</v>
      </c>
      <c r="D65" s="16">
        <v>61.41</v>
      </c>
      <c r="E65" s="16">
        <v>91.13</v>
      </c>
      <c r="F65" s="16">
        <v>54.95</v>
      </c>
      <c r="G65" s="16">
        <f>12/10*C65</f>
        <v>66.012</v>
      </c>
      <c r="H65" s="8"/>
      <c r="I65" s="9"/>
      <c r="J65" s="9"/>
    </row>
    <row r="66" spans="1:10" x14ac:dyDescent="0.25">
      <c r="A66" s="20" t="s">
        <v>74</v>
      </c>
      <c r="B66" s="20"/>
      <c r="C66" s="16">
        <v>52.06</v>
      </c>
      <c r="D66" s="16">
        <v>60.54</v>
      </c>
      <c r="E66" s="16">
        <v>61.18</v>
      </c>
      <c r="F66" s="16">
        <v>62.89</v>
      </c>
      <c r="G66" s="16">
        <f>12/10*C66</f>
        <v>62.472000000000001</v>
      </c>
      <c r="H66" s="8"/>
      <c r="I66" s="9"/>
      <c r="J66" s="9"/>
    </row>
    <row r="67" spans="1:10" x14ac:dyDescent="0.25">
      <c r="A67" s="20" t="s">
        <v>75</v>
      </c>
      <c r="B67" s="20"/>
      <c r="C67" s="16">
        <v>286.77</v>
      </c>
      <c r="D67" s="16">
        <v>293.7</v>
      </c>
      <c r="E67" s="16">
        <v>287.25</v>
      </c>
      <c r="F67" s="16">
        <v>278.91000000000003</v>
      </c>
      <c r="G67" s="16">
        <f>12/10*C67</f>
        <v>344.12399999999997</v>
      </c>
      <c r="H67" s="8"/>
      <c r="I67" s="9"/>
      <c r="J67" s="9"/>
    </row>
    <row r="68" spans="1:10" x14ac:dyDescent="0.25">
      <c r="A68" s="20" t="s">
        <v>76</v>
      </c>
      <c r="B68" s="20"/>
      <c r="C68" s="16">
        <v>83.99</v>
      </c>
      <c r="D68" s="16">
        <v>90.23</v>
      </c>
      <c r="E68" s="16">
        <v>114.69</v>
      </c>
      <c r="F68" s="16">
        <v>78.319999999999993</v>
      </c>
      <c r="G68" s="16">
        <f>12/10*C68</f>
        <v>100.788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1" t="s">
        <v>60</v>
      </c>
      <c r="B71" s="22"/>
    </row>
    <row r="72" spans="1:10" x14ac:dyDescent="0.25">
      <c r="A72" s="3" t="s">
        <v>77</v>
      </c>
      <c r="B72" s="1" t="s">
        <v>207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1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1613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52</v>
      </c>
      <c r="F9" s="10"/>
      <c r="G9" s="10">
        <f t="shared" ref="G9:G37" si="0">SUM(C9:F9)</f>
        <v>52</v>
      </c>
      <c r="H9" s="16">
        <f t="shared" ref="H9:H37" si="1">ROUND(G9/1613,2)</f>
        <v>0.03</v>
      </c>
      <c r="I9" s="15">
        <f t="shared" ref="I9:I37" si="2">ROUND(G9/$G$38,3)</f>
        <v>0</v>
      </c>
      <c r="J9" s="15">
        <f>ROUND(G9/87-1,2)</f>
        <v>-0.4</v>
      </c>
    </row>
    <row r="10" spans="1:10" x14ac:dyDescent="0.25">
      <c r="A10" s="1" t="s">
        <v>16</v>
      </c>
      <c r="B10" s="1" t="s">
        <v>19</v>
      </c>
      <c r="C10" s="10"/>
      <c r="D10" s="10">
        <v>44995</v>
      </c>
      <c r="E10" s="10"/>
      <c r="F10" s="10"/>
      <c r="G10" s="10">
        <f t="shared" si="0"/>
        <v>44995</v>
      </c>
      <c r="H10" s="16">
        <f t="shared" si="1"/>
        <v>27.9</v>
      </c>
      <c r="I10" s="15">
        <f t="shared" si="2"/>
        <v>5.8999999999999997E-2</v>
      </c>
      <c r="J10" s="15">
        <f>ROUND(G10/47655-1,2)</f>
        <v>-0.06</v>
      </c>
    </row>
    <row r="11" spans="1:10" x14ac:dyDescent="0.25">
      <c r="A11" s="1" t="s">
        <v>16</v>
      </c>
      <c r="B11" s="1" t="s">
        <v>20</v>
      </c>
      <c r="C11" s="10"/>
      <c r="D11" s="10">
        <v>57235</v>
      </c>
      <c r="E11" s="10"/>
      <c r="F11" s="10"/>
      <c r="G11" s="10">
        <f t="shared" si="0"/>
        <v>57235</v>
      </c>
      <c r="H11" s="16">
        <f t="shared" si="1"/>
        <v>35.479999999999997</v>
      </c>
      <c r="I11" s="15">
        <f t="shared" si="2"/>
        <v>7.4999999999999997E-2</v>
      </c>
      <c r="J11" s="15">
        <f>ROUND(G11/55280-1,2)</f>
        <v>0.04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137</v>
      </c>
      <c r="F12" s="10"/>
      <c r="G12" s="10">
        <f t="shared" si="0"/>
        <v>137</v>
      </c>
      <c r="H12" s="16">
        <f t="shared" si="1"/>
        <v>0.08</v>
      </c>
      <c r="I12" s="15">
        <f t="shared" si="2"/>
        <v>0</v>
      </c>
      <c r="J12" s="15">
        <f>ROUND(G12/107-1,2)</f>
        <v>0.28000000000000003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2100</v>
      </c>
      <c r="F13" s="10"/>
      <c r="G13" s="10">
        <f t="shared" si="0"/>
        <v>2100</v>
      </c>
      <c r="H13" s="16">
        <f t="shared" si="1"/>
        <v>1.3</v>
      </c>
      <c r="I13" s="15">
        <f t="shared" si="2"/>
        <v>3.0000000000000001E-3</v>
      </c>
      <c r="J13" s="15">
        <f>ROUND(G13/3300-1,2)</f>
        <v>-0.36</v>
      </c>
    </row>
    <row r="14" spans="1:10" x14ac:dyDescent="0.25">
      <c r="A14" s="1" t="s">
        <v>16</v>
      </c>
      <c r="B14" s="1" t="s">
        <v>98</v>
      </c>
      <c r="C14" s="10"/>
      <c r="D14" s="10"/>
      <c r="E14" s="10"/>
      <c r="F14" s="10">
        <v>286</v>
      </c>
      <c r="G14" s="10">
        <f t="shared" si="0"/>
        <v>286</v>
      </c>
      <c r="H14" s="16">
        <f t="shared" si="1"/>
        <v>0.18</v>
      </c>
      <c r="I14" s="15">
        <f t="shared" si="2"/>
        <v>0</v>
      </c>
      <c r="J14" s="15"/>
    </row>
    <row r="15" spans="1:10" x14ac:dyDescent="0.25">
      <c r="A15" s="1" t="s">
        <v>16</v>
      </c>
      <c r="B15" s="1" t="s">
        <v>23</v>
      </c>
      <c r="C15" s="10"/>
      <c r="D15" s="10"/>
      <c r="E15" s="10">
        <v>67900</v>
      </c>
      <c r="F15" s="10"/>
      <c r="G15" s="10">
        <f t="shared" si="0"/>
        <v>67900</v>
      </c>
      <c r="H15" s="16">
        <f t="shared" si="1"/>
        <v>42.1</v>
      </c>
      <c r="I15" s="15">
        <f t="shared" si="2"/>
        <v>8.8999999999999996E-2</v>
      </c>
      <c r="J15" s="15">
        <f>ROUND(G15/67800-1,2)</f>
        <v>0</v>
      </c>
    </row>
    <row r="16" spans="1:10" x14ac:dyDescent="0.25">
      <c r="A16" s="1" t="s">
        <v>16</v>
      </c>
      <c r="B16" s="1" t="s">
        <v>24</v>
      </c>
      <c r="C16" s="10"/>
      <c r="D16" s="10">
        <v>61215</v>
      </c>
      <c r="E16" s="10">
        <v>8340</v>
      </c>
      <c r="F16" s="10"/>
      <c r="G16" s="10">
        <f t="shared" si="0"/>
        <v>69555</v>
      </c>
      <c r="H16" s="16">
        <f t="shared" si="1"/>
        <v>43.12</v>
      </c>
      <c r="I16" s="15">
        <f t="shared" si="2"/>
        <v>9.1999999999999998E-2</v>
      </c>
      <c r="J16" s="15">
        <f>ROUND(G16/66600-1,2)</f>
        <v>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3185</v>
      </c>
      <c r="F17" s="10"/>
      <c r="G17" s="10">
        <f t="shared" si="0"/>
        <v>3185</v>
      </c>
      <c r="H17" s="16">
        <f t="shared" si="1"/>
        <v>1.97</v>
      </c>
      <c r="I17" s="15">
        <f t="shared" si="2"/>
        <v>4.0000000000000001E-3</v>
      </c>
      <c r="J17" s="15">
        <f>ROUND(G17/2715-1,2)</f>
        <v>0.17</v>
      </c>
    </row>
    <row r="18" spans="1:10" x14ac:dyDescent="0.25">
      <c r="A18" s="1" t="s">
        <v>16</v>
      </c>
      <c r="B18" s="1" t="s">
        <v>26</v>
      </c>
      <c r="C18" s="10"/>
      <c r="D18" s="10">
        <v>64980</v>
      </c>
      <c r="E18" s="10"/>
      <c r="F18" s="10">
        <v>960</v>
      </c>
      <c r="G18" s="10">
        <f t="shared" si="0"/>
        <v>65940</v>
      </c>
      <c r="H18" s="16">
        <f t="shared" si="1"/>
        <v>40.880000000000003</v>
      </c>
      <c r="I18" s="15">
        <f t="shared" si="2"/>
        <v>8.6999999999999994E-2</v>
      </c>
      <c r="J18" s="15">
        <f>ROUND(G18/73280-1,2)</f>
        <v>-0.1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1170</v>
      </c>
      <c r="F19" s="10"/>
      <c r="G19" s="10">
        <f t="shared" si="0"/>
        <v>1170</v>
      </c>
      <c r="H19" s="16">
        <f t="shared" si="1"/>
        <v>0.73</v>
      </c>
      <c r="I19" s="15">
        <f t="shared" si="2"/>
        <v>2E-3</v>
      </c>
      <c r="J19" s="15">
        <f>ROUND(G19/1910-1,2)</f>
        <v>-0.39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150</v>
      </c>
      <c r="F20" s="10"/>
      <c r="G20" s="10">
        <f t="shared" si="0"/>
        <v>150</v>
      </c>
      <c r="H20" s="16">
        <f t="shared" si="1"/>
        <v>0.09</v>
      </c>
      <c r="I20" s="15">
        <f t="shared" si="2"/>
        <v>0</v>
      </c>
      <c r="J20" s="15">
        <f>ROUND(G20/410-1,2)</f>
        <v>-0.63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1170</v>
      </c>
      <c r="F21" s="10"/>
      <c r="G21" s="10">
        <f t="shared" si="0"/>
        <v>1170</v>
      </c>
      <c r="H21" s="16">
        <f t="shared" si="1"/>
        <v>0.73</v>
      </c>
      <c r="I21" s="15">
        <f t="shared" si="2"/>
        <v>2E-3</v>
      </c>
      <c r="J21" s="15">
        <f>ROUND(G21/420-1,2)</f>
        <v>1.79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1805</v>
      </c>
      <c r="F22" s="10">
        <v>570</v>
      </c>
      <c r="G22" s="10">
        <f t="shared" si="0"/>
        <v>2375</v>
      </c>
      <c r="H22" s="16">
        <f t="shared" si="1"/>
        <v>1.47</v>
      </c>
      <c r="I22" s="15">
        <f t="shared" si="2"/>
        <v>3.0000000000000001E-3</v>
      </c>
      <c r="J22" s="15">
        <f>ROUND(G22/1305-1,2)</f>
        <v>0.82</v>
      </c>
    </row>
    <row r="23" spans="1:10" x14ac:dyDescent="0.25">
      <c r="A23" s="1" t="s">
        <v>16</v>
      </c>
      <c r="B23" s="1" t="s">
        <v>33</v>
      </c>
      <c r="C23" s="10"/>
      <c r="D23" s="10">
        <v>133</v>
      </c>
      <c r="E23" s="10">
        <v>62</v>
      </c>
      <c r="F23" s="10"/>
      <c r="G23" s="10">
        <f t="shared" si="0"/>
        <v>195</v>
      </c>
      <c r="H23" s="16">
        <f t="shared" si="1"/>
        <v>0.12</v>
      </c>
      <c r="I23" s="15">
        <f t="shared" si="2"/>
        <v>0</v>
      </c>
      <c r="J23" s="15">
        <f>ROUND(G23/127-1,2)</f>
        <v>0.54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1330</v>
      </c>
      <c r="F24" s="10"/>
      <c r="G24" s="10">
        <f t="shared" si="0"/>
        <v>1330</v>
      </c>
      <c r="H24" s="16">
        <f t="shared" si="1"/>
        <v>0.82</v>
      </c>
      <c r="I24" s="15">
        <f t="shared" si="2"/>
        <v>2E-3</v>
      </c>
      <c r="J24" s="15">
        <f>ROUND(G24/1340-1,2)</f>
        <v>-0.01</v>
      </c>
    </row>
    <row r="25" spans="1:10" x14ac:dyDescent="0.25">
      <c r="A25" s="1" t="s">
        <v>16</v>
      </c>
      <c r="B25" s="1" t="s">
        <v>35</v>
      </c>
      <c r="C25" s="10"/>
      <c r="D25" s="10">
        <v>50</v>
      </c>
      <c r="E25" s="10">
        <v>70</v>
      </c>
      <c r="F25" s="10"/>
      <c r="G25" s="10">
        <f t="shared" si="0"/>
        <v>120</v>
      </c>
      <c r="H25" s="16">
        <f t="shared" si="1"/>
        <v>7.0000000000000007E-2</v>
      </c>
      <c r="I25" s="15">
        <f t="shared" si="2"/>
        <v>0</v>
      </c>
      <c r="J25" s="15">
        <f>ROUND(G25/259-1,2)</f>
        <v>-0.54</v>
      </c>
    </row>
    <row r="26" spans="1:10" x14ac:dyDescent="0.25">
      <c r="A26" s="1" t="s">
        <v>16</v>
      </c>
      <c r="B26" s="1" t="s">
        <v>36</v>
      </c>
      <c r="C26" s="10"/>
      <c r="D26" s="10"/>
      <c r="E26" s="10">
        <v>663</v>
      </c>
      <c r="F26" s="10"/>
      <c r="G26" s="10">
        <f t="shared" si="0"/>
        <v>663</v>
      </c>
      <c r="H26" s="16">
        <f t="shared" si="1"/>
        <v>0.41</v>
      </c>
      <c r="I26" s="15">
        <f t="shared" si="2"/>
        <v>1E-3</v>
      </c>
      <c r="J26" s="15">
        <f>ROUND(G26/1616-1,2)</f>
        <v>-0.59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2045</v>
      </c>
      <c r="F27" s="10"/>
      <c r="G27" s="10">
        <f t="shared" si="0"/>
        <v>2045</v>
      </c>
      <c r="H27" s="16">
        <f t="shared" si="1"/>
        <v>1.27</v>
      </c>
      <c r="I27" s="15">
        <f t="shared" si="2"/>
        <v>3.0000000000000001E-3</v>
      </c>
      <c r="J27" s="15">
        <f>ROUND(G27/2553-1,2)</f>
        <v>-0.2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2373</v>
      </c>
      <c r="F28" s="10"/>
      <c r="G28" s="10">
        <f t="shared" si="0"/>
        <v>2373</v>
      </c>
      <c r="H28" s="16">
        <f t="shared" si="1"/>
        <v>1.47</v>
      </c>
      <c r="I28" s="15">
        <f t="shared" si="2"/>
        <v>3.0000000000000001E-3</v>
      </c>
      <c r="J28" s="15">
        <f>ROUND(G28/4708-1,2)</f>
        <v>-0.5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43850</v>
      </c>
      <c r="F29" s="10"/>
      <c r="G29" s="10">
        <f t="shared" si="0"/>
        <v>43850</v>
      </c>
      <c r="H29" s="16">
        <f t="shared" si="1"/>
        <v>27.19</v>
      </c>
      <c r="I29" s="15">
        <f t="shared" si="2"/>
        <v>5.8000000000000003E-2</v>
      </c>
      <c r="J29" s="15">
        <f>ROUND(G29/38400-1,2)</f>
        <v>0.14000000000000001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6120</v>
      </c>
      <c r="F30" s="10"/>
      <c r="G30" s="10">
        <f t="shared" si="0"/>
        <v>6120</v>
      </c>
      <c r="H30" s="16">
        <f t="shared" si="1"/>
        <v>3.79</v>
      </c>
      <c r="I30" s="15">
        <f t="shared" si="2"/>
        <v>8.0000000000000002E-3</v>
      </c>
      <c r="J30" s="15">
        <f>ROUND(G30/5610-1,2)</f>
        <v>0.09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24950</v>
      </c>
      <c r="F31" s="10"/>
      <c r="G31" s="10">
        <f t="shared" si="0"/>
        <v>24950</v>
      </c>
      <c r="H31" s="16">
        <f t="shared" si="1"/>
        <v>15.47</v>
      </c>
      <c r="I31" s="15">
        <f t="shared" si="2"/>
        <v>3.3000000000000002E-2</v>
      </c>
      <c r="J31" s="15">
        <f>ROUND(G31/12490-1,2)</f>
        <v>1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61740</v>
      </c>
      <c r="F32" s="10"/>
      <c r="G32" s="10">
        <f t="shared" si="0"/>
        <v>61740</v>
      </c>
      <c r="H32" s="16">
        <f t="shared" si="1"/>
        <v>38.28</v>
      </c>
      <c r="I32" s="15">
        <f t="shared" si="2"/>
        <v>8.1000000000000003E-2</v>
      </c>
      <c r="J32" s="15">
        <f>ROUND(G32/55930-1,2)</f>
        <v>0.1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ROUND(G33/212-1,2)</f>
        <v>-1</v>
      </c>
    </row>
    <row r="34" spans="1:10" x14ac:dyDescent="0.25">
      <c r="A34" s="1" t="s">
        <v>44</v>
      </c>
      <c r="B34" s="1" t="s">
        <v>45</v>
      </c>
      <c r="C34" s="10"/>
      <c r="D34" s="10">
        <v>277495</v>
      </c>
      <c r="E34" s="10"/>
      <c r="F34" s="10"/>
      <c r="G34" s="10">
        <f t="shared" si="0"/>
        <v>277495</v>
      </c>
      <c r="H34" s="16">
        <f t="shared" si="1"/>
        <v>172.04</v>
      </c>
      <c r="I34" s="15">
        <f t="shared" si="2"/>
        <v>0.36499999999999999</v>
      </c>
      <c r="J34" s="15">
        <f>ROUND(G34/275200-1,2)</f>
        <v>0.01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22180</v>
      </c>
      <c r="F35" s="10"/>
      <c r="G35" s="10">
        <f t="shared" si="0"/>
        <v>22180</v>
      </c>
      <c r="H35" s="16">
        <f t="shared" si="1"/>
        <v>13.75</v>
      </c>
      <c r="I35" s="15">
        <f t="shared" si="2"/>
        <v>2.9000000000000001E-2</v>
      </c>
      <c r="J35" s="15">
        <f>ROUND(G35/27580-1,2)</f>
        <v>-0.2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86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5" t="s">
        <v>12</v>
      </c>
      <c r="B38" s="25"/>
      <c r="C38" s="11">
        <f t="shared" ref="C38:H38" si="3">SUM(C8:C37)</f>
        <v>0</v>
      </c>
      <c r="D38" s="11">
        <f t="shared" si="3"/>
        <v>506103</v>
      </c>
      <c r="E38" s="11">
        <f t="shared" si="3"/>
        <v>251392</v>
      </c>
      <c r="F38" s="11">
        <f t="shared" si="3"/>
        <v>1816</v>
      </c>
      <c r="G38" s="11">
        <f t="shared" si="3"/>
        <v>759311</v>
      </c>
      <c r="H38" s="14">
        <f t="shared" si="3"/>
        <v>470.7399999999999</v>
      </c>
      <c r="I38" s="17"/>
      <c r="J38" s="17"/>
    </row>
    <row r="39" spans="1:10" x14ac:dyDescent="0.25">
      <c r="A39" s="25" t="s">
        <v>14</v>
      </c>
      <c r="B39" s="25"/>
      <c r="C39" s="12">
        <f>ROUND(C38/G38,2)</f>
        <v>0</v>
      </c>
      <c r="D39" s="12">
        <f>ROUND(D38/G38,2)</f>
        <v>0.67</v>
      </c>
      <c r="E39" s="12">
        <f>ROUND(E38/G38,2)</f>
        <v>0.33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53</v>
      </c>
      <c r="B44" s="25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0" t="s">
        <v>54</v>
      </c>
      <c r="B45" s="20"/>
      <c r="C45" s="10">
        <v>0</v>
      </c>
      <c r="D45" s="10">
        <v>228608</v>
      </c>
      <c r="E45" s="10">
        <v>229212</v>
      </c>
      <c r="F45" s="10">
        <v>1816</v>
      </c>
      <c r="G45" s="10">
        <f>SUM(C45:F45)</f>
        <v>459636</v>
      </c>
      <c r="H45" s="16">
        <f>ROUND(G45/1613,2)</f>
        <v>284.95999999999998</v>
      </c>
      <c r="I45" s="9"/>
      <c r="J45" s="9"/>
    </row>
    <row r="46" spans="1:10" x14ac:dyDescent="0.25">
      <c r="A46" s="20" t="s">
        <v>55</v>
      </c>
      <c r="B46" s="20"/>
      <c r="C46" s="10">
        <v>0</v>
      </c>
      <c r="D46" s="10">
        <v>277495</v>
      </c>
      <c r="E46" s="10">
        <v>22180</v>
      </c>
      <c r="F46" s="10">
        <v>0</v>
      </c>
      <c r="G46" s="10">
        <f>SUM(C46:F46)</f>
        <v>299675</v>
      </c>
      <c r="H46" s="16">
        <f>ROUND(G46/1613,2)</f>
        <v>185.79</v>
      </c>
      <c r="I46" s="9"/>
      <c r="J46" s="9"/>
    </row>
    <row r="47" spans="1:10" x14ac:dyDescent="0.25">
      <c r="A47" s="20" t="s">
        <v>56</v>
      </c>
      <c r="B47" s="20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ROUND(G47/1613,2)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57</v>
      </c>
      <c r="B52" s="25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0" t="s">
        <v>58</v>
      </c>
      <c r="B53" s="20"/>
      <c r="C53" s="15">
        <f>ROUND(0.594, 4)</f>
        <v>0.59399999999999997</v>
      </c>
      <c r="D53" s="15">
        <f>ROUND(0.5905, 4)</f>
        <v>0.59050000000000002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3" t="s">
        <v>64</v>
      </c>
      <c r="J53" s="23" t="s">
        <v>65</v>
      </c>
    </row>
    <row r="54" spans="1:10" x14ac:dyDescent="0.25">
      <c r="A54" s="20" t="s">
        <v>66</v>
      </c>
      <c r="B54" s="20"/>
      <c r="C54" s="15">
        <f>ROUND(0.5697, 4)</f>
        <v>0.56969999999999998</v>
      </c>
      <c r="D54" s="15">
        <f>ROUND(0.5628, 4)</f>
        <v>0.56279999999999997</v>
      </c>
      <c r="E54" s="15">
        <f>ROUND(0.7608, 4)</f>
        <v>0.76080000000000003</v>
      </c>
      <c r="F54" s="8"/>
      <c r="G54" s="14" t="s">
        <v>67</v>
      </c>
      <c r="H54" s="27"/>
      <c r="I54" s="24"/>
      <c r="J54" s="24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68</v>
      </c>
      <c r="B58" s="25"/>
      <c r="C58" s="14" t="s">
        <v>2</v>
      </c>
      <c r="D58" s="14" t="s">
        <v>209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0" t="s">
        <v>73</v>
      </c>
      <c r="B59" s="20"/>
      <c r="C59" s="16">
        <v>172.04</v>
      </c>
      <c r="D59" s="16">
        <v>180.75</v>
      </c>
      <c r="E59" s="16">
        <v>91.13</v>
      </c>
      <c r="F59" s="16">
        <v>54.95</v>
      </c>
      <c r="G59" s="16">
        <f>12/10*C59</f>
        <v>206.44799999999998</v>
      </c>
      <c r="H59" s="8"/>
      <c r="I59" s="9"/>
      <c r="J59" s="9"/>
    </row>
    <row r="60" spans="1:10" x14ac:dyDescent="0.25">
      <c r="A60" s="20" t="s">
        <v>74</v>
      </c>
      <c r="B60" s="20"/>
      <c r="C60" s="16">
        <v>40.880000000000003</v>
      </c>
      <c r="D60" s="16">
        <v>53.93</v>
      </c>
      <c r="E60" s="16">
        <v>61.18</v>
      </c>
      <c r="F60" s="16">
        <v>62.89</v>
      </c>
      <c r="G60" s="16">
        <f>12/10*C60</f>
        <v>49.056000000000004</v>
      </c>
      <c r="H60" s="8"/>
      <c r="I60" s="9"/>
      <c r="J60" s="9"/>
    </row>
    <row r="61" spans="1:10" x14ac:dyDescent="0.25">
      <c r="A61" s="20" t="s">
        <v>75</v>
      </c>
      <c r="B61" s="20"/>
      <c r="C61" s="16">
        <v>284.95999999999998</v>
      </c>
      <c r="D61" s="16">
        <v>323.87</v>
      </c>
      <c r="E61" s="16">
        <v>287.25</v>
      </c>
      <c r="F61" s="16">
        <v>278.91000000000003</v>
      </c>
      <c r="G61" s="16">
        <f>12/10*C61</f>
        <v>341.95199999999994</v>
      </c>
      <c r="H61" s="8"/>
      <c r="I61" s="9"/>
      <c r="J61" s="9"/>
    </row>
    <row r="62" spans="1:10" x14ac:dyDescent="0.25">
      <c r="A62" s="20" t="s">
        <v>76</v>
      </c>
      <c r="B62" s="20"/>
      <c r="C62" s="16">
        <v>185.79</v>
      </c>
      <c r="D62" s="16">
        <v>200.58</v>
      </c>
      <c r="E62" s="16">
        <v>114.69</v>
      </c>
      <c r="F62" s="16">
        <v>78.319999999999993</v>
      </c>
      <c r="G62" s="16">
        <f>12/10*C62</f>
        <v>222.94799999999998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2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210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5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1602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75</v>
      </c>
      <c r="F9" s="10"/>
      <c r="G9" s="10">
        <f t="shared" ref="G9:G39" si="0">SUM(C9:F9)</f>
        <v>75</v>
      </c>
      <c r="H9" s="16">
        <f t="shared" ref="H9:H39" si="1">ROUND(G9/1602,2)</f>
        <v>0.05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36570</v>
      </c>
      <c r="D10" s="10"/>
      <c r="E10" s="10"/>
      <c r="F10" s="10">
        <v>210</v>
      </c>
      <c r="G10" s="10">
        <f t="shared" si="0"/>
        <v>36780</v>
      </c>
      <c r="H10" s="16">
        <f t="shared" si="1"/>
        <v>22.96</v>
      </c>
      <c r="I10" s="15">
        <f t="shared" si="2"/>
        <v>0.09</v>
      </c>
      <c r="J10" s="15">
        <f>ROUND(G10/34660-1,2)</f>
        <v>0.06</v>
      </c>
    </row>
    <row r="11" spans="1:10" x14ac:dyDescent="0.25">
      <c r="A11" s="1" t="s">
        <v>16</v>
      </c>
      <c r="B11" s="1" t="s">
        <v>20</v>
      </c>
      <c r="C11" s="10">
        <v>50380</v>
      </c>
      <c r="D11" s="10"/>
      <c r="E11" s="10"/>
      <c r="F11" s="10"/>
      <c r="G11" s="10">
        <f t="shared" si="0"/>
        <v>50380</v>
      </c>
      <c r="H11" s="16">
        <f t="shared" si="1"/>
        <v>31.45</v>
      </c>
      <c r="I11" s="15">
        <f t="shared" si="2"/>
        <v>0.123</v>
      </c>
      <c r="J11" s="15">
        <f>ROUND(G11/49500-1,2)</f>
        <v>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64</v>
      </c>
      <c r="F12" s="10"/>
      <c r="G12" s="10">
        <f t="shared" si="0"/>
        <v>64</v>
      </c>
      <c r="H12" s="16">
        <f t="shared" si="1"/>
        <v>0.04</v>
      </c>
      <c r="I12" s="15">
        <f t="shared" si="2"/>
        <v>0</v>
      </c>
      <c r="J12" s="15">
        <f>ROUND(G12/179-1,2)</f>
        <v>-0.64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118</v>
      </c>
      <c r="F13" s="10"/>
      <c r="G13" s="10">
        <f t="shared" si="0"/>
        <v>118</v>
      </c>
      <c r="H13" s="16">
        <f t="shared" si="1"/>
        <v>7.0000000000000007E-2</v>
      </c>
      <c r="I13" s="15">
        <f t="shared" si="2"/>
        <v>0</v>
      </c>
      <c r="J13" s="15">
        <f>ROUND(G13/48-1,2)</f>
        <v>1.46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1100</v>
      </c>
      <c r="F14" s="10"/>
      <c r="G14" s="10">
        <f t="shared" si="0"/>
        <v>1100</v>
      </c>
      <c r="H14" s="16">
        <f t="shared" si="1"/>
        <v>0.69</v>
      </c>
      <c r="I14" s="15">
        <f t="shared" si="2"/>
        <v>3.0000000000000001E-3</v>
      </c>
      <c r="J14" s="15"/>
    </row>
    <row r="15" spans="1:10" x14ac:dyDescent="0.25">
      <c r="A15" s="1" t="s">
        <v>16</v>
      </c>
      <c r="B15" s="1" t="s">
        <v>23</v>
      </c>
      <c r="C15" s="10"/>
      <c r="D15" s="10"/>
      <c r="E15" s="10">
        <v>14260</v>
      </c>
      <c r="F15" s="10"/>
      <c r="G15" s="10">
        <f t="shared" si="0"/>
        <v>14260</v>
      </c>
      <c r="H15" s="16">
        <f t="shared" si="1"/>
        <v>8.9</v>
      </c>
      <c r="I15" s="15">
        <f t="shared" si="2"/>
        <v>3.5000000000000003E-2</v>
      </c>
      <c r="J15" s="15">
        <f>ROUND(G15/18480-1,2)</f>
        <v>-0.23</v>
      </c>
    </row>
    <row r="16" spans="1:10" x14ac:dyDescent="0.25">
      <c r="A16" s="1" t="s">
        <v>16</v>
      </c>
      <c r="B16" s="1" t="s">
        <v>24</v>
      </c>
      <c r="C16" s="10">
        <v>46270</v>
      </c>
      <c r="D16" s="10"/>
      <c r="E16" s="10"/>
      <c r="F16" s="10">
        <v>330</v>
      </c>
      <c r="G16" s="10">
        <f t="shared" si="0"/>
        <v>46600</v>
      </c>
      <c r="H16" s="16">
        <f t="shared" si="1"/>
        <v>29.09</v>
      </c>
      <c r="I16" s="15">
        <f t="shared" si="2"/>
        <v>0.114</v>
      </c>
      <c r="J16" s="15">
        <f>ROUND(G16/43120-1,2)</f>
        <v>0.08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1440</v>
      </c>
      <c r="F17" s="10"/>
      <c r="G17" s="10">
        <f t="shared" si="0"/>
        <v>1440</v>
      </c>
      <c r="H17" s="16">
        <f t="shared" si="1"/>
        <v>0.9</v>
      </c>
      <c r="I17" s="15">
        <f t="shared" si="2"/>
        <v>4.0000000000000001E-3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101000</v>
      </c>
      <c r="D18" s="10"/>
      <c r="E18" s="10"/>
      <c r="F18" s="10">
        <v>840</v>
      </c>
      <c r="G18" s="10">
        <f t="shared" si="0"/>
        <v>101840</v>
      </c>
      <c r="H18" s="16">
        <f t="shared" si="1"/>
        <v>63.57</v>
      </c>
      <c r="I18" s="15">
        <f t="shared" si="2"/>
        <v>0.249</v>
      </c>
      <c r="J18" s="15">
        <f>ROUND(G18/110680-1,2)</f>
        <v>-0.08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684</v>
      </c>
      <c r="F19" s="10"/>
      <c r="G19" s="10">
        <f t="shared" si="0"/>
        <v>684</v>
      </c>
      <c r="H19" s="16">
        <f t="shared" si="1"/>
        <v>0.43</v>
      </c>
      <c r="I19" s="15">
        <f t="shared" si="2"/>
        <v>2E-3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295</v>
      </c>
      <c r="F20" s="10"/>
      <c r="G20" s="10">
        <f t="shared" si="0"/>
        <v>295</v>
      </c>
      <c r="H20" s="16">
        <f t="shared" si="1"/>
        <v>0.18</v>
      </c>
      <c r="I20" s="15">
        <f t="shared" si="2"/>
        <v>1E-3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860</v>
      </c>
      <c r="F21" s="10"/>
      <c r="G21" s="10">
        <f t="shared" si="0"/>
        <v>860</v>
      </c>
      <c r="H21" s="16">
        <f t="shared" si="1"/>
        <v>0.54</v>
      </c>
      <c r="I21" s="15">
        <f t="shared" si="2"/>
        <v>2E-3</v>
      </c>
      <c r="J21" s="15">
        <f>ROUND(G21/800-1,2)</f>
        <v>0.08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600</v>
      </c>
      <c r="F22" s="10"/>
      <c r="G22" s="10">
        <f t="shared" si="0"/>
        <v>600</v>
      </c>
      <c r="H22" s="16">
        <f t="shared" si="1"/>
        <v>0.37</v>
      </c>
      <c r="I22" s="15">
        <f t="shared" si="2"/>
        <v>1E-3</v>
      </c>
      <c r="J22" s="15">
        <f>ROUND(G22/610-1,2)</f>
        <v>-0.02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815</v>
      </c>
      <c r="F23" s="10"/>
      <c r="G23" s="10">
        <f t="shared" si="0"/>
        <v>815</v>
      </c>
      <c r="H23" s="16">
        <f t="shared" si="1"/>
        <v>0.51</v>
      </c>
      <c r="I23" s="15">
        <f t="shared" si="2"/>
        <v>2E-3</v>
      </c>
      <c r="J23" s="15">
        <f>ROUND(G23/640-1,2)</f>
        <v>0.27</v>
      </c>
    </row>
    <row r="24" spans="1:10" x14ac:dyDescent="0.25">
      <c r="A24" s="1" t="s">
        <v>16</v>
      </c>
      <c r="B24" s="1" t="s">
        <v>33</v>
      </c>
      <c r="C24" s="10"/>
      <c r="D24" s="10">
        <v>113</v>
      </c>
      <c r="E24" s="10">
        <v>76</v>
      </c>
      <c r="F24" s="10"/>
      <c r="G24" s="10">
        <f t="shared" si="0"/>
        <v>189</v>
      </c>
      <c r="H24" s="16">
        <f t="shared" si="1"/>
        <v>0.12</v>
      </c>
      <c r="I24" s="15">
        <f t="shared" si="2"/>
        <v>0</v>
      </c>
      <c r="J24" s="15">
        <f>ROUND(G24/170-1,2)</f>
        <v>0.11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150</v>
      </c>
      <c r="F25" s="10"/>
      <c r="G25" s="10">
        <f t="shared" si="0"/>
        <v>150</v>
      </c>
      <c r="H25" s="16">
        <f t="shared" si="1"/>
        <v>0.09</v>
      </c>
      <c r="I25" s="15">
        <f t="shared" si="2"/>
        <v>0</v>
      </c>
      <c r="J25" s="15">
        <f>ROUND(G25/780-1,2)</f>
        <v>-0.81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490</v>
      </c>
      <c r="F26" s="10"/>
      <c r="G26" s="10">
        <f t="shared" si="0"/>
        <v>490</v>
      </c>
      <c r="H26" s="16">
        <f t="shared" si="1"/>
        <v>0.31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37</v>
      </c>
      <c r="C27" s="10"/>
      <c r="D27" s="10"/>
      <c r="E27" s="10">
        <v>2110</v>
      </c>
      <c r="F27" s="10"/>
      <c r="G27" s="10">
        <f t="shared" si="0"/>
        <v>2110</v>
      </c>
      <c r="H27" s="16">
        <f t="shared" si="1"/>
        <v>1.32</v>
      </c>
      <c r="I27" s="15">
        <f t="shared" si="2"/>
        <v>5.0000000000000001E-3</v>
      </c>
      <c r="J27" s="15">
        <f>ROUND(G27/1732-1,2)</f>
        <v>0.22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2020</v>
      </c>
      <c r="F28" s="10"/>
      <c r="G28" s="10">
        <f t="shared" si="0"/>
        <v>2020</v>
      </c>
      <c r="H28" s="16">
        <f t="shared" si="1"/>
        <v>1.26</v>
      </c>
      <c r="I28" s="15">
        <f t="shared" si="2"/>
        <v>5.0000000000000001E-3</v>
      </c>
      <c r="J28" s="15">
        <f>ROUND(G28/2360-1,2)</f>
        <v>-0.14000000000000001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26270</v>
      </c>
      <c r="F29" s="10"/>
      <c r="G29" s="10">
        <f t="shared" si="0"/>
        <v>26270</v>
      </c>
      <c r="H29" s="16">
        <f t="shared" si="1"/>
        <v>16.399999999999999</v>
      </c>
      <c r="I29" s="15">
        <f t="shared" si="2"/>
        <v>6.4000000000000001E-2</v>
      </c>
      <c r="J29" s="15">
        <f>ROUND(G29/14850-1,2)</f>
        <v>0.77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1140</v>
      </c>
      <c r="F30" s="10"/>
      <c r="G30" s="10">
        <f t="shared" si="0"/>
        <v>1140</v>
      </c>
      <c r="H30" s="16">
        <f t="shared" si="1"/>
        <v>0.71</v>
      </c>
      <c r="I30" s="15">
        <f t="shared" si="2"/>
        <v>3.0000000000000001E-3</v>
      </c>
      <c r="J30" s="15"/>
    </row>
    <row r="31" spans="1:10" x14ac:dyDescent="0.25">
      <c r="A31" s="1" t="s">
        <v>16</v>
      </c>
      <c r="B31" s="1" t="s">
        <v>40</v>
      </c>
      <c r="C31" s="10"/>
      <c r="D31" s="10"/>
      <c r="E31" s="10">
        <v>6340</v>
      </c>
      <c r="F31" s="10"/>
      <c r="G31" s="10">
        <f t="shared" si="0"/>
        <v>6340</v>
      </c>
      <c r="H31" s="16">
        <f t="shared" si="1"/>
        <v>3.96</v>
      </c>
      <c r="I31" s="15">
        <f t="shared" si="2"/>
        <v>1.4999999999999999E-2</v>
      </c>
      <c r="J31" s="15">
        <f>ROUND(G31/3700-1,2)</f>
        <v>0.71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44860</v>
      </c>
      <c r="F32" s="10"/>
      <c r="G32" s="10">
        <f t="shared" si="0"/>
        <v>44860</v>
      </c>
      <c r="H32" s="16">
        <f t="shared" si="1"/>
        <v>28</v>
      </c>
      <c r="I32" s="15">
        <f t="shared" si="2"/>
        <v>0.11</v>
      </c>
      <c r="J32" s="15">
        <f>ROUND(G32/43870-1,2)</f>
        <v>0.02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ROUND(G34/270-1,2)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ROUND(G35/650-1,2)</f>
        <v>-1</v>
      </c>
    </row>
    <row r="36" spans="1:10" x14ac:dyDescent="0.25">
      <c r="A36" s="1" t="s">
        <v>44</v>
      </c>
      <c r="B36" s="1" t="s">
        <v>45</v>
      </c>
      <c r="C36" s="10">
        <v>47720</v>
      </c>
      <c r="D36" s="10"/>
      <c r="E36" s="10"/>
      <c r="F36" s="10"/>
      <c r="G36" s="10">
        <f t="shared" si="0"/>
        <v>47720</v>
      </c>
      <c r="H36" s="16">
        <f t="shared" si="1"/>
        <v>29.79</v>
      </c>
      <c r="I36" s="15">
        <f t="shared" si="2"/>
        <v>0.11700000000000001</v>
      </c>
      <c r="J36" s="15">
        <f>ROUND(G36/45330-1,2)</f>
        <v>0.05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6020</v>
      </c>
      <c r="G37" s="10">
        <f t="shared" si="0"/>
        <v>6020</v>
      </c>
      <c r="H37" s="16">
        <f t="shared" si="1"/>
        <v>3.76</v>
      </c>
      <c r="I37" s="15">
        <f t="shared" si="2"/>
        <v>1.4999999999999999E-2</v>
      </c>
      <c r="J37" s="15">
        <f>ROUND(G37/20320-1,2)</f>
        <v>-0.7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16110</v>
      </c>
      <c r="F38" s="10"/>
      <c r="G38" s="10">
        <f t="shared" si="0"/>
        <v>16110</v>
      </c>
      <c r="H38" s="16">
        <f t="shared" si="1"/>
        <v>10.06</v>
      </c>
      <c r="I38" s="15">
        <f t="shared" si="2"/>
        <v>3.9E-2</v>
      </c>
      <c r="J38" s="15">
        <f>ROUND(G38/9090-1,2)</f>
        <v>0.77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5" t="s">
        <v>12</v>
      </c>
      <c r="B40" s="25"/>
      <c r="C40" s="11">
        <f t="shared" ref="C40:H40" si="3">SUM(C8:C39)</f>
        <v>281940</v>
      </c>
      <c r="D40" s="11">
        <f t="shared" si="3"/>
        <v>113</v>
      </c>
      <c r="E40" s="11">
        <f t="shared" si="3"/>
        <v>119877</v>
      </c>
      <c r="F40" s="11">
        <f t="shared" si="3"/>
        <v>7400</v>
      </c>
      <c r="G40" s="11">
        <f t="shared" si="3"/>
        <v>409330</v>
      </c>
      <c r="H40" s="14">
        <f t="shared" si="3"/>
        <v>255.53</v>
      </c>
      <c r="I40" s="17"/>
      <c r="J40" s="17"/>
    </row>
    <row r="41" spans="1:10" x14ac:dyDescent="0.25">
      <c r="A41" s="25" t="s">
        <v>14</v>
      </c>
      <c r="B41" s="25"/>
      <c r="C41" s="12">
        <f>ROUND(C40/G40,2)</f>
        <v>0.69</v>
      </c>
      <c r="D41" s="12">
        <f>ROUND(D40/G40,2)</f>
        <v>0</v>
      </c>
      <c r="E41" s="12">
        <f>ROUND(E40/G40,2)</f>
        <v>0.28999999999999998</v>
      </c>
      <c r="F41" s="12">
        <f>ROUND(F40/G40,2)</f>
        <v>0.02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5" t="s">
        <v>53</v>
      </c>
      <c r="B46" s="25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0" t="s">
        <v>54</v>
      </c>
      <c r="B47" s="20"/>
      <c r="C47" s="10">
        <v>234220</v>
      </c>
      <c r="D47" s="10">
        <v>113</v>
      </c>
      <c r="E47" s="10">
        <v>103767</v>
      </c>
      <c r="F47" s="10">
        <v>1380</v>
      </c>
      <c r="G47" s="10">
        <f>SUM(C47:F47)</f>
        <v>339480</v>
      </c>
      <c r="H47" s="16">
        <f>ROUND(G47/1602,2)</f>
        <v>211.91</v>
      </c>
      <c r="I47" s="9"/>
      <c r="J47" s="9"/>
    </row>
    <row r="48" spans="1:10" x14ac:dyDescent="0.25">
      <c r="A48" s="20" t="s">
        <v>55</v>
      </c>
      <c r="B48" s="20"/>
      <c r="C48" s="10">
        <v>47720</v>
      </c>
      <c r="D48" s="10">
        <v>0</v>
      </c>
      <c r="E48" s="10">
        <v>16110</v>
      </c>
      <c r="F48" s="10">
        <v>6020</v>
      </c>
      <c r="G48" s="10">
        <f>SUM(C48:F48)</f>
        <v>69850</v>
      </c>
      <c r="H48" s="16">
        <f>ROUND(G48/1602,2)</f>
        <v>43.6</v>
      </c>
      <c r="I48" s="9"/>
      <c r="J48" s="9"/>
    </row>
    <row r="49" spans="1:10" x14ac:dyDescent="0.25">
      <c r="A49" s="20" t="s">
        <v>56</v>
      </c>
      <c r="B49" s="20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ROUND(G49/1602,2)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57</v>
      </c>
      <c r="B54" s="25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0" t="s">
        <v>58</v>
      </c>
      <c r="B55" s="20"/>
      <c r="C55" s="15">
        <f>ROUND(0.8723, 4)</f>
        <v>0.87229999999999996</v>
      </c>
      <c r="D55" s="15">
        <f>ROUND(0.8675, 4)</f>
        <v>0.86750000000000005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3" t="s">
        <v>64</v>
      </c>
      <c r="J55" s="23" t="s">
        <v>65</v>
      </c>
    </row>
    <row r="56" spans="1:10" x14ac:dyDescent="0.25">
      <c r="A56" s="20" t="s">
        <v>66</v>
      </c>
      <c r="B56" s="20"/>
      <c r="C56" s="15">
        <f>ROUND(0.8603, 4)</f>
        <v>0.86029999999999995</v>
      </c>
      <c r="D56" s="15">
        <f>ROUND(0.8552, 4)</f>
        <v>0.85519999999999996</v>
      </c>
      <c r="E56" s="15">
        <f>ROUND(0.7608, 4)</f>
        <v>0.76080000000000003</v>
      </c>
      <c r="F56" s="8"/>
      <c r="G56" s="14" t="s">
        <v>67</v>
      </c>
      <c r="H56" s="27"/>
      <c r="I56" s="24"/>
      <c r="J56" s="24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68</v>
      </c>
      <c r="B60" s="25"/>
      <c r="C60" s="14" t="s">
        <v>2</v>
      </c>
      <c r="D60" s="14" t="s">
        <v>212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0" t="s">
        <v>73</v>
      </c>
      <c r="B61" s="20"/>
      <c r="C61" s="16">
        <v>29.79</v>
      </c>
      <c r="D61" s="16">
        <v>42.42</v>
      </c>
      <c r="E61" s="16">
        <v>91.13</v>
      </c>
      <c r="F61" s="16">
        <v>54.95</v>
      </c>
      <c r="G61" s="16">
        <f>12/10*C61</f>
        <v>35.747999999999998</v>
      </c>
      <c r="H61" s="8"/>
      <c r="I61" s="9"/>
      <c r="J61" s="9"/>
    </row>
    <row r="62" spans="1:10" x14ac:dyDescent="0.25">
      <c r="A62" s="20" t="s">
        <v>74</v>
      </c>
      <c r="B62" s="20"/>
      <c r="C62" s="16">
        <v>63.57</v>
      </c>
      <c r="D62" s="16">
        <v>81.08</v>
      </c>
      <c r="E62" s="16">
        <v>61.18</v>
      </c>
      <c r="F62" s="16">
        <v>62.89</v>
      </c>
      <c r="G62" s="16">
        <f>12/10*C62</f>
        <v>76.283999999999992</v>
      </c>
      <c r="H62" s="8"/>
      <c r="I62" s="9"/>
      <c r="J62" s="9"/>
    </row>
    <row r="63" spans="1:10" x14ac:dyDescent="0.25">
      <c r="A63" s="20" t="s">
        <v>75</v>
      </c>
      <c r="B63" s="20"/>
      <c r="C63" s="16">
        <v>211.91</v>
      </c>
      <c r="D63" s="16">
        <v>241.66</v>
      </c>
      <c r="E63" s="16">
        <v>287.25</v>
      </c>
      <c r="F63" s="16">
        <v>278.91000000000003</v>
      </c>
      <c r="G63" s="16">
        <f>12/10*C63</f>
        <v>254.29199999999997</v>
      </c>
      <c r="H63" s="8"/>
      <c r="I63" s="9"/>
      <c r="J63" s="9"/>
    </row>
    <row r="64" spans="1:10" x14ac:dyDescent="0.25">
      <c r="A64" s="20" t="s">
        <v>76</v>
      </c>
      <c r="B64" s="20"/>
      <c r="C64" s="16">
        <v>43.6</v>
      </c>
      <c r="D64" s="16">
        <v>61.65</v>
      </c>
      <c r="E64" s="16">
        <v>114.69</v>
      </c>
      <c r="F64" s="16">
        <v>78.319999999999993</v>
      </c>
      <c r="G64" s="16">
        <f>12/10*C64</f>
        <v>52.32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2"/>
    </row>
    <row r="68" spans="1:10" x14ac:dyDescent="0.25">
      <c r="A68" s="3" t="s">
        <v>77</v>
      </c>
      <c r="B68" s="1" t="s">
        <v>213</v>
      </c>
    </row>
    <row r="69" spans="1:10" x14ac:dyDescent="0.25">
      <c r="A69" s="3" t="s">
        <v>70</v>
      </c>
      <c r="B69" s="1" t="s">
        <v>79</v>
      </c>
    </row>
    <row r="70" spans="1:10" x14ac:dyDescent="0.25">
      <c r="A70" s="3" t="s">
        <v>71</v>
      </c>
      <c r="B70" s="1" t="s">
        <v>80</v>
      </c>
    </row>
    <row r="71" spans="1:10" x14ac:dyDescent="0.25">
      <c r="A71" s="3" t="s">
        <v>72</v>
      </c>
      <c r="B71" s="1" t="s">
        <v>81</v>
      </c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6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483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11550</v>
      </c>
      <c r="D9" s="10"/>
      <c r="E9" s="10"/>
      <c r="F9" s="10"/>
      <c r="G9" s="10">
        <f t="shared" ref="G9:G34" si="0">SUM(C9:F9)</f>
        <v>11550</v>
      </c>
      <c r="H9" s="16">
        <f t="shared" ref="H9:H34" si="1">ROUND(G9/483,2)</f>
        <v>23.91</v>
      </c>
      <c r="I9" s="15">
        <f t="shared" ref="I9:I34" si="2">ROUND(G9/$G$35,3)</f>
        <v>7.9000000000000001E-2</v>
      </c>
      <c r="J9" s="15">
        <f>ROUND(G9/10150-1,2)</f>
        <v>0.14000000000000001</v>
      </c>
    </row>
    <row r="10" spans="1:10" x14ac:dyDescent="0.25">
      <c r="A10" s="1" t="s">
        <v>16</v>
      </c>
      <c r="B10" s="1" t="s">
        <v>20</v>
      </c>
      <c r="C10" s="10">
        <v>18500</v>
      </c>
      <c r="D10" s="10"/>
      <c r="E10" s="10"/>
      <c r="F10" s="10"/>
      <c r="G10" s="10">
        <f t="shared" si="0"/>
        <v>18500</v>
      </c>
      <c r="H10" s="16">
        <f t="shared" si="1"/>
        <v>38.299999999999997</v>
      </c>
      <c r="I10" s="15">
        <f t="shared" si="2"/>
        <v>0.126</v>
      </c>
      <c r="J10" s="15">
        <f>ROUND(G10/16460-1,2)</f>
        <v>0.12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50</v>
      </c>
      <c r="F11" s="10"/>
      <c r="G11" s="10">
        <f t="shared" si="0"/>
        <v>50</v>
      </c>
      <c r="H11" s="16">
        <f t="shared" si="1"/>
        <v>0.1</v>
      </c>
      <c r="I11" s="15">
        <f t="shared" si="2"/>
        <v>0</v>
      </c>
      <c r="J11" s="15">
        <f>ROUND(G11/67-1,2)</f>
        <v>-0.25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700</v>
      </c>
      <c r="F12" s="10"/>
      <c r="G12" s="10">
        <f t="shared" si="0"/>
        <v>700</v>
      </c>
      <c r="H12" s="16">
        <f t="shared" si="1"/>
        <v>1.45</v>
      </c>
      <c r="I12" s="15">
        <f t="shared" si="2"/>
        <v>5.0000000000000001E-3</v>
      </c>
      <c r="J12" s="15">
        <f>ROUND(G12/840-1,2)</f>
        <v>-0.17</v>
      </c>
    </row>
    <row r="13" spans="1:10" x14ac:dyDescent="0.25">
      <c r="A13" s="1" t="s">
        <v>16</v>
      </c>
      <c r="B13" s="1" t="s">
        <v>24</v>
      </c>
      <c r="C13" s="10">
        <v>15130</v>
      </c>
      <c r="D13" s="10"/>
      <c r="E13" s="10"/>
      <c r="F13" s="10"/>
      <c r="G13" s="10">
        <f t="shared" si="0"/>
        <v>15130</v>
      </c>
      <c r="H13" s="16">
        <f t="shared" si="1"/>
        <v>31.33</v>
      </c>
      <c r="I13" s="15">
        <f t="shared" si="2"/>
        <v>0.10299999999999999</v>
      </c>
      <c r="J13" s="15">
        <f>ROUND(G13/14560-1,2)</f>
        <v>0.04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1190</v>
      </c>
      <c r="F14" s="10"/>
      <c r="G14" s="10">
        <f t="shared" si="0"/>
        <v>1190</v>
      </c>
      <c r="H14" s="16">
        <f t="shared" si="1"/>
        <v>2.46</v>
      </c>
      <c r="I14" s="15">
        <f t="shared" si="2"/>
        <v>8.0000000000000002E-3</v>
      </c>
      <c r="J14" s="15"/>
    </row>
    <row r="15" spans="1:10" x14ac:dyDescent="0.25">
      <c r="A15" s="1" t="s">
        <v>16</v>
      </c>
      <c r="B15" s="1" t="s">
        <v>26</v>
      </c>
      <c r="C15" s="10">
        <v>10740</v>
      </c>
      <c r="D15" s="10"/>
      <c r="E15" s="10"/>
      <c r="F15" s="10">
        <v>220</v>
      </c>
      <c r="G15" s="10">
        <f t="shared" si="0"/>
        <v>10960</v>
      </c>
      <c r="H15" s="16">
        <f t="shared" si="1"/>
        <v>22.69</v>
      </c>
      <c r="I15" s="15">
        <f t="shared" si="2"/>
        <v>7.4999999999999997E-2</v>
      </c>
      <c r="J15" s="15">
        <f>ROUND(G15/10640-1,2)</f>
        <v>0.03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480</v>
      </c>
      <c r="F16" s="10"/>
      <c r="G16" s="10">
        <f t="shared" si="0"/>
        <v>480</v>
      </c>
      <c r="H16" s="16">
        <f t="shared" si="1"/>
        <v>0.99</v>
      </c>
      <c r="I16" s="15">
        <f t="shared" si="2"/>
        <v>3.0000000000000001E-3</v>
      </c>
      <c r="J16" s="15">
        <f>ROUND(G16/1550-1,2)</f>
        <v>-0.69</v>
      </c>
    </row>
    <row r="17" spans="1:10" x14ac:dyDescent="0.25">
      <c r="A17" s="1" t="s">
        <v>16</v>
      </c>
      <c r="B17" s="1" t="s">
        <v>30</v>
      </c>
      <c r="C17" s="10"/>
      <c r="D17" s="10"/>
      <c r="E17" s="10">
        <v>410</v>
      </c>
      <c r="F17" s="10"/>
      <c r="G17" s="10">
        <f t="shared" si="0"/>
        <v>410</v>
      </c>
      <c r="H17" s="16">
        <f t="shared" si="1"/>
        <v>0.85</v>
      </c>
      <c r="I17" s="15">
        <f t="shared" si="2"/>
        <v>3.0000000000000001E-3</v>
      </c>
      <c r="J17" s="15"/>
    </row>
    <row r="18" spans="1:10" x14ac:dyDescent="0.25">
      <c r="A18" s="1" t="s">
        <v>16</v>
      </c>
      <c r="B18" s="1" t="s">
        <v>32</v>
      </c>
      <c r="C18" s="10"/>
      <c r="D18" s="10"/>
      <c r="E18" s="10">
        <v>540</v>
      </c>
      <c r="F18" s="10"/>
      <c r="G18" s="10">
        <f t="shared" si="0"/>
        <v>540</v>
      </c>
      <c r="H18" s="16">
        <f t="shared" si="1"/>
        <v>1.1200000000000001</v>
      </c>
      <c r="I18" s="15">
        <f t="shared" si="2"/>
        <v>4.0000000000000001E-3</v>
      </c>
      <c r="J18" s="15">
        <f>ROUND(G18/595-1,2)</f>
        <v>-0.09</v>
      </c>
    </row>
    <row r="19" spans="1:10" x14ac:dyDescent="0.25">
      <c r="A19" s="1" t="s">
        <v>16</v>
      </c>
      <c r="B19" s="1" t="s">
        <v>33</v>
      </c>
      <c r="C19" s="10"/>
      <c r="D19" s="10">
        <v>25</v>
      </c>
      <c r="E19" s="10">
        <v>24</v>
      </c>
      <c r="F19" s="10"/>
      <c r="G19" s="10">
        <f t="shared" si="0"/>
        <v>49</v>
      </c>
      <c r="H19" s="16">
        <f t="shared" si="1"/>
        <v>0.1</v>
      </c>
      <c r="I19" s="15">
        <f t="shared" si="2"/>
        <v>0</v>
      </c>
      <c r="J19" s="15">
        <f>ROUND(G19/38-1,2)</f>
        <v>0.28999999999999998</v>
      </c>
    </row>
    <row r="20" spans="1:10" x14ac:dyDescent="0.25">
      <c r="A20" s="1" t="s">
        <v>16</v>
      </c>
      <c r="B20" s="1" t="s">
        <v>34</v>
      </c>
      <c r="C20" s="10"/>
      <c r="D20" s="10"/>
      <c r="E20" s="10">
        <v>540</v>
      </c>
      <c r="F20" s="10"/>
      <c r="G20" s="10">
        <f t="shared" si="0"/>
        <v>540</v>
      </c>
      <c r="H20" s="16">
        <f t="shared" si="1"/>
        <v>1.1200000000000001</v>
      </c>
      <c r="I20" s="15">
        <f t="shared" si="2"/>
        <v>4.0000000000000001E-3</v>
      </c>
      <c r="J20" s="15"/>
    </row>
    <row r="21" spans="1:10" x14ac:dyDescent="0.25">
      <c r="A21" s="1" t="s">
        <v>16</v>
      </c>
      <c r="B21" s="1" t="s">
        <v>35</v>
      </c>
      <c r="C21" s="10"/>
      <c r="D21" s="10">
        <v>160</v>
      </c>
      <c r="E21" s="10"/>
      <c r="F21" s="10"/>
      <c r="G21" s="10">
        <f t="shared" si="0"/>
        <v>160</v>
      </c>
      <c r="H21" s="16">
        <f t="shared" si="1"/>
        <v>0.33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37</v>
      </c>
      <c r="C22" s="10"/>
      <c r="D22" s="10"/>
      <c r="E22" s="10">
        <v>690</v>
      </c>
      <c r="F22" s="10"/>
      <c r="G22" s="10">
        <f t="shared" si="0"/>
        <v>690</v>
      </c>
      <c r="H22" s="16">
        <f t="shared" si="1"/>
        <v>1.43</v>
      </c>
      <c r="I22" s="15">
        <f t="shared" si="2"/>
        <v>5.0000000000000001E-3</v>
      </c>
      <c r="J22" s="15">
        <f>ROUND(G22/500-1,2)</f>
        <v>0.38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18745</v>
      </c>
      <c r="F23" s="10"/>
      <c r="G23" s="10">
        <f t="shared" si="0"/>
        <v>18745</v>
      </c>
      <c r="H23" s="16">
        <f t="shared" si="1"/>
        <v>38.81</v>
      </c>
      <c r="I23" s="15">
        <f t="shared" si="2"/>
        <v>0.128</v>
      </c>
      <c r="J23" s="15">
        <f>ROUND(G23/14370-1,2)</f>
        <v>0.3</v>
      </c>
    </row>
    <row r="24" spans="1:10" x14ac:dyDescent="0.25">
      <c r="A24" s="1" t="s">
        <v>16</v>
      </c>
      <c r="B24" s="1" t="s">
        <v>39</v>
      </c>
      <c r="C24" s="10"/>
      <c r="D24" s="10"/>
      <c r="E24" s="10">
        <v>1410</v>
      </c>
      <c r="F24" s="10"/>
      <c r="G24" s="10">
        <f t="shared" si="0"/>
        <v>1410</v>
      </c>
      <c r="H24" s="16">
        <f t="shared" si="1"/>
        <v>2.92</v>
      </c>
      <c r="I24" s="15">
        <f t="shared" si="2"/>
        <v>0.01</v>
      </c>
      <c r="J24" s="15">
        <f>ROUND(G24/2490-1,2)</f>
        <v>-0.43</v>
      </c>
    </row>
    <row r="25" spans="1:10" x14ac:dyDescent="0.25">
      <c r="A25" s="1" t="s">
        <v>16</v>
      </c>
      <c r="B25" s="1" t="s">
        <v>40</v>
      </c>
      <c r="C25" s="10"/>
      <c r="D25" s="10"/>
      <c r="E25" s="10">
        <v>7930</v>
      </c>
      <c r="F25" s="10"/>
      <c r="G25" s="10">
        <f t="shared" si="0"/>
        <v>7930</v>
      </c>
      <c r="H25" s="16">
        <f t="shared" si="1"/>
        <v>16.420000000000002</v>
      </c>
      <c r="I25" s="15">
        <f t="shared" si="2"/>
        <v>5.3999999999999999E-2</v>
      </c>
      <c r="J25" s="15">
        <f>ROUND(G25/7340-1,2)</f>
        <v>0.08</v>
      </c>
    </row>
    <row r="26" spans="1:10" x14ac:dyDescent="0.25">
      <c r="A26" s="1" t="s">
        <v>16</v>
      </c>
      <c r="B26" s="1" t="s">
        <v>41</v>
      </c>
      <c r="C26" s="10"/>
      <c r="D26" s="10"/>
      <c r="E26" s="10"/>
      <c r="F26" s="10">
        <v>10270</v>
      </c>
      <c r="G26" s="10">
        <f t="shared" si="0"/>
        <v>10270</v>
      </c>
      <c r="H26" s="16">
        <f t="shared" si="1"/>
        <v>21.26</v>
      </c>
      <c r="I26" s="15">
        <f t="shared" si="2"/>
        <v>7.0000000000000007E-2</v>
      </c>
      <c r="J26" s="15"/>
    </row>
    <row r="27" spans="1:10" x14ac:dyDescent="0.25">
      <c r="A27" s="1" t="s">
        <v>16</v>
      </c>
      <c r="B27" s="1" t="s">
        <v>36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ROUND(G27/663-1,2)</f>
        <v>-1</v>
      </c>
    </row>
    <row r="28" spans="1:10" x14ac:dyDescent="0.25">
      <c r="A28" s="1" t="s">
        <v>16</v>
      </c>
      <c r="B28" s="1" t="s">
        <v>43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ROUND(G28/2040-1,2)</f>
        <v>-1</v>
      </c>
    </row>
    <row r="29" spans="1:10" x14ac:dyDescent="0.25">
      <c r="A29" s="1" t="s">
        <v>16</v>
      </c>
      <c r="B29" s="1" t="s">
        <v>17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ROUND(G31/270-1,2)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34900</v>
      </c>
      <c r="D33" s="10"/>
      <c r="E33" s="10"/>
      <c r="F33" s="10">
        <v>140</v>
      </c>
      <c r="G33" s="10">
        <f t="shared" si="0"/>
        <v>35040</v>
      </c>
      <c r="H33" s="16">
        <f t="shared" si="1"/>
        <v>72.55</v>
      </c>
      <c r="I33" s="15">
        <f t="shared" si="2"/>
        <v>0.23799999999999999</v>
      </c>
      <c r="J33" s="15">
        <f>ROUND(G33/44760-1,2)</f>
        <v>-0.22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12660</v>
      </c>
      <c r="F34" s="10"/>
      <c r="G34" s="10">
        <f t="shared" si="0"/>
        <v>12660</v>
      </c>
      <c r="H34" s="16">
        <f t="shared" si="1"/>
        <v>26.21</v>
      </c>
      <c r="I34" s="15">
        <f t="shared" si="2"/>
        <v>8.5999999999999993E-2</v>
      </c>
      <c r="J34" s="15">
        <f>ROUND(G34/7560-1,2)</f>
        <v>0.67</v>
      </c>
    </row>
    <row r="35" spans="1:10" x14ac:dyDescent="0.25">
      <c r="A35" s="25" t="s">
        <v>12</v>
      </c>
      <c r="B35" s="25"/>
      <c r="C35" s="11">
        <f t="shared" ref="C35:H35" si="3">SUM(C8:C34)</f>
        <v>90820</v>
      </c>
      <c r="D35" s="11">
        <f t="shared" si="3"/>
        <v>185</v>
      </c>
      <c r="E35" s="11">
        <f t="shared" si="3"/>
        <v>45369</v>
      </c>
      <c r="F35" s="11">
        <f t="shared" si="3"/>
        <v>10630</v>
      </c>
      <c r="G35" s="11">
        <f t="shared" si="3"/>
        <v>147004</v>
      </c>
      <c r="H35" s="14">
        <f t="shared" si="3"/>
        <v>304.34999999999997</v>
      </c>
      <c r="I35" s="17"/>
      <c r="J35" s="17"/>
    </row>
    <row r="36" spans="1:10" x14ac:dyDescent="0.25">
      <c r="A36" s="25" t="s">
        <v>14</v>
      </c>
      <c r="B36" s="25"/>
      <c r="C36" s="12">
        <f>ROUND(C35/G35,2)</f>
        <v>0.62</v>
      </c>
      <c r="D36" s="12">
        <f>ROUND(D35/G35,2)</f>
        <v>0</v>
      </c>
      <c r="E36" s="12">
        <f>ROUND(E35/G35,2)</f>
        <v>0.31</v>
      </c>
      <c r="F36" s="12">
        <f>ROUND(F35/G35,2)</f>
        <v>7.0000000000000007E-2</v>
      </c>
      <c r="G36" s="13"/>
      <c r="H36" s="13"/>
      <c r="I36" s="17"/>
      <c r="J36" s="17"/>
    </row>
    <row r="37" spans="1:10" x14ac:dyDescent="0.25">
      <c r="A37" s="2" t="s">
        <v>52</v>
      </c>
      <c r="B37" s="2"/>
      <c r="C37" s="13"/>
      <c r="D37" s="13"/>
      <c r="E37" s="13"/>
      <c r="F37" s="13"/>
      <c r="G37" s="13"/>
      <c r="H37" s="13"/>
      <c r="I37" s="17"/>
      <c r="J37" s="17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5" t="s">
        <v>53</v>
      </c>
      <c r="B41" s="25"/>
      <c r="C41" s="11" t="s">
        <v>8</v>
      </c>
      <c r="D41" s="11" t="s">
        <v>9</v>
      </c>
      <c r="E41" s="11" t="s">
        <v>10</v>
      </c>
      <c r="F41" s="11" t="s">
        <v>11</v>
      </c>
      <c r="G41" s="11" t="s">
        <v>12</v>
      </c>
      <c r="H41" s="14" t="s">
        <v>13</v>
      </c>
      <c r="I41" s="17"/>
      <c r="J41" s="17"/>
    </row>
    <row r="42" spans="1:10" x14ac:dyDescent="0.25">
      <c r="A42" s="20" t="s">
        <v>54</v>
      </c>
      <c r="B42" s="20"/>
      <c r="C42" s="10">
        <v>55920</v>
      </c>
      <c r="D42" s="10">
        <v>185</v>
      </c>
      <c r="E42" s="10">
        <v>32709</v>
      </c>
      <c r="F42" s="10">
        <v>10490</v>
      </c>
      <c r="G42" s="10">
        <f>SUM(C42:F42)</f>
        <v>99304</v>
      </c>
      <c r="H42" s="16">
        <f>ROUND(G42/483,2)</f>
        <v>205.6</v>
      </c>
      <c r="I42" s="9"/>
      <c r="J42" s="9"/>
    </row>
    <row r="43" spans="1:10" x14ac:dyDescent="0.25">
      <c r="A43" s="20" t="s">
        <v>55</v>
      </c>
      <c r="B43" s="20"/>
      <c r="C43" s="10">
        <v>34900</v>
      </c>
      <c r="D43" s="10">
        <v>0</v>
      </c>
      <c r="E43" s="10">
        <v>12660</v>
      </c>
      <c r="F43" s="10">
        <v>140</v>
      </c>
      <c r="G43" s="10">
        <f>SUM(C43:F43)</f>
        <v>47700</v>
      </c>
      <c r="H43" s="16">
        <f>ROUND(G43/483,2)</f>
        <v>98.76</v>
      </c>
      <c r="I43" s="9"/>
      <c r="J43" s="9"/>
    </row>
    <row r="44" spans="1:10" x14ac:dyDescent="0.25">
      <c r="A44" s="20" t="s">
        <v>56</v>
      </c>
      <c r="B44" s="20"/>
      <c r="C44" s="10"/>
      <c r="D44" s="10"/>
      <c r="E44" s="10"/>
      <c r="F44" s="10"/>
      <c r="G44" s="10">
        <f>SUM(C44:F44)</f>
        <v>0</v>
      </c>
      <c r="H44" s="16">
        <f>ROUND(G44/483,2)</f>
        <v>0</v>
      </c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5" t="s">
        <v>57</v>
      </c>
      <c r="B49" s="25"/>
      <c r="C49" s="14" t="s">
        <v>2</v>
      </c>
      <c r="D49" s="14">
        <v>2023</v>
      </c>
      <c r="E49" s="14" t="s">
        <v>59</v>
      </c>
      <c r="F49" s="13"/>
      <c r="G49" s="14" t="s">
        <v>60</v>
      </c>
      <c r="H49" s="14" t="s">
        <v>2</v>
      </c>
      <c r="I49" s="12" t="s">
        <v>61</v>
      </c>
      <c r="J49" s="12" t="s">
        <v>59</v>
      </c>
    </row>
    <row r="50" spans="1:10" x14ac:dyDescent="0.25">
      <c r="A50" s="20" t="s">
        <v>58</v>
      </c>
      <c r="B50" s="20"/>
      <c r="C50" s="15">
        <f>ROUND(0.7512, 4)</f>
        <v>0.75119999999999998</v>
      </c>
      <c r="D50" s="15">
        <f>ROUND(0.6509, 4)</f>
        <v>0.65090000000000003</v>
      </c>
      <c r="E50" s="15">
        <f>ROUND(0.777, 4)</f>
        <v>0.77700000000000002</v>
      </c>
      <c r="F50" s="8"/>
      <c r="G50" s="14" t="s">
        <v>62</v>
      </c>
      <c r="H50" s="26" t="s">
        <v>63</v>
      </c>
      <c r="I50" s="23" t="s">
        <v>64</v>
      </c>
      <c r="J50" s="23" t="s">
        <v>65</v>
      </c>
    </row>
    <row r="51" spans="1:10" x14ac:dyDescent="0.25">
      <c r="A51" s="20" t="s">
        <v>66</v>
      </c>
      <c r="B51" s="20"/>
      <c r="C51" s="15">
        <f>ROUND(0.741, 4)</f>
        <v>0.74099999999999999</v>
      </c>
      <c r="D51" s="15">
        <f>ROUND(0.6408, 4)</f>
        <v>0.64080000000000004</v>
      </c>
      <c r="E51" s="15">
        <f>ROUND(0.7608, 4)</f>
        <v>0.76080000000000003</v>
      </c>
      <c r="F51" s="8"/>
      <c r="G51" s="14" t="s">
        <v>67</v>
      </c>
      <c r="H51" s="27"/>
      <c r="I51" s="24"/>
      <c r="J51" s="24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68</v>
      </c>
      <c r="B55" s="25"/>
      <c r="C55" s="14" t="s">
        <v>2</v>
      </c>
      <c r="D55" s="14" t="s">
        <v>215</v>
      </c>
      <c r="E55" s="14" t="s">
        <v>70</v>
      </c>
      <c r="F55" s="14" t="s">
        <v>71</v>
      </c>
      <c r="G55" s="14" t="s">
        <v>72</v>
      </c>
      <c r="H55" s="13"/>
      <c r="I55" s="17"/>
      <c r="J55" s="17"/>
    </row>
    <row r="56" spans="1:10" x14ac:dyDescent="0.25">
      <c r="A56" s="20" t="s">
        <v>73</v>
      </c>
      <c r="B56" s="20"/>
      <c r="C56" s="16">
        <v>72.55</v>
      </c>
      <c r="D56" s="16">
        <v>102.27</v>
      </c>
      <c r="E56" s="16">
        <v>91.13</v>
      </c>
      <c r="F56" s="16">
        <v>54.95</v>
      </c>
      <c r="G56" s="16">
        <f>12/10*C56</f>
        <v>87.059999999999988</v>
      </c>
      <c r="H56" s="8"/>
      <c r="I56" s="9"/>
      <c r="J56" s="9"/>
    </row>
    <row r="57" spans="1:10" x14ac:dyDescent="0.25">
      <c r="A57" s="20" t="s">
        <v>74</v>
      </c>
      <c r="B57" s="20"/>
      <c r="C57" s="16">
        <v>22.69</v>
      </c>
      <c r="D57" s="16">
        <v>28.88</v>
      </c>
      <c r="E57" s="16">
        <v>61.18</v>
      </c>
      <c r="F57" s="16">
        <v>62.89</v>
      </c>
      <c r="G57" s="16">
        <f>12/10*C57</f>
        <v>27.228000000000002</v>
      </c>
      <c r="H57" s="8"/>
      <c r="I57" s="9"/>
      <c r="J57" s="9"/>
    </row>
    <row r="58" spans="1:10" x14ac:dyDescent="0.25">
      <c r="A58" s="20" t="s">
        <v>75</v>
      </c>
      <c r="B58" s="20"/>
      <c r="C58" s="16">
        <v>205.6</v>
      </c>
      <c r="D58" s="16">
        <v>238.52</v>
      </c>
      <c r="E58" s="16">
        <v>287.25</v>
      </c>
      <c r="F58" s="16">
        <v>278.91000000000003</v>
      </c>
      <c r="G58" s="16">
        <f>12/10*C58</f>
        <v>246.71999999999997</v>
      </c>
      <c r="H58" s="8"/>
      <c r="I58" s="9"/>
      <c r="J58" s="9"/>
    </row>
    <row r="59" spans="1:10" x14ac:dyDescent="0.25">
      <c r="A59" s="20" t="s">
        <v>76</v>
      </c>
      <c r="B59" s="20"/>
      <c r="C59" s="16">
        <v>98.76</v>
      </c>
      <c r="D59" s="16">
        <v>120.2</v>
      </c>
      <c r="E59" s="16">
        <v>114.69</v>
      </c>
      <c r="F59" s="16">
        <v>78.319999999999993</v>
      </c>
      <c r="G59" s="16">
        <f>12/10*C59</f>
        <v>118.512</v>
      </c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1" t="s">
        <v>60</v>
      </c>
      <c r="B62" s="22"/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" t="s">
        <v>77</v>
      </c>
      <c r="B63" s="1" t="s">
        <v>216</v>
      </c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70</v>
      </c>
      <c r="B64" s="1" t="s">
        <v>79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71</v>
      </c>
      <c r="B65" s="1" t="s">
        <v>80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72</v>
      </c>
      <c r="B66" s="1" t="s">
        <v>81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35:B35"/>
    <mergeCell ref="A36:B36"/>
    <mergeCell ref="A41:B41"/>
    <mergeCell ref="A42:B42"/>
    <mergeCell ref="J50:J51"/>
    <mergeCell ref="A51:B51"/>
    <mergeCell ref="A55:B55"/>
    <mergeCell ref="A56:B56"/>
    <mergeCell ref="A43:B43"/>
    <mergeCell ref="A44:B44"/>
    <mergeCell ref="A49:B49"/>
    <mergeCell ref="A50:B50"/>
    <mergeCell ref="H50:H51"/>
    <mergeCell ref="A57:B57"/>
    <mergeCell ref="A58:B58"/>
    <mergeCell ref="A59:B59"/>
    <mergeCell ref="A62:B62"/>
    <mergeCell ref="I50:I5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8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4801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438</v>
      </c>
      <c r="G9" s="10">
        <f t="shared" ref="G9:G43" si="0">SUM(C9:F9)</f>
        <v>438</v>
      </c>
      <c r="H9" s="16">
        <f t="shared" ref="H9:H43" si="1">ROUND(G9/4801,2)</f>
        <v>0.09</v>
      </c>
      <c r="I9" s="15">
        <f t="shared" ref="I9:I43" si="2">ROUND(G9/$G$44,3)</f>
        <v>0</v>
      </c>
      <c r="J9" s="15">
        <f>ROUND(G9/2200-1,2)</f>
        <v>-0.8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17</v>
      </c>
      <c r="C11" s="10"/>
      <c r="D11" s="10"/>
      <c r="E11" s="10">
        <v>100</v>
      </c>
      <c r="F11" s="10"/>
      <c r="G11" s="10">
        <f t="shared" si="0"/>
        <v>100</v>
      </c>
      <c r="H11" s="16">
        <f t="shared" si="1"/>
        <v>0.02</v>
      </c>
      <c r="I11" s="15">
        <f t="shared" si="2"/>
        <v>0</v>
      </c>
      <c r="J11" s="15">
        <f>ROUND(G11/126-1,2)</f>
        <v>-0.21</v>
      </c>
    </row>
    <row r="12" spans="1:10" x14ac:dyDescent="0.25">
      <c r="A12" s="1" t="s">
        <v>16</v>
      </c>
      <c r="B12" s="1" t="s">
        <v>19</v>
      </c>
      <c r="C12" s="10">
        <v>128405</v>
      </c>
      <c r="D12" s="10"/>
      <c r="E12" s="10"/>
      <c r="F12" s="10">
        <v>3115</v>
      </c>
      <c r="G12" s="10">
        <f t="shared" si="0"/>
        <v>131520</v>
      </c>
      <c r="H12" s="16">
        <f t="shared" si="1"/>
        <v>27.39</v>
      </c>
      <c r="I12" s="15">
        <f t="shared" si="2"/>
        <v>6.7000000000000004E-2</v>
      </c>
      <c r="J12" s="15">
        <f>ROUND(G12/126010-1,2)</f>
        <v>0.04</v>
      </c>
    </row>
    <row r="13" spans="1:10" x14ac:dyDescent="0.25">
      <c r="A13" s="1" t="s">
        <v>16</v>
      </c>
      <c r="B13" s="1" t="s">
        <v>20</v>
      </c>
      <c r="C13" s="10">
        <v>209570</v>
      </c>
      <c r="D13" s="10"/>
      <c r="E13" s="10"/>
      <c r="F13" s="10"/>
      <c r="G13" s="10">
        <f t="shared" si="0"/>
        <v>209570</v>
      </c>
      <c r="H13" s="16">
        <f t="shared" si="1"/>
        <v>43.65</v>
      </c>
      <c r="I13" s="15">
        <f t="shared" si="2"/>
        <v>0.107</v>
      </c>
      <c r="J13" s="15">
        <f>ROUND(G13/213380-1,2)</f>
        <v>-0.02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158</v>
      </c>
      <c r="F14" s="10"/>
      <c r="G14" s="10">
        <f t="shared" si="0"/>
        <v>158</v>
      </c>
      <c r="H14" s="16">
        <f t="shared" si="1"/>
        <v>0.03</v>
      </c>
      <c r="I14" s="15">
        <f t="shared" si="2"/>
        <v>0</v>
      </c>
      <c r="J14" s="15">
        <f>ROUND(G14/63-1,2)</f>
        <v>1.51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667</v>
      </c>
      <c r="F15" s="10"/>
      <c r="G15" s="10">
        <f t="shared" si="0"/>
        <v>667</v>
      </c>
      <c r="H15" s="16">
        <f t="shared" si="1"/>
        <v>0.14000000000000001</v>
      </c>
      <c r="I15" s="15">
        <f t="shared" si="2"/>
        <v>0</v>
      </c>
      <c r="J15" s="15">
        <f>ROUND(G15/231-1,2)</f>
        <v>1.89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2600</v>
      </c>
      <c r="F16" s="10"/>
      <c r="G16" s="10">
        <f t="shared" si="0"/>
        <v>2600</v>
      </c>
      <c r="H16" s="16">
        <f t="shared" si="1"/>
        <v>0.54</v>
      </c>
      <c r="I16" s="15">
        <f t="shared" si="2"/>
        <v>1E-3</v>
      </c>
      <c r="J16" s="15">
        <f>ROUND(G16/2700-1,2)</f>
        <v>-0.04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153120</v>
      </c>
      <c r="F17" s="10"/>
      <c r="G17" s="10">
        <f t="shared" si="0"/>
        <v>153120</v>
      </c>
      <c r="H17" s="16">
        <f t="shared" si="1"/>
        <v>31.89</v>
      </c>
      <c r="I17" s="15">
        <f t="shared" si="2"/>
        <v>7.8E-2</v>
      </c>
      <c r="J17" s="15">
        <f>ROUND(G17/24460-1,2)</f>
        <v>5.26</v>
      </c>
    </row>
    <row r="18" spans="1:10" x14ac:dyDescent="0.25">
      <c r="A18" s="1" t="s">
        <v>16</v>
      </c>
      <c r="B18" s="1" t="s">
        <v>24</v>
      </c>
      <c r="C18" s="10">
        <v>181870</v>
      </c>
      <c r="D18" s="10"/>
      <c r="E18" s="10">
        <v>20860</v>
      </c>
      <c r="F18" s="10">
        <v>19980</v>
      </c>
      <c r="G18" s="10">
        <f t="shared" si="0"/>
        <v>222710</v>
      </c>
      <c r="H18" s="16">
        <f t="shared" si="1"/>
        <v>46.39</v>
      </c>
      <c r="I18" s="15">
        <f t="shared" si="2"/>
        <v>0.113</v>
      </c>
      <c r="J18" s="15">
        <f>ROUND(G18/211390-1,2)</f>
        <v>0.05</v>
      </c>
    </row>
    <row r="19" spans="1:10" x14ac:dyDescent="0.25">
      <c r="A19" s="1" t="s">
        <v>16</v>
      </c>
      <c r="B19" s="1" t="s">
        <v>25</v>
      </c>
      <c r="C19" s="10"/>
      <c r="D19" s="10"/>
      <c r="E19" s="10">
        <v>12860</v>
      </c>
      <c r="F19" s="10"/>
      <c r="G19" s="10">
        <f t="shared" si="0"/>
        <v>12860</v>
      </c>
      <c r="H19" s="16">
        <f t="shared" si="1"/>
        <v>2.68</v>
      </c>
      <c r="I19" s="15">
        <f t="shared" si="2"/>
        <v>7.0000000000000001E-3</v>
      </c>
      <c r="J19" s="15">
        <f>ROUND(G19/5230-1,2)</f>
        <v>1.46</v>
      </c>
    </row>
    <row r="20" spans="1:10" x14ac:dyDescent="0.25">
      <c r="A20" s="1" t="s">
        <v>16</v>
      </c>
      <c r="B20" s="1" t="s">
        <v>26</v>
      </c>
      <c r="C20" s="10">
        <v>259550</v>
      </c>
      <c r="D20" s="10"/>
      <c r="E20" s="10"/>
      <c r="F20" s="10">
        <v>1170</v>
      </c>
      <c r="G20" s="10">
        <f t="shared" si="0"/>
        <v>260720</v>
      </c>
      <c r="H20" s="16">
        <f t="shared" si="1"/>
        <v>54.31</v>
      </c>
      <c r="I20" s="15">
        <f t="shared" si="2"/>
        <v>0.13300000000000001</v>
      </c>
      <c r="J20" s="15">
        <f>ROUND(G20/263420-1,2)</f>
        <v>-0.01</v>
      </c>
    </row>
    <row r="21" spans="1:10" x14ac:dyDescent="0.25">
      <c r="A21" s="1" t="s">
        <v>16</v>
      </c>
      <c r="B21" s="1" t="s">
        <v>27</v>
      </c>
      <c r="C21" s="10"/>
      <c r="D21" s="10"/>
      <c r="E21" s="10">
        <v>1631</v>
      </c>
      <c r="F21" s="10"/>
      <c r="G21" s="10">
        <f t="shared" si="0"/>
        <v>1631</v>
      </c>
      <c r="H21" s="16">
        <f t="shared" si="1"/>
        <v>0.34</v>
      </c>
      <c r="I21" s="15">
        <f t="shared" si="2"/>
        <v>1E-3</v>
      </c>
      <c r="J21" s="15">
        <f>ROUND(G21/775-1,2)</f>
        <v>1.1000000000000001</v>
      </c>
    </row>
    <row r="22" spans="1:10" x14ac:dyDescent="0.25">
      <c r="A22" s="1" t="s">
        <v>16</v>
      </c>
      <c r="B22" s="1" t="s">
        <v>28</v>
      </c>
      <c r="C22" s="10"/>
      <c r="D22" s="10"/>
      <c r="E22" s="10">
        <v>801</v>
      </c>
      <c r="F22" s="10"/>
      <c r="G22" s="10">
        <f t="shared" si="0"/>
        <v>801</v>
      </c>
      <c r="H22" s="16">
        <f t="shared" si="1"/>
        <v>0.17</v>
      </c>
      <c r="I22" s="15">
        <f t="shared" si="2"/>
        <v>0</v>
      </c>
      <c r="J22" s="15">
        <f>ROUND(G22/646-1,2)</f>
        <v>0.24</v>
      </c>
    </row>
    <row r="23" spans="1:10" x14ac:dyDescent="0.25">
      <c r="A23" s="1" t="s">
        <v>16</v>
      </c>
      <c r="B23" s="1" t="s">
        <v>29</v>
      </c>
      <c r="C23" s="10"/>
      <c r="D23" s="10"/>
      <c r="E23" s="10">
        <v>4970</v>
      </c>
      <c r="F23" s="10"/>
      <c r="G23" s="10">
        <f t="shared" si="0"/>
        <v>4970</v>
      </c>
      <c r="H23" s="16">
        <f t="shared" si="1"/>
        <v>1.04</v>
      </c>
      <c r="I23" s="15">
        <f t="shared" si="2"/>
        <v>3.0000000000000001E-3</v>
      </c>
      <c r="J23" s="15">
        <f>ROUND(G23/11670-1,2)</f>
        <v>-0.56999999999999995</v>
      </c>
    </row>
    <row r="24" spans="1:10" x14ac:dyDescent="0.25">
      <c r="A24" s="1" t="s">
        <v>16</v>
      </c>
      <c r="B24" s="1" t="s">
        <v>30</v>
      </c>
      <c r="C24" s="10"/>
      <c r="D24" s="10"/>
      <c r="E24" s="10">
        <v>880</v>
      </c>
      <c r="F24" s="10"/>
      <c r="G24" s="10">
        <f t="shared" si="0"/>
        <v>880</v>
      </c>
      <c r="H24" s="16">
        <f t="shared" si="1"/>
        <v>0.18</v>
      </c>
      <c r="I24" s="15">
        <f t="shared" si="2"/>
        <v>0</v>
      </c>
      <c r="J24" s="15">
        <f>ROUND(G24/1340-1,2)</f>
        <v>-0.34</v>
      </c>
    </row>
    <row r="25" spans="1:10" x14ac:dyDescent="0.25">
      <c r="A25" s="1" t="s">
        <v>16</v>
      </c>
      <c r="B25" s="1" t="s">
        <v>31</v>
      </c>
      <c r="C25" s="10"/>
      <c r="D25" s="10"/>
      <c r="E25" s="10">
        <v>220</v>
      </c>
      <c r="F25" s="10"/>
      <c r="G25" s="10">
        <f t="shared" si="0"/>
        <v>220</v>
      </c>
      <c r="H25" s="16">
        <f t="shared" si="1"/>
        <v>0.05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32</v>
      </c>
      <c r="C26" s="10"/>
      <c r="D26" s="10"/>
      <c r="E26" s="10">
        <v>3050</v>
      </c>
      <c r="F26" s="10"/>
      <c r="G26" s="10">
        <f t="shared" si="0"/>
        <v>3050</v>
      </c>
      <c r="H26" s="16">
        <f t="shared" si="1"/>
        <v>0.64</v>
      </c>
      <c r="I26" s="15">
        <f t="shared" si="2"/>
        <v>2E-3</v>
      </c>
      <c r="J26" s="15">
        <f>ROUND(G26/1550-1,2)</f>
        <v>0.97</v>
      </c>
    </row>
    <row r="27" spans="1:10" x14ac:dyDescent="0.25">
      <c r="A27" s="1" t="s">
        <v>16</v>
      </c>
      <c r="B27" s="1" t="s">
        <v>33</v>
      </c>
      <c r="C27" s="10"/>
      <c r="D27" s="10">
        <v>221</v>
      </c>
      <c r="E27" s="10">
        <v>24</v>
      </c>
      <c r="F27" s="10"/>
      <c r="G27" s="10">
        <f t="shared" si="0"/>
        <v>245</v>
      </c>
      <c r="H27" s="16">
        <f t="shared" si="1"/>
        <v>0.05</v>
      </c>
      <c r="I27" s="15">
        <f t="shared" si="2"/>
        <v>0</v>
      </c>
      <c r="J27" s="15">
        <f>ROUND(G27/365-1,2)</f>
        <v>-0.33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550</v>
      </c>
      <c r="F28" s="10"/>
      <c r="G28" s="10">
        <f t="shared" si="0"/>
        <v>550</v>
      </c>
      <c r="H28" s="16">
        <f t="shared" si="1"/>
        <v>0.11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37</v>
      </c>
      <c r="C29" s="10"/>
      <c r="D29" s="10"/>
      <c r="E29" s="10">
        <v>6150</v>
      </c>
      <c r="F29" s="10"/>
      <c r="G29" s="10">
        <f t="shared" si="0"/>
        <v>6150</v>
      </c>
      <c r="H29" s="16">
        <f t="shared" si="1"/>
        <v>1.28</v>
      </c>
      <c r="I29" s="15">
        <f t="shared" si="2"/>
        <v>3.0000000000000001E-3</v>
      </c>
      <c r="J29" s="15">
        <f>ROUND(G29/5300-1,2)</f>
        <v>0.16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10829</v>
      </c>
      <c r="F30" s="10"/>
      <c r="G30" s="10">
        <f t="shared" si="0"/>
        <v>10829</v>
      </c>
      <c r="H30" s="16">
        <f t="shared" si="1"/>
        <v>2.2599999999999998</v>
      </c>
      <c r="I30" s="15">
        <f t="shared" si="2"/>
        <v>6.0000000000000001E-3</v>
      </c>
      <c r="J30" s="15">
        <f>ROUND(G30/11212-1,2)</f>
        <v>-0.03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144435</v>
      </c>
      <c r="F31" s="10"/>
      <c r="G31" s="10">
        <f t="shared" si="0"/>
        <v>144435</v>
      </c>
      <c r="H31" s="16">
        <f t="shared" si="1"/>
        <v>30.08</v>
      </c>
      <c r="I31" s="15">
        <f t="shared" si="2"/>
        <v>7.3999999999999996E-2</v>
      </c>
      <c r="J31" s="15">
        <f>ROUND(G31/57150-1,2)</f>
        <v>1.53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11270</v>
      </c>
      <c r="F32" s="10"/>
      <c r="G32" s="10">
        <f t="shared" si="0"/>
        <v>11270</v>
      </c>
      <c r="H32" s="16">
        <f t="shared" si="1"/>
        <v>2.35</v>
      </c>
      <c r="I32" s="15">
        <f t="shared" si="2"/>
        <v>6.0000000000000001E-3</v>
      </c>
      <c r="J32" s="15">
        <f>ROUND(G32/15175-1,2)</f>
        <v>-0.26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37300</v>
      </c>
      <c r="F33" s="10"/>
      <c r="G33" s="10">
        <f t="shared" si="0"/>
        <v>37300</v>
      </c>
      <c r="H33" s="16">
        <f t="shared" si="1"/>
        <v>7.77</v>
      </c>
      <c r="I33" s="15">
        <f t="shared" si="2"/>
        <v>1.9E-2</v>
      </c>
      <c r="J33" s="15">
        <f>ROUND(G33/31080-1,2)</f>
        <v>0.2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224970</v>
      </c>
      <c r="F34" s="10">
        <v>2300</v>
      </c>
      <c r="G34" s="10">
        <f t="shared" si="0"/>
        <v>227270</v>
      </c>
      <c r="H34" s="16">
        <f t="shared" si="1"/>
        <v>47.34</v>
      </c>
      <c r="I34" s="15">
        <f t="shared" si="2"/>
        <v>0.11600000000000001</v>
      </c>
      <c r="J34" s="15">
        <f>ROUND(G34/192080-1,2)</f>
        <v>0.18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ROUND(G35/289-1,2)</f>
        <v>-1</v>
      </c>
    </row>
    <row r="36" spans="1:10" x14ac:dyDescent="0.25">
      <c r="A36" s="1" t="s">
        <v>16</v>
      </c>
      <c r="B36" s="1" t="s">
        <v>34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ROUND(G36/520-1,2)</f>
        <v>-1</v>
      </c>
    </row>
    <row r="37" spans="1:10" x14ac:dyDescent="0.25">
      <c r="A37" s="1" t="s">
        <v>16</v>
      </c>
      <c r="B37" s="1" t="s">
        <v>36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ROUND(G37/3750-1,2)</f>
        <v>-1</v>
      </c>
    </row>
    <row r="38" spans="1:10" x14ac:dyDescent="0.25">
      <c r="A38" s="1" t="s">
        <v>16</v>
      </c>
      <c r="B38" s="1" t="s">
        <v>218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161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219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ROUND(G40/14600-1,2)</f>
        <v>-1</v>
      </c>
    </row>
    <row r="41" spans="1:10" x14ac:dyDescent="0.25">
      <c r="A41" s="1" t="s">
        <v>44</v>
      </c>
      <c r="B41" s="1" t="s">
        <v>45</v>
      </c>
      <c r="C41" s="10">
        <v>357950</v>
      </c>
      <c r="D41" s="10"/>
      <c r="E41" s="10"/>
      <c r="F41" s="10">
        <v>14660</v>
      </c>
      <c r="G41" s="10">
        <f t="shared" si="0"/>
        <v>372610</v>
      </c>
      <c r="H41" s="16">
        <f t="shared" si="1"/>
        <v>77.61</v>
      </c>
      <c r="I41" s="15">
        <f t="shared" si="2"/>
        <v>0.19</v>
      </c>
      <c r="J41" s="15">
        <f>ROUND(G41/390850-1,2)</f>
        <v>-0.05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57560</v>
      </c>
      <c r="G42" s="10">
        <f t="shared" si="0"/>
        <v>57560</v>
      </c>
      <c r="H42" s="16">
        <f t="shared" si="1"/>
        <v>11.99</v>
      </c>
      <c r="I42" s="15">
        <f t="shared" si="2"/>
        <v>2.9000000000000001E-2</v>
      </c>
      <c r="J42" s="15">
        <f>ROUND(G42/63550-1,2)</f>
        <v>-0.09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89600</v>
      </c>
      <c r="F43" s="10"/>
      <c r="G43" s="10">
        <f t="shared" si="0"/>
        <v>89600</v>
      </c>
      <c r="H43" s="16">
        <f t="shared" si="1"/>
        <v>18.66</v>
      </c>
      <c r="I43" s="15">
        <f t="shared" si="2"/>
        <v>4.5999999999999999E-2</v>
      </c>
      <c r="J43" s="15">
        <f>ROUND(G43/34100-1,2)</f>
        <v>1.63</v>
      </c>
    </row>
    <row r="44" spans="1:10" x14ac:dyDescent="0.25">
      <c r="A44" s="25" t="s">
        <v>12</v>
      </c>
      <c r="B44" s="25"/>
      <c r="C44" s="11">
        <f t="shared" ref="C44:H44" si="3">SUM(C8:C43)</f>
        <v>1137345</v>
      </c>
      <c r="D44" s="11">
        <f t="shared" si="3"/>
        <v>221</v>
      </c>
      <c r="E44" s="11">
        <f t="shared" si="3"/>
        <v>727045</v>
      </c>
      <c r="F44" s="11">
        <f t="shared" si="3"/>
        <v>99223</v>
      </c>
      <c r="G44" s="11">
        <f t="shared" si="3"/>
        <v>1963834</v>
      </c>
      <c r="H44" s="14">
        <f t="shared" si="3"/>
        <v>409.05000000000013</v>
      </c>
      <c r="I44" s="17"/>
      <c r="J44" s="17"/>
    </row>
    <row r="45" spans="1:10" x14ac:dyDescent="0.25">
      <c r="A45" s="25" t="s">
        <v>14</v>
      </c>
      <c r="B45" s="25"/>
      <c r="C45" s="12">
        <f>ROUND(C44/G44,2)</f>
        <v>0.57999999999999996</v>
      </c>
      <c r="D45" s="12">
        <f>ROUND(D44/G44,2)</f>
        <v>0</v>
      </c>
      <c r="E45" s="12">
        <f>ROUND(E44/G44,2)</f>
        <v>0.37</v>
      </c>
      <c r="F45" s="12">
        <f>ROUND(F44/G44,2)</f>
        <v>0.05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53</v>
      </c>
      <c r="B50" s="25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0" t="s">
        <v>54</v>
      </c>
      <c r="B51" s="20"/>
      <c r="C51" s="10">
        <v>779395</v>
      </c>
      <c r="D51" s="10">
        <v>221</v>
      </c>
      <c r="E51" s="10">
        <v>637445</v>
      </c>
      <c r="F51" s="10">
        <v>26565</v>
      </c>
      <c r="G51" s="10">
        <f>SUM(C51:F51)</f>
        <v>1443626</v>
      </c>
      <c r="H51" s="16">
        <f>ROUND(G51/4801,2)</f>
        <v>300.69</v>
      </c>
      <c r="I51" s="9"/>
      <c r="J51" s="9"/>
    </row>
    <row r="52" spans="1:10" x14ac:dyDescent="0.25">
      <c r="A52" s="20" t="s">
        <v>55</v>
      </c>
      <c r="B52" s="20"/>
      <c r="C52" s="10">
        <v>357950</v>
      </c>
      <c r="D52" s="10">
        <v>0</v>
      </c>
      <c r="E52" s="10">
        <v>89600</v>
      </c>
      <c r="F52" s="10">
        <v>72220</v>
      </c>
      <c r="G52" s="10">
        <f>SUM(C52:F52)</f>
        <v>519770</v>
      </c>
      <c r="H52" s="16">
        <f>ROUND(G52/4801,2)</f>
        <v>108.26</v>
      </c>
      <c r="I52" s="9"/>
      <c r="J52" s="9"/>
    </row>
    <row r="53" spans="1:10" x14ac:dyDescent="0.25">
      <c r="A53" s="20" t="s">
        <v>56</v>
      </c>
      <c r="B53" s="20"/>
      <c r="C53" s="10">
        <v>0</v>
      </c>
      <c r="D53" s="10">
        <v>0</v>
      </c>
      <c r="E53" s="10">
        <v>0</v>
      </c>
      <c r="F53" s="10">
        <v>438</v>
      </c>
      <c r="G53" s="10">
        <f>SUM(C53:F53)</f>
        <v>438</v>
      </c>
      <c r="H53" s="16">
        <f>ROUND(G53/4801,2)</f>
        <v>0.09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57</v>
      </c>
      <c r="B58" s="25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0" t="s">
        <v>58</v>
      </c>
      <c r="B59" s="20"/>
      <c r="C59" s="15">
        <f>ROUND(0.7844, 4)</f>
        <v>0.78439999999999999</v>
      </c>
      <c r="D59" s="15">
        <f>ROUND(0.7907, 4)</f>
        <v>0.79069999999999996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3" t="s">
        <v>64</v>
      </c>
      <c r="J59" s="23" t="s">
        <v>65</v>
      </c>
    </row>
    <row r="60" spans="1:10" x14ac:dyDescent="0.25">
      <c r="A60" s="20" t="s">
        <v>66</v>
      </c>
      <c r="B60" s="20"/>
      <c r="C60" s="15">
        <f>ROUND(0.7752, 4)</f>
        <v>0.7752</v>
      </c>
      <c r="D60" s="15">
        <f>ROUND(0.7819, 4)</f>
        <v>0.78190000000000004</v>
      </c>
      <c r="E60" s="15">
        <f>ROUND(0.7608, 4)</f>
        <v>0.76080000000000003</v>
      </c>
      <c r="F60" s="8"/>
      <c r="G60" s="14" t="s">
        <v>67</v>
      </c>
      <c r="H60" s="27"/>
      <c r="I60" s="24"/>
      <c r="J60" s="24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5" t="s">
        <v>68</v>
      </c>
      <c r="B64" s="25"/>
      <c r="C64" s="14" t="s">
        <v>2</v>
      </c>
      <c r="D64" s="14" t="s">
        <v>220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0" t="s">
        <v>73</v>
      </c>
      <c r="B65" s="20"/>
      <c r="C65" s="16">
        <v>78.38</v>
      </c>
      <c r="D65" s="16">
        <v>88.93</v>
      </c>
      <c r="E65" s="16">
        <v>91.13</v>
      </c>
      <c r="F65" s="16">
        <v>54.95</v>
      </c>
      <c r="G65" s="16">
        <f>12/10*C65</f>
        <v>94.055999999999997</v>
      </c>
      <c r="H65" s="8"/>
      <c r="I65" s="9"/>
      <c r="J65" s="9"/>
    </row>
    <row r="66" spans="1:10" x14ac:dyDescent="0.25">
      <c r="A66" s="20" t="s">
        <v>74</v>
      </c>
      <c r="B66" s="20"/>
      <c r="C66" s="16">
        <v>54.31</v>
      </c>
      <c r="D66" s="16">
        <v>67.8</v>
      </c>
      <c r="E66" s="16">
        <v>61.18</v>
      </c>
      <c r="F66" s="16">
        <v>62.89</v>
      </c>
      <c r="G66" s="16">
        <f>12/10*C66</f>
        <v>65.171999999999997</v>
      </c>
      <c r="H66" s="8"/>
      <c r="I66" s="9"/>
      <c r="J66" s="9"/>
    </row>
    <row r="67" spans="1:10" x14ac:dyDescent="0.25">
      <c r="A67" s="20" t="s">
        <v>75</v>
      </c>
      <c r="B67" s="20"/>
      <c r="C67" s="16">
        <v>346.82</v>
      </c>
      <c r="D67" s="16">
        <v>404.56</v>
      </c>
      <c r="E67" s="16">
        <v>287.25</v>
      </c>
      <c r="F67" s="16">
        <v>278.91000000000003</v>
      </c>
      <c r="G67" s="16">
        <f>12/10*C67</f>
        <v>416.18399999999997</v>
      </c>
      <c r="H67" s="8"/>
      <c r="I67" s="9"/>
      <c r="J67" s="9"/>
    </row>
    <row r="68" spans="1:10" x14ac:dyDescent="0.25">
      <c r="A68" s="20" t="s">
        <v>76</v>
      </c>
      <c r="B68" s="20"/>
      <c r="C68" s="16">
        <v>109.03</v>
      </c>
      <c r="D68" s="16">
        <v>120.25</v>
      </c>
      <c r="E68" s="16">
        <v>114.69</v>
      </c>
      <c r="F68" s="16">
        <v>78.319999999999993</v>
      </c>
      <c r="G68" s="16">
        <f>12/10*C68</f>
        <v>130.83599999999998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1" t="s">
        <v>60</v>
      </c>
      <c r="B71" s="22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221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112" bestFit="1" customWidth="1"/>
    <col min="3" max="3" width="14.5703125" customWidth="1"/>
    <col min="4" max="4" width="23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222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2406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76</v>
      </c>
      <c r="F9" s="10"/>
      <c r="G9" s="10">
        <f t="shared" ref="G9:G43" si="0">SUM(C9:F9)</f>
        <v>76</v>
      </c>
      <c r="H9" s="16">
        <f t="shared" ref="H9:H43" si="1">ROUND(G9/2406,2)</f>
        <v>0.03</v>
      </c>
      <c r="I9" s="15">
        <f t="shared" ref="I9:I43" si="2">ROUND(G9/$G$44,3)</f>
        <v>0</v>
      </c>
      <c r="J9" s="15">
        <f>ROUND(G9/108-1,2)</f>
        <v>-0.3</v>
      </c>
    </row>
    <row r="10" spans="1:10" x14ac:dyDescent="0.25">
      <c r="A10" s="1" t="s">
        <v>16</v>
      </c>
      <c r="B10" s="1" t="s">
        <v>19</v>
      </c>
      <c r="C10" s="10">
        <v>55940</v>
      </c>
      <c r="D10" s="10"/>
      <c r="E10" s="10"/>
      <c r="F10" s="10"/>
      <c r="G10" s="10">
        <f t="shared" si="0"/>
        <v>55940</v>
      </c>
      <c r="H10" s="16">
        <f t="shared" si="1"/>
        <v>23.25</v>
      </c>
      <c r="I10" s="15">
        <f t="shared" si="2"/>
        <v>7.2999999999999995E-2</v>
      </c>
      <c r="J10" s="15">
        <f>ROUND(G10/55560-1,2)</f>
        <v>0.01</v>
      </c>
    </row>
    <row r="11" spans="1:10" x14ac:dyDescent="0.25">
      <c r="A11" s="1" t="s">
        <v>16</v>
      </c>
      <c r="B11" s="1" t="s">
        <v>20</v>
      </c>
      <c r="C11" s="10">
        <v>93450</v>
      </c>
      <c r="D11" s="10"/>
      <c r="E11" s="10"/>
      <c r="F11" s="10"/>
      <c r="G11" s="10">
        <f t="shared" si="0"/>
        <v>93450</v>
      </c>
      <c r="H11" s="16">
        <f t="shared" si="1"/>
        <v>38.840000000000003</v>
      </c>
      <c r="I11" s="15">
        <f t="shared" si="2"/>
        <v>0.122</v>
      </c>
      <c r="J11" s="15">
        <f>ROUND(G11/92930-1,2)</f>
        <v>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144</v>
      </c>
      <c r="F12" s="10"/>
      <c r="G12" s="10">
        <f t="shared" si="0"/>
        <v>144</v>
      </c>
      <c r="H12" s="16">
        <f t="shared" si="1"/>
        <v>0.06</v>
      </c>
      <c r="I12" s="15">
        <f t="shared" si="2"/>
        <v>0</v>
      </c>
      <c r="J12" s="15">
        <f>ROUND(G12/107-1,2)</f>
        <v>0.35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274</v>
      </c>
      <c r="F13" s="10"/>
      <c r="G13" s="10">
        <f t="shared" si="0"/>
        <v>274</v>
      </c>
      <c r="H13" s="16">
        <f t="shared" si="1"/>
        <v>0.11</v>
      </c>
      <c r="I13" s="15">
        <f t="shared" si="2"/>
        <v>0</v>
      </c>
      <c r="J13" s="15">
        <f>ROUND(G13/93-1,2)</f>
        <v>1.95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0.37</v>
      </c>
      <c r="I14" s="15">
        <f t="shared" si="2"/>
        <v>1E-3</v>
      </c>
      <c r="J14" s="15">
        <f>ROUND(G14/900-1,2)</f>
        <v>0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35990</v>
      </c>
      <c r="F15" s="10"/>
      <c r="G15" s="10">
        <f t="shared" si="0"/>
        <v>35990</v>
      </c>
      <c r="H15" s="16">
        <f t="shared" si="1"/>
        <v>14.96</v>
      </c>
      <c r="I15" s="15">
        <f t="shared" si="2"/>
        <v>4.7E-2</v>
      </c>
      <c r="J15" s="15">
        <f>ROUND(G15/41440-1,2)</f>
        <v>-0.13</v>
      </c>
    </row>
    <row r="16" spans="1:10" x14ac:dyDescent="0.25">
      <c r="A16" s="1" t="s">
        <v>16</v>
      </c>
      <c r="B16" s="1" t="s">
        <v>24</v>
      </c>
      <c r="C16" s="10">
        <v>88040</v>
      </c>
      <c r="D16" s="10"/>
      <c r="E16" s="10"/>
      <c r="F16" s="10"/>
      <c r="G16" s="10">
        <f t="shared" si="0"/>
        <v>88040</v>
      </c>
      <c r="H16" s="16">
        <f t="shared" si="1"/>
        <v>36.590000000000003</v>
      </c>
      <c r="I16" s="15">
        <f t="shared" si="2"/>
        <v>0.115</v>
      </c>
      <c r="J16" s="15">
        <f>ROUND(G16/83480-1,2)</f>
        <v>0.05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2760</v>
      </c>
      <c r="F17" s="10"/>
      <c r="G17" s="10">
        <f t="shared" si="0"/>
        <v>2760</v>
      </c>
      <c r="H17" s="16">
        <f t="shared" si="1"/>
        <v>1.1499999999999999</v>
      </c>
      <c r="I17" s="15">
        <f t="shared" si="2"/>
        <v>4.0000000000000001E-3</v>
      </c>
      <c r="J17" s="15">
        <f>ROUND(G17/1750-1,2)</f>
        <v>0.57999999999999996</v>
      </c>
    </row>
    <row r="18" spans="1:10" x14ac:dyDescent="0.25">
      <c r="A18" s="1" t="s">
        <v>16</v>
      </c>
      <c r="B18" s="1" t="s">
        <v>26</v>
      </c>
      <c r="C18" s="10">
        <v>132240</v>
      </c>
      <c r="D18" s="10"/>
      <c r="E18" s="10"/>
      <c r="F18" s="10">
        <v>2560</v>
      </c>
      <c r="G18" s="10">
        <f t="shared" si="0"/>
        <v>134800</v>
      </c>
      <c r="H18" s="16">
        <f t="shared" si="1"/>
        <v>56.03</v>
      </c>
      <c r="I18" s="15">
        <f t="shared" si="2"/>
        <v>0.17599999999999999</v>
      </c>
      <c r="J18" s="15">
        <f>ROUND(G18/117240-1,2)</f>
        <v>0.15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583</v>
      </c>
      <c r="F19" s="10"/>
      <c r="G19" s="10">
        <f t="shared" si="0"/>
        <v>583</v>
      </c>
      <c r="H19" s="16">
        <f t="shared" si="1"/>
        <v>0.24</v>
      </c>
      <c r="I19" s="15">
        <f t="shared" si="2"/>
        <v>1E-3</v>
      </c>
      <c r="J19" s="15">
        <f>ROUND(G19/559-1,2)</f>
        <v>0.04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387</v>
      </c>
      <c r="F20" s="10"/>
      <c r="G20" s="10">
        <f t="shared" si="0"/>
        <v>387</v>
      </c>
      <c r="H20" s="16">
        <f t="shared" si="1"/>
        <v>0.16</v>
      </c>
      <c r="I20" s="15">
        <f t="shared" si="2"/>
        <v>1E-3</v>
      </c>
      <c r="J20" s="15">
        <f>ROUND(G20/307-1,2)</f>
        <v>0.26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1600</v>
      </c>
      <c r="F21" s="10"/>
      <c r="G21" s="10">
        <f t="shared" si="0"/>
        <v>1600</v>
      </c>
      <c r="H21" s="16">
        <f t="shared" si="1"/>
        <v>0.67</v>
      </c>
      <c r="I21" s="15">
        <f t="shared" si="2"/>
        <v>2E-3</v>
      </c>
      <c r="J21" s="15">
        <f>ROUND(G21/1859-1,2)</f>
        <v>-0.14000000000000001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790</v>
      </c>
      <c r="F22" s="10"/>
      <c r="G22" s="10">
        <f t="shared" si="0"/>
        <v>790</v>
      </c>
      <c r="H22" s="16">
        <f t="shared" si="1"/>
        <v>0.33</v>
      </c>
      <c r="I22" s="15">
        <f t="shared" si="2"/>
        <v>1E-3</v>
      </c>
      <c r="J22" s="15">
        <f>ROUND(G22/800-1,2)</f>
        <v>-0.01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435</v>
      </c>
      <c r="F23" s="10"/>
      <c r="G23" s="10">
        <f t="shared" si="0"/>
        <v>435</v>
      </c>
      <c r="H23" s="16">
        <f t="shared" si="1"/>
        <v>0.18</v>
      </c>
      <c r="I23" s="15">
        <f t="shared" si="2"/>
        <v>1E-3</v>
      </c>
      <c r="J23" s="15">
        <f>ROUND(G23/350-1,2)</f>
        <v>0.24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1240</v>
      </c>
      <c r="F24" s="10"/>
      <c r="G24" s="10">
        <f t="shared" si="0"/>
        <v>1240</v>
      </c>
      <c r="H24" s="16">
        <f t="shared" si="1"/>
        <v>0.52</v>
      </c>
      <c r="I24" s="15">
        <f t="shared" si="2"/>
        <v>2E-3</v>
      </c>
      <c r="J24" s="15">
        <f>ROUND(G24/735-1,2)</f>
        <v>0.69</v>
      </c>
    </row>
    <row r="25" spans="1:10" x14ac:dyDescent="0.25">
      <c r="A25" s="1" t="s">
        <v>16</v>
      </c>
      <c r="B25" s="1" t="s">
        <v>33</v>
      </c>
      <c r="C25" s="10"/>
      <c r="D25" s="10">
        <v>141</v>
      </c>
      <c r="E25" s="10">
        <v>53</v>
      </c>
      <c r="F25" s="10"/>
      <c r="G25" s="10">
        <f t="shared" si="0"/>
        <v>194</v>
      </c>
      <c r="H25" s="16">
        <f t="shared" si="1"/>
        <v>0.08</v>
      </c>
      <c r="I25" s="15">
        <f t="shared" si="2"/>
        <v>0</v>
      </c>
      <c r="J25" s="15">
        <f>ROUND(G25/152-1,2)</f>
        <v>0.28000000000000003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1690</v>
      </c>
      <c r="F26" s="10"/>
      <c r="G26" s="10">
        <f t="shared" si="0"/>
        <v>1690</v>
      </c>
      <c r="H26" s="16">
        <f t="shared" si="1"/>
        <v>0.7</v>
      </c>
      <c r="I26" s="15">
        <f t="shared" si="2"/>
        <v>2E-3</v>
      </c>
      <c r="J26" s="15">
        <f>ROUND(G26/1330-1,2)</f>
        <v>0.27</v>
      </c>
    </row>
    <row r="27" spans="1:10" x14ac:dyDescent="0.25">
      <c r="A27" s="1" t="s">
        <v>16</v>
      </c>
      <c r="B27" s="1" t="s">
        <v>35</v>
      </c>
      <c r="C27" s="10"/>
      <c r="D27" s="10">
        <v>100</v>
      </c>
      <c r="E27" s="10"/>
      <c r="F27" s="10"/>
      <c r="G27" s="10">
        <f t="shared" si="0"/>
        <v>100</v>
      </c>
      <c r="H27" s="16">
        <f t="shared" si="1"/>
        <v>0.04</v>
      </c>
      <c r="I27" s="15">
        <f t="shared" si="2"/>
        <v>0</v>
      </c>
      <c r="J27" s="15">
        <f>ROUND(G27/280-1,2)</f>
        <v>-0.64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2440</v>
      </c>
      <c r="F28" s="10"/>
      <c r="G28" s="10">
        <f t="shared" si="0"/>
        <v>2440</v>
      </c>
      <c r="H28" s="16">
        <f t="shared" si="1"/>
        <v>1.01</v>
      </c>
      <c r="I28" s="15">
        <f t="shared" si="2"/>
        <v>3.0000000000000001E-3</v>
      </c>
      <c r="J28" s="15">
        <f>ROUND(G28/5802-1,2)</f>
        <v>-0.57999999999999996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2690</v>
      </c>
      <c r="F29" s="10"/>
      <c r="G29" s="10">
        <f t="shared" si="0"/>
        <v>2690</v>
      </c>
      <c r="H29" s="16">
        <f t="shared" si="1"/>
        <v>1.1200000000000001</v>
      </c>
      <c r="I29" s="15">
        <f t="shared" si="2"/>
        <v>4.0000000000000001E-3</v>
      </c>
      <c r="J29" s="15">
        <f>ROUND(G29/1400-1,2)</f>
        <v>0.92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44135</v>
      </c>
      <c r="F30" s="10"/>
      <c r="G30" s="10">
        <f t="shared" si="0"/>
        <v>44135</v>
      </c>
      <c r="H30" s="16">
        <f t="shared" si="1"/>
        <v>18.34</v>
      </c>
      <c r="I30" s="15">
        <f t="shared" si="2"/>
        <v>5.8000000000000003E-2</v>
      </c>
      <c r="J30" s="15">
        <f>ROUND(G30/36230-1,2)</f>
        <v>0.22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3320</v>
      </c>
      <c r="F31" s="10"/>
      <c r="G31" s="10">
        <f t="shared" si="0"/>
        <v>3320</v>
      </c>
      <c r="H31" s="16">
        <f t="shared" si="1"/>
        <v>1.38</v>
      </c>
      <c r="I31" s="15">
        <f t="shared" si="2"/>
        <v>4.0000000000000001E-3</v>
      </c>
      <c r="J31" s="15">
        <f>ROUND(G31/2950-1,2)</f>
        <v>0.13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13760</v>
      </c>
      <c r="F32" s="10"/>
      <c r="G32" s="10">
        <f t="shared" si="0"/>
        <v>13760</v>
      </c>
      <c r="H32" s="16">
        <f t="shared" si="1"/>
        <v>5.72</v>
      </c>
      <c r="I32" s="15">
        <f t="shared" si="2"/>
        <v>1.7999999999999999E-2</v>
      </c>
      <c r="J32" s="15">
        <f>ROUND(G32/14200-1,2)</f>
        <v>-0.03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96230</v>
      </c>
      <c r="F33" s="10"/>
      <c r="G33" s="10">
        <f t="shared" si="0"/>
        <v>96230</v>
      </c>
      <c r="H33" s="16">
        <f t="shared" si="1"/>
        <v>40</v>
      </c>
      <c r="I33" s="15">
        <f t="shared" si="2"/>
        <v>0.126</v>
      </c>
      <c r="J33" s="15">
        <f>ROUND(G33/66520-1,2)</f>
        <v>0.45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ROUND(G34/408-1,2)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ROUND(G35/136-1,2)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ROUND(G36/1679-1,2)</f>
        <v>-1</v>
      </c>
    </row>
    <row r="37" spans="1:10" x14ac:dyDescent="0.25">
      <c r="A37" s="1" t="s">
        <v>16</v>
      </c>
      <c r="B37" s="1" t="s">
        <v>198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223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151760</v>
      </c>
      <c r="D39" s="10"/>
      <c r="E39" s="10"/>
      <c r="F39" s="10"/>
      <c r="G39" s="10">
        <f t="shared" si="0"/>
        <v>151760</v>
      </c>
      <c r="H39" s="16">
        <f t="shared" si="1"/>
        <v>63.08</v>
      </c>
      <c r="I39" s="15">
        <f t="shared" si="2"/>
        <v>0.19900000000000001</v>
      </c>
      <c r="J39" s="15">
        <f>ROUND(G39/137050-1,2)</f>
        <v>0.11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30330</v>
      </c>
      <c r="F40" s="10"/>
      <c r="G40" s="10">
        <f t="shared" si="0"/>
        <v>30330</v>
      </c>
      <c r="H40" s="16">
        <f t="shared" si="1"/>
        <v>12.61</v>
      </c>
      <c r="I40" s="15">
        <f t="shared" si="2"/>
        <v>0.04</v>
      </c>
      <c r="J40" s="15">
        <f>ROUND(G40/29780-1,2)</f>
        <v>0.02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ROUND(G41/12620-1,2)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49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ROUND(G43/37-1,2)</f>
        <v>-1</v>
      </c>
    </row>
    <row r="44" spans="1:10" x14ac:dyDescent="0.25">
      <c r="A44" s="25" t="s">
        <v>12</v>
      </c>
      <c r="B44" s="25"/>
      <c r="C44" s="11">
        <f t="shared" ref="C44:H44" si="3">SUM(C8:C43)</f>
        <v>521430</v>
      </c>
      <c r="D44" s="11">
        <f t="shared" si="3"/>
        <v>241</v>
      </c>
      <c r="E44" s="11">
        <f t="shared" si="3"/>
        <v>239827</v>
      </c>
      <c r="F44" s="11">
        <f t="shared" si="3"/>
        <v>2560</v>
      </c>
      <c r="G44" s="11">
        <f t="shared" si="3"/>
        <v>764058</v>
      </c>
      <c r="H44" s="14">
        <f t="shared" si="3"/>
        <v>317.57000000000005</v>
      </c>
      <c r="I44" s="17"/>
      <c r="J44" s="17"/>
    </row>
    <row r="45" spans="1:10" x14ac:dyDescent="0.25">
      <c r="A45" s="25" t="s">
        <v>14</v>
      </c>
      <c r="B45" s="25"/>
      <c r="C45" s="12">
        <f>ROUND(C44/G44,2)</f>
        <v>0.68</v>
      </c>
      <c r="D45" s="12">
        <f>ROUND(D44/G44,2)</f>
        <v>0</v>
      </c>
      <c r="E45" s="12">
        <f>ROUND(E44/G44,2)</f>
        <v>0.31</v>
      </c>
      <c r="F45" s="12">
        <f>ROUND(F44/G44,2)</f>
        <v>0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53</v>
      </c>
      <c r="B50" s="25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0" t="s">
        <v>54</v>
      </c>
      <c r="B51" s="20"/>
      <c r="C51" s="10">
        <v>369670</v>
      </c>
      <c r="D51" s="10">
        <v>241</v>
      </c>
      <c r="E51" s="10">
        <v>209497</v>
      </c>
      <c r="F51" s="10">
        <v>2560</v>
      </c>
      <c r="G51" s="10">
        <f>SUM(C51:F51)</f>
        <v>581968</v>
      </c>
      <c r="H51" s="16">
        <f>ROUND(G51/2406,2)</f>
        <v>241.88</v>
      </c>
      <c r="I51" s="9"/>
      <c r="J51" s="9"/>
    </row>
    <row r="52" spans="1:10" x14ac:dyDescent="0.25">
      <c r="A52" s="20" t="s">
        <v>55</v>
      </c>
      <c r="B52" s="20"/>
      <c r="C52" s="10">
        <v>151760</v>
      </c>
      <c r="D52" s="10">
        <v>0</v>
      </c>
      <c r="E52" s="10">
        <v>30330</v>
      </c>
      <c r="F52" s="10">
        <v>0</v>
      </c>
      <c r="G52" s="10">
        <f>SUM(C52:F52)</f>
        <v>182090</v>
      </c>
      <c r="H52" s="16">
        <f>ROUND(G52/2406,2)</f>
        <v>75.680000000000007</v>
      </c>
      <c r="I52" s="9"/>
      <c r="J52" s="9"/>
    </row>
    <row r="53" spans="1:10" x14ac:dyDescent="0.25">
      <c r="A53" s="20" t="s">
        <v>56</v>
      </c>
      <c r="B53" s="20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ROUND(G53/2406,2)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57</v>
      </c>
      <c r="B58" s="25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0" t="s">
        <v>58</v>
      </c>
      <c r="B59" s="20"/>
      <c r="C59" s="15">
        <f>ROUND(0.791, 4)</f>
        <v>0.79100000000000004</v>
      </c>
      <c r="D59" s="15">
        <f>ROUND(0.7864, 4)</f>
        <v>0.78639999999999999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3" t="s">
        <v>64</v>
      </c>
      <c r="J59" s="23" t="s">
        <v>65</v>
      </c>
    </row>
    <row r="60" spans="1:10" x14ac:dyDescent="0.25">
      <c r="A60" s="20" t="s">
        <v>66</v>
      </c>
      <c r="B60" s="20"/>
      <c r="C60" s="15">
        <f>ROUND(0.7811, 4)</f>
        <v>0.78110000000000002</v>
      </c>
      <c r="D60" s="15">
        <f>ROUND(0.7759, 4)</f>
        <v>0.77590000000000003</v>
      </c>
      <c r="E60" s="15">
        <f>ROUND(0.7608, 4)</f>
        <v>0.76080000000000003</v>
      </c>
      <c r="F60" s="8"/>
      <c r="G60" s="14" t="s">
        <v>67</v>
      </c>
      <c r="H60" s="27"/>
      <c r="I60" s="24"/>
      <c r="J60" s="24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5" t="s">
        <v>68</v>
      </c>
      <c r="B64" s="25"/>
      <c r="C64" s="14" t="s">
        <v>2</v>
      </c>
      <c r="D64" s="14" t="s">
        <v>224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0" t="s">
        <v>73</v>
      </c>
      <c r="B65" s="20"/>
      <c r="C65" s="16">
        <v>63.08</v>
      </c>
      <c r="D65" s="16">
        <v>64.8</v>
      </c>
      <c r="E65" s="16">
        <v>91.13</v>
      </c>
      <c r="F65" s="16">
        <v>54.95</v>
      </c>
      <c r="G65" s="16">
        <f>12/10*C65</f>
        <v>75.695999999999998</v>
      </c>
      <c r="H65" s="8"/>
      <c r="I65" s="9"/>
      <c r="J65" s="9"/>
    </row>
    <row r="66" spans="1:10" x14ac:dyDescent="0.25">
      <c r="A66" s="20" t="s">
        <v>74</v>
      </c>
      <c r="B66" s="20"/>
      <c r="C66" s="16">
        <v>56.03</v>
      </c>
      <c r="D66" s="16">
        <v>61.52</v>
      </c>
      <c r="E66" s="16">
        <v>61.18</v>
      </c>
      <c r="F66" s="16">
        <v>62.89</v>
      </c>
      <c r="G66" s="16">
        <f>12/10*C66</f>
        <v>67.236000000000004</v>
      </c>
      <c r="H66" s="8"/>
      <c r="I66" s="9"/>
      <c r="J66" s="9"/>
    </row>
    <row r="67" spans="1:10" x14ac:dyDescent="0.25">
      <c r="A67" s="20" t="s">
        <v>75</v>
      </c>
      <c r="B67" s="20"/>
      <c r="C67" s="16">
        <v>241.88</v>
      </c>
      <c r="D67" s="16">
        <v>254.12</v>
      </c>
      <c r="E67" s="16">
        <v>287.25</v>
      </c>
      <c r="F67" s="16">
        <v>278.91000000000003</v>
      </c>
      <c r="G67" s="16">
        <f>12/10*C67</f>
        <v>290.25599999999997</v>
      </c>
      <c r="H67" s="8"/>
      <c r="I67" s="9"/>
      <c r="J67" s="9"/>
    </row>
    <row r="68" spans="1:10" x14ac:dyDescent="0.25">
      <c r="A68" s="20" t="s">
        <v>76</v>
      </c>
      <c r="B68" s="20"/>
      <c r="C68" s="16">
        <v>75.680000000000007</v>
      </c>
      <c r="D68" s="16">
        <v>80.540000000000006</v>
      </c>
      <c r="E68" s="16">
        <v>114.69</v>
      </c>
      <c r="F68" s="16">
        <v>78.319999999999993</v>
      </c>
      <c r="G68" s="16">
        <f>12/10*C68</f>
        <v>90.816000000000003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1" t="s">
        <v>60</v>
      </c>
      <c r="B71" s="22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225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19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2614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39</v>
      </c>
      <c r="F9" s="10"/>
      <c r="G9" s="10">
        <f t="shared" ref="G9:G41" si="0">SUM(C9:F9)</f>
        <v>39</v>
      </c>
      <c r="H9" s="16">
        <f t="shared" ref="H9:H41" si="1">ROUND(G9/2614,2)</f>
        <v>0.01</v>
      </c>
      <c r="I9" s="15">
        <f t="shared" ref="I9:I41" si="2">ROUND(G9/$G$42,3)</f>
        <v>0</v>
      </c>
      <c r="J9" s="15"/>
    </row>
    <row r="10" spans="1:10" x14ac:dyDescent="0.25">
      <c r="A10" s="1" t="s">
        <v>16</v>
      </c>
      <c r="B10" s="1" t="s">
        <v>19</v>
      </c>
      <c r="C10" s="10">
        <v>74020</v>
      </c>
      <c r="D10" s="10"/>
      <c r="E10" s="10"/>
      <c r="F10" s="10"/>
      <c r="G10" s="10">
        <f t="shared" si="0"/>
        <v>74020</v>
      </c>
      <c r="H10" s="16">
        <f t="shared" si="1"/>
        <v>28.32</v>
      </c>
      <c r="I10" s="15">
        <f t="shared" si="2"/>
        <v>0.09</v>
      </c>
      <c r="J10" s="15">
        <f>ROUND(G10/66730-1,2)</f>
        <v>0.11</v>
      </c>
    </row>
    <row r="11" spans="1:10" x14ac:dyDescent="0.25">
      <c r="A11" s="1" t="s">
        <v>16</v>
      </c>
      <c r="B11" s="1" t="s">
        <v>20</v>
      </c>
      <c r="C11" s="10">
        <v>107250</v>
      </c>
      <c r="D11" s="10"/>
      <c r="E11" s="10"/>
      <c r="F11" s="10"/>
      <c r="G11" s="10">
        <f t="shared" si="0"/>
        <v>107250</v>
      </c>
      <c r="H11" s="16">
        <f t="shared" si="1"/>
        <v>41.03</v>
      </c>
      <c r="I11" s="15">
        <f t="shared" si="2"/>
        <v>0.13</v>
      </c>
      <c r="J11" s="15">
        <f>ROUND(G11/108250-1,2)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49</v>
      </c>
      <c r="F12" s="10"/>
      <c r="G12" s="10">
        <f t="shared" si="0"/>
        <v>49</v>
      </c>
      <c r="H12" s="16">
        <f t="shared" si="1"/>
        <v>0.02</v>
      </c>
      <c r="I12" s="15">
        <f t="shared" si="2"/>
        <v>0</v>
      </c>
      <c r="J12" s="15">
        <f>ROUND(G12/76-1,2)</f>
        <v>-0.36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73</v>
      </c>
      <c r="F13" s="10"/>
      <c r="G13" s="10">
        <f t="shared" si="0"/>
        <v>73</v>
      </c>
      <c r="H13" s="16">
        <f t="shared" si="1"/>
        <v>0.03</v>
      </c>
      <c r="I13" s="15">
        <f t="shared" si="2"/>
        <v>0</v>
      </c>
      <c r="J13" s="15">
        <f>ROUND(G13/88-1,2)</f>
        <v>-0.17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1700</v>
      </c>
      <c r="F14" s="10"/>
      <c r="G14" s="10">
        <f t="shared" si="0"/>
        <v>1700</v>
      </c>
      <c r="H14" s="16">
        <f t="shared" si="1"/>
        <v>0.65</v>
      </c>
      <c r="I14" s="15">
        <f t="shared" si="2"/>
        <v>2E-3</v>
      </c>
      <c r="J14" s="15">
        <f>ROUND(G14/800-1,2)</f>
        <v>1.1299999999999999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24700</v>
      </c>
      <c r="F15" s="10"/>
      <c r="G15" s="10">
        <f t="shared" si="0"/>
        <v>24700</v>
      </c>
      <c r="H15" s="16">
        <f t="shared" si="1"/>
        <v>9.4499999999999993</v>
      </c>
      <c r="I15" s="15">
        <f t="shared" si="2"/>
        <v>0.03</v>
      </c>
      <c r="J15" s="15">
        <f>ROUND(G15/23640-1,2)</f>
        <v>0.04</v>
      </c>
    </row>
    <row r="16" spans="1:10" x14ac:dyDescent="0.25">
      <c r="A16" s="1" t="s">
        <v>16</v>
      </c>
      <c r="B16" s="1" t="s">
        <v>24</v>
      </c>
      <c r="C16" s="10">
        <v>110770</v>
      </c>
      <c r="D16" s="10"/>
      <c r="E16" s="10">
        <v>4900</v>
      </c>
      <c r="F16" s="10"/>
      <c r="G16" s="10">
        <f t="shared" si="0"/>
        <v>115670</v>
      </c>
      <c r="H16" s="16">
        <f t="shared" si="1"/>
        <v>44.25</v>
      </c>
      <c r="I16" s="15">
        <f t="shared" si="2"/>
        <v>0.14000000000000001</v>
      </c>
      <c r="J16" s="15">
        <f>ROUND(G16/109410-1,2)</f>
        <v>0.06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3605</v>
      </c>
      <c r="F17" s="10"/>
      <c r="G17" s="10">
        <f t="shared" si="0"/>
        <v>3605</v>
      </c>
      <c r="H17" s="16">
        <f t="shared" si="1"/>
        <v>1.38</v>
      </c>
      <c r="I17" s="15">
        <f t="shared" si="2"/>
        <v>4.0000000000000001E-3</v>
      </c>
      <c r="J17" s="15">
        <f>ROUND(G17/2270-1,2)</f>
        <v>0.59</v>
      </c>
    </row>
    <row r="18" spans="1:10" x14ac:dyDescent="0.25">
      <c r="A18" s="1" t="s">
        <v>16</v>
      </c>
      <c r="B18" s="1" t="s">
        <v>26</v>
      </c>
      <c r="C18" s="10">
        <v>177550</v>
      </c>
      <c r="D18" s="10"/>
      <c r="E18" s="10"/>
      <c r="F18" s="10">
        <v>1620</v>
      </c>
      <c r="G18" s="10">
        <f t="shared" si="0"/>
        <v>179170</v>
      </c>
      <c r="H18" s="16">
        <f t="shared" si="1"/>
        <v>68.540000000000006</v>
      </c>
      <c r="I18" s="15">
        <f t="shared" si="2"/>
        <v>0.217</v>
      </c>
      <c r="J18" s="15">
        <f>ROUND(G18/152990-1,2)</f>
        <v>0.17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808</v>
      </c>
      <c r="F19" s="10"/>
      <c r="G19" s="10">
        <f t="shared" si="0"/>
        <v>808</v>
      </c>
      <c r="H19" s="16">
        <f t="shared" si="1"/>
        <v>0.31</v>
      </c>
      <c r="I19" s="15">
        <f t="shared" si="2"/>
        <v>1E-3</v>
      </c>
      <c r="J19" s="15">
        <f>ROUND(G19/362-1,2)</f>
        <v>1.23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552</v>
      </c>
      <c r="F20" s="10"/>
      <c r="G20" s="10">
        <f t="shared" si="0"/>
        <v>552</v>
      </c>
      <c r="H20" s="16">
        <f t="shared" si="1"/>
        <v>0.21</v>
      </c>
      <c r="I20" s="15">
        <f t="shared" si="2"/>
        <v>1E-3</v>
      </c>
      <c r="J20" s="15">
        <f>ROUND(G20/533-1,2)</f>
        <v>0.04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2420</v>
      </c>
      <c r="F21" s="10"/>
      <c r="G21" s="10">
        <f t="shared" si="0"/>
        <v>2420</v>
      </c>
      <c r="H21" s="16">
        <f t="shared" si="1"/>
        <v>0.93</v>
      </c>
      <c r="I21" s="15">
        <f t="shared" si="2"/>
        <v>3.0000000000000001E-3</v>
      </c>
      <c r="J21" s="15">
        <f>ROUND(G21/5240-1,2)</f>
        <v>-0.54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650</v>
      </c>
      <c r="F22" s="10"/>
      <c r="G22" s="10">
        <f t="shared" si="0"/>
        <v>650</v>
      </c>
      <c r="H22" s="16">
        <f t="shared" si="1"/>
        <v>0.25</v>
      </c>
      <c r="I22" s="15">
        <f t="shared" si="2"/>
        <v>1E-3</v>
      </c>
      <c r="J22" s="15">
        <f>ROUND(G22/550-1,2)</f>
        <v>0.18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710</v>
      </c>
      <c r="F23" s="10"/>
      <c r="G23" s="10">
        <f t="shared" si="0"/>
        <v>710</v>
      </c>
      <c r="H23" s="16">
        <f t="shared" si="1"/>
        <v>0.27</v>
      </c>
      <c r="I23" s="15">
        <f t="shared" si="2"/>
        <v>1E-3</v>
      </c>
      <c r="J23" s="15">
        <f>ROUND(G23/1320-1,2)</f>
        <v>-0.46</v>
      </c>
    </row>
    <row r="24" spans="1:10" x14ac:dyDescent="0.25">
      <c r="A24" s="1" t="s">
        <v>16</v>
      </c>
      <c r="B24" s="1" t="s">
        <v>33</v>
      </c>
      <c r="C24" s="10"/>
      <c r="D24" s="10">
        <v>334</v>
      </c>
      <c r="E24" s="10">
        <v>95</v>
      </c>
      <c r="F24" s="10"/>
      <c r="G24" s="10">
        <f t="shared" si="0"/>
        <v>429</v>
      </c>
      <c r="H24" s="16">
        <f t="shared" si="1"/>
        <v>0.16</v>
      </c>
      <c r="I24" s="15">
        <f t="shared" si="2"/>
        <v>1E-3</v>
      </c>
      <c r="J24" s="15">
        <f>ROUND(G24/356-1,2)</f>
        <v>0.21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119</v>
      </c>
      <c r="F25" s="10"/>
      <c r="G25" s="10">
        <f t="shared" si="0"/>
        <v>119</v>
      </c>
      <c r="H25" s="16">
        <f t="shared" si="1"/>
        <v>0.05</v>
      </c>
      <c r="I25" s="15">
        <f t="shared" si="2"/>
        <v>0</v>
      </c>
      <c r="J25" s="15">
        <f>ROUND(G25/192-1,2)</f>
        <v>-0.38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820</v>
      </c>
      <c r="F26" s="10"/>
      <c r="G26" s="10">
        <f t="shared" si="0"/>
        <v>820</v>
      </c>
      <c r="H26" s="16">
        <f t="shared" si="1"/>
        <v>0.31</v>
      </c>
      <c r="I26" s="15">
        <f t="shared" si="2"/>
        <v>1E-3</v>
      </c>
      <c r="J26" s="15">
        <f>ROUND(G26/1650-1,2)</f>
        <v>-0.5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5020</v>
      </c>
      <c r="F27" s="10"/>
      <c r="G27" s="10">
        <f t="shared" si="0"/>
        <v>5020</v>
      </c>
      <c r="H27" s="16">
        <f t="shared" si="1"/>
        <v>1.92</v>
      </c>
      <c r="I27" s="15">
        <f t="shared" si="2"/>
        <v>6.0000000000000001E-3</v>
      </c>
      <c r="J27" s="15">
        <f>ROUND(G27/4970-1,2)</f>
        <v>0.01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700</v>
      </c>
      <c r="F28" s="10"/>
      <c r="G28" s="10">
        <f t="shared" si="0"/>
        <v>700</v>
      </c>
      <c r="H28" s="16">
        <f t="shared" si="1"/>
        <v>0.27</v>
      </c>
      <c r="I28" s="15">
        <f t="shared" si="2"/>
        <v>1E-3</v>
      </c>
      <c r="J28" s="15">
        <f>ROUND(G28/8930-1,2)</f>
        <v>-0.92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60100</v>
      </c>
      <c r="F29" s="10"/>
      <c r="G29" s="10">
        <f t="shared" si="0"/>
        <v>60100</v>
      </c>
      <c r="H29" s="16">
        <f t="shared" si="1"/>
        <v>22.99</v>
      </c>
      <c r="I29" s="15">
        <f t="shared" si="2"/>
        <v>7.2999999999999995E-2</v>
      </c>
      <c r="J29" s="15">
        <f>ROUND(G29/65140-1,2)</f>
        <v>-0.08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5000</v>
      </c>
      <c r="F30" s="10"/>
      <c r="G30" s="10">
        <f t="shared" si="0"/>
        <v>5000</v>
      </c>
      <c r="H30" s="16">
        <f t="shared" si="1"/>
        <v>1.91</v>
      </c>
      <c r="I30" s="15">
        <f t="shared" si="2"/>
        <v>6.0000000000000001E-3</v>
      </c>
      <c r="J30" s="15">
        <f>ROUND(G30/4300-1,2)</f>
        <v>0.16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16690</v>
      </c>
      <c r="F31" s="10"/>
      <c r="G31" s="10">
        <f t="shared" si="0"/>
        <v>16690</v>
      </c>
      <c r="H31" s="16">
        <f t="shared" si="1"/>
        <v>6.38</v>
      </c>
      <c r="I31" s="15">
        <f t="shared" si="2"/>
        <v>0.02</v>
      </c>
      <c r="J31" s="15">
        <f>ROUND(G31/15790-1,2)</f>
        <v>0.06</v>
      </c>
    </row>
    <row r="32" spans="1:10" x14ac:dyDescent="0.25">
      <c r="A32" s="1" t="s">
        <v>16</v>
      </c>
      <c r="B32" s="1" t="s">
        <v>41</v>
      </c>
      <c r="C32" s="10"/>
      <c r="D32" s="10"/>
      <c r="E32" s="10"/>
      <c r="F32" s="10">
        <v>42220</v>
      </c>
      <c r="G32" s="10">
        <f t="shared" si="0"/>
        <v>42220</v>
      </c>
      <c r="H32" s="16">
        <f t="shared" si="1"/>
        <v>16.149999999999999</v>
      </c>
      <c r="I32" s="15">
        <f t="shared" si="2"/>
        <v>5.0999999999999997E-2</v>
      </c>
      <c r="J32" s="15">
        <f>ROUND(G32/10980-1,2)</f>
        <v>2.85</v>
      </c>
    </row>
    <row r="33" spans="1:10" x14ac:dyDescent="0.25">
      <c r="A33" s="1" t="s">
        <v>16</v>
      </c>
      <c r="B33" s="1" t="s">
        <v>227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ROUND(G34/250-1,2)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ROUND(G35/3110-1,2)</f>
        <v>-1</v>
      </c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ROUND(G36/87-1,2)</f>
        <v>-1</v>
      </c>
    </row>
    <row r="37" spans="1:10" x14ac:dyDescent="0.25">
      <c r="A37" s="1" t="s">
        <v>44</v>
      </c>
      <c r="B37" s="1" t="s">
        <v>45</v>
      </c>
      <c r="C37" s="10">
        <v>142320</v>
      </c>
      <c r="D37" s="10"/>
      <c r="E37" s="10"/>
      <c r="F37" s="10"/>
      <c r="G37" s="10">
        <f t="shared" si="0"/>
        <v>142320</v>
      </c>
      <c r="H37" s="16">
        <f t="shared" si="1"/>
        <v>54.45</v>
      </c>
      <c r="I37" s="15">
        <f t="shared" si="2"/>
        <v>0.17299999999999999</v>
      </c>
      <c r="J37" s="15">
        <f>ROUND(G37/229250-1,2)</f>
        <v>-0.38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39850</v>
      </c>
      <c r="F38" s="10"/>
      <c r="G38" s="10">
        <f t="shared" si="0"/>
        <v>39850</v>
      </c>
      <c r="H38" s="16">
        <f t="shared" si="1"/>
        <v>15.24</v>
      </c>
      <c r="I38" s="15">
        <f t="shared" si="2"/>
        <v>4.8000000000000001E-2</v>
      </c>
      <c r="J38" s="15">
        <f>ROUND(G38/33680-1,2)</f>
        <v>0.18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86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5" t="s">
        <v>12</v>
      </c>
      <c r="B42" s="25"/>
      <c r="C42" s="11">
        <f t="shared" ref="C42:H42" si="3">SUM(C8:C41)</f>
        <v>611910</v>
      </c>
      <c r="D42" s="11">
        <f t="shared" si="3"/>
        <v>334</v>
      </c>
      <c r="E42" s="11">
        <f t="shared" si="3"/>
        <v>168600</v>
      </c>
      <c r="F42" s="11">
        <f t="shared" si="3"/>
        <v>43840</v>
      </c>
      <c r="G42" s="11">
        <f t="shared" si="3"/>
        <v>824684</v>
      </c>
      <c r="H42" s="14">
        <f t="shared" si="3"/>
        <v>315.48000000000008</v>
      </c>
      <c r="I42" s="17"/>
      <c r="J42" s="17"/>
    </row>
    <row r="43" spans="1:10" x14ac:dyDescent="0.25">
      <c r="A43" s="25" t="s">
        <v>14</v>
      </c>
      <c r="B43" s="25"/>
      <c r="C43" s="12">
        <f>ROUND(C42/G42,2)</f>
        <v>0.74</v>
      </c>
      <c r="D43" s="12">
        <f>ROUND(D42/G42,2)</f>
        <v>0</v>
      </c>
      <c r="E43" s="12">
        <f>ROUND(E42/G42,2)</f>
        <v>0.2</v>
      </c>
      <c r="F43" s="12">
        <f>ROUND(F42/G42,2)</f>
        <v>0.05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5" t="s">
        <v>53</v>
      </c>
      <c r="B48" s="25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0" t="s">
        <v>54</v>
      </c>
      <c r="B49" s="20"/>
      <c r="C49" s="10">
        <v>469590</v>
      </c>
      <c r="D49" s="10">
        <v>334</v>
      </c>
      <c r="E49" s="10">
        <v>128750</v>
      </c>
      <c r="F49" s="10">
        <v>43840</v>
      </c>
      <c r="G49" s="10">
        <f>SUM(C49:F49)</f>
        <v>642514</v>
      </c>
      <c r="H49" s="16">
        <f>ROUND(G49/2614,2)</f>
        <v>245.8</v>
      </c>
      <c r="I49" s="9"/>
      <c r="J49" s="9"/>
    </row>
    <row r="50" spans="1:10" x14ac:dyDescent="0.25">
      <c r="A50" s="20" t="s">
        <v>55</v>
      </c>
      <c r="B50" s="20"/>
      <c r="C50" s="10">
        <v>142320</v>
      </c>
      <c r="D50" s="10">
        <v>0</v>
      </c>
      <c r="E50" s="10">
        <v>39850</v>
      </c>
      <c r="F50" s="10">
        <v>0</v>
      </c>
      <c r="G50" s="10">
        <f>SUM(C50:F50)</f>
        <v>182170</v>
      </c>
      <c r="H50" s="16">
        <f>ROUND(G50/2614,2)</f>
        <v>69.69</v>
      </c>
      <c r="I50" s="9"/>
      <c r="J50" s="9"/>
    </row>
    <row r="51" spans="1:10" x14ac:dyDescent="0.25">
      <c r="A51" s="20" t="s">
        <v>56</v>
      </c>
      <c r="B51" s="20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ROUND(G51/2614,2)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5" t="s">
        <v>57</v>
      </c>
      <c r="B56" s="25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0" t="s">
        <v>58</v>
      </c>
      <c r="B57" s="20"/>
      <c r="C57" s="15">
        <f>ROUND(0.8166, 4)</f>
        <v>0.81659999999999999</v>
      </c>
      <c r="D57" s="15">
        <f>ROUND(0.7219, 4)</f>
        <v>0.72189999999999999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3" t="s">
        <v>64</v>
      </c>
      <c r="J57" s="23" t="s">
        <v>65</v>
      </c>
    </row>
    <row r="58" spans="1:10" x14ac:dyDescent="0.25">
      <c r="A58" s="20" t="s">
        <v>66</v>
      </c>
      <c r="B58" s="20"/>
      <c r="C58" s="15">
        <f>ROUND(0.8047, 4)</f>
        <v>0.80469999999999997</v>
      </c>
      <c r="D58" s="15">
        <f>ROUND(0.7112, 4)</f>
        <v>0.71120000000000005</v>
      </c>
      <c r="E58" s="15">
        <f>ROUND(0.7608, 4)</f>
        <v>0.76080000000000003</v>
      </c>
      <c r="F58" s="8"/>
      <c r="G58" s="14" t="s">
        <v>67</v>
      </c>
      <c r="H58" s="27"/>
      <c r="I58" s="24"/>
      <c r="J58" s="24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68</v>
      </c>
      <c r="B62" s="25"/>
      <c r="C62" s="14" t="s">
        <v>2</v>
      </c>
      <c r="D62" s="14" t="s">
        <v>228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0" t="s">
        <v>73</v>
      </c>
      <c r="B63" s="20"/>
      <c r="C63" s="16">
        <v>54.45</v>
      </c>
      <c r="D63" s="16">
        <v>97.4</v>
      </c>
      <c r="E63" s="16">
        <v>91.13</v>
      </c>
      <c r="F63" s="16">
        <v>54.95</v>
      </c>
      <c r="G63" s="16">
        <f>12/10*C63</f>
        <v>65.34</v>
      </c>
      <c r="H63" s="8"/>
      <c r="I63" s="9"/>
      <c r="J63" s="9"/>
    </row>
    <row r="64" spans="1:10" x14ac:dyDescent="0.25">
      <c r="A64" s="20" t="s">
        <v>74</v>
      </c>
      <c r="B64" s="20"/>
      <c r="C64" s="16">
        <v>68.540000000000006</v>
      </c>
      <c r="D64" s="16">
        <v>71.569999999999993</v>
      </c>
      <c r="E64" s="16">
        <v>61.18</v>
      </c>
      <c r="F64" s="16">
        <v>62.89</v>
      </c>
      <c r="G64" s="16">
        <f>12/10*C64</f>
        <v>82.248000000000005</v>
      </c>
      <c r="H64" s="8"/>
      <c r="I64" s="9"/>
      <c r="J64" s="9"/>
    </row>
    <row r="65" spans="1:10" x14ac:dyDescent="0.25">
      <c r="A65" s="20" t="s">
        <v>75</v>
      </c>
      <c r="B65" s="20"/>
      <c r="C65" s="16">
        <v>245.8</v>
      </c>
      <c r="D65" s="16">
        <v>267.85000000000002</v>
      </c>
      <c r="E65" s="16">
        <v>287.25</v>
      </c>
      <c r="F65" s="16">
        <v>278.91000000000003</v>
      </c>
      <c r="G65" s="16">
        <f>12/10*C65</f>
        <v>294.95999999999998</v>
      </c>
      <c r="H65" s="8"/>
      <c r="I65" s="9"/>
      <c r="J65" s="9"/>
    </row>
    <row r="66" spans="1:10" x14ac:dyDescent="0.25">
      <c r="A66" s="20" t="s">
        <v>76</v>
      </c>
      <c r="B66" s="20"/>
      <c r="C66" s="16">
        <v>69.69</v>
      </c>
      <c r="D66" s="16">
        <v>114.37</v>
      </c>
      <c r="E66" s="16">
        <v>114.69</v>
      </c>
      <c r="F66" s="16">
        <v>78.319999999999993</v>
      </c>
      <c r="G66" s="16">
        <f>12/10*C66</f>
        <v>83.628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2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229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2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2781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84</v>
      </c>
      <c r="F9" s="10"/>
      <c r="G9" s="10">
        <f t="shared" ref="G9:G38" si="0">SUM(C9:F9)</f>
        <v>84</v>
      </c>
      <c r="H9" s="16">
        <f t="shared" ref="H9:H38" si="1">ROUND(G9/2781,2)</f>
        <v>0.03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72810</v>
      </c>
      <c r="D10" s="10"/>
      <c r="E10" s="10"/>
      <c r="F10" s="10"/>
      <c r="G10" s="10">
        <f t="shared" si="0"/>
        <v>72810</v>
      </c>
      <c r="H10" s="16">
        <f t="shared" si="1"/>
        <v>26.18</v>
      </c>
      <c r="I10" s="15">
        <f t="shared" si="2"/>
        <v>7.9000000000000001E-2</v>
      </c>
      <c r="J10" s="15">
        <f>ROUND(G10/68900-1,2)</f>
        <v>0.06</v>
      </c>
    </row>
    <row r="11" spans="1:10" x14ac:dyDescent="0.25">
      <c r="A11" s="1" t="s">
        <v>16</v>
      </c>
      <c r="B11" s="1" t="s">
        <v>20</v>
      </c>
      <c r="C11" s="10">
        <v>92900</v>
      </c>
      <c r="D11" s="10"/>
      <c r="E11" s="10"/>
      <c r="F11" s="10"/>
      <c r="G11" s="10">
        <f t="shared" si="0"/>
        <v>92900</v>
      </c>
      <c r="H11" s="16">
        <f t="shared" si="1"/>
        <v>33.409999999999997</v>
      </c>
      <c r="I11" s="15">
        <f t="shared" si="2"/>
        <v>0.10100000000000001</v>
      </c>
      <c r="J11" s="15">
        <f>ROUND(G11/92920-1,2)</f>
        <v>0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169</v>
      </c>
      <c r="F12" s="10"/>
      <c r="G12" s="10">
        <f t="shared" si="0"/>
        <v>169</v>
      </c>
      <c r="H12" s="16">
        <f t="shared" si="1"/>
        <v>0.06</v>
      </c>
      <c r="I12" s="15">
        <f t="shared" si="2"/>
        <v>0</v>
      </c>
      <c r="J12" s="15">
        <f>ROUND(G12/145-1,2)</f>
        <v>0.17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28640</v>
      </c>
      <c r="F13" s="10"/>
      <c r="G13" s="10">
        <f t="shared" si="0"/>
        <v>28640</v>
      </c>
      <c r="H13" s="16">
        <f t="shared" si="1"/>
        <v>10.3</v>
      </c>
      <c r="I13" s="15">
        <f t="shared" si="2"/>
        <v>3.1E-2</v>
      </c>
      <c r="J13" s="15">
        <f>ROUND(G13/40200-1,2)</f>
        <v>-0.28999999999999998</v>
      </c>
    </row>
    <row r="14" spans="1:10" x14ac:dyDescent="0.25">
      <c r="A14" s="1" t="s">
        <v>16</v>
      </c>
      <c r="B14" s="1" t="s">
        <v>24</v>
      </c>
      <c r="C14" s="10">
        <v>97840</v>
      </c>
      <c r="D14" s="10"/>
      <c r="E14" s="10"/>
      <c r="F14" s="10"/>
      <c r="G14" s="10">
        <f t="shared" si="0"/>
        <v>97840</v>
      </c>
      <c r="H14" s="16">
        <f t="shared" si="1"/>
        <v>35.18</v>
      </c>
      <c r="I14" s="15">
        <f t="shared" si="2"/>
        <v>0.106</v>
      </c>
      <c r="J14" s="15">
        <f>ROUND(G14/101860-1,2)</f>
        <v>-0.04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3840</v>
      </c>
      <c r="F15" s="10"/>
      <c r="G15" s="10">
        <f t="shared" si="0"/>
        <v>3840</v>
      </c>
      <c r="H15" s="16">
        <f t="shared" si="1"/>
        <v>1.38</v>
      </c>
      <c r="I15" s="15">
        <f t="shared" si="2"/>
        <v>4.0000000000000001E-3</v>
      </c>
      <c r="J15" s="15">
        <f>ROUND(G15/4110-1,2)</f>
        <v>-7.0000000000000007E-2</v>
      </c>
    </row>
    <row r="16" spans="1:10" x14ac:dyDescent="0.25">
      <c r="A16" s="1" t="s">
        <v>16</v>
      </c>
      <c r="B16" s="1" t="s">
        <v>26</v>
      </c>
      <c r="C16" s="10">
        <v>168650</v>
      </c>
      <c r="D16" s="10"/>
      <c r="E16" s="10"/>
      <c r="F16" s="10">
        <v>80</v>
      </c>
      <c r="G16" s="10">
        <f t="shared" si="0"/>
        <v>168730</v>
      </c>
      <c r="H16" s="16">
        <f t="shared" si="1"/>
        <v>60.67</v>
      </c>
      <c r="I16" s="15">
        <f t="shared" si="2"/>
        <v>0.183</v>
      </c>
      <c r="J16" s="15">
        <f>ROUND(G16/163290-1,2)</f>
        <v>0.03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1650</v>
      </c>
      <c r="F17" s="10"/>
      <c r="G17" s="10">
        <f t="shared" si="0"/>
        <v>1650</v>
      </c>
      <c r="H17" s="16">
        <f t="shared" si="1"/>
        <v>0.59</v>
      </c>
      <c r="I17" s="15">
        <f t="shared" si="2"/>
        <v>2E-3</v>
      </c>
      <c r="J17" s="15">
        <f>ROUND(G17/2570-1,2)</f>
        <v>-0.36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480</v>
      </c>
      <c r="F18" s="10"/>
      <c r="G18" s="10">
        <f t="shared" si="0"/>
        <v>480</v>
      </c>
      <c r="H18" s="16">
        <f t="shared" si="1"/>
        <v>0.17</v>
      </c>
      <c r="I18" s="15">
        <f t="shared" si="2"/>
        <v>1E-3</v>
      </c>
      <c r="J18" s="15">
        <f>ROUND(G18/700-1,2)</f>
        <v>-0.31</v>
      </c>
    </row>
    <row r="19" spans="1:10" x14ac:dyDescent="0.25">
      <c r="A19" s="1" t="s">
        <v>16</v>
      </c>
      <c r="B19" s="1" t="s">
        <v>32</v>
      </c>
      <c r="C19" s="10"/>
      <c r="D19" s="10"/>
      <c r="E19" s="10">
        <v>1885</v>
      </c>
      <c r="F19" s="10"/>
      <c r="G19" s="10">
        <f t="shared" si="0"/>
        <v>1885</v>
      </c>
      <c r="H19" s="16">
        <f t="shared" si="1"/>
        <v>0.68</v>
      </c>
      <c r="I19" s="15">
        <f t="shared" si="2"/>
        <v>2E-3</v>
      </c>
      <c r="J19" s="15">
        <f>ROUND(G19/1440-1,2)</f>
        <v>0.31</v>
      </c>
    </row>
    <row r="20" spans="1:10" x14ac:dyDescent="0.25">
      <c r="A20" s="1" t="s">
        <v>16</v>
      </c>
      <c r="B20" s="1" t="s">
        <v>33</v>
      </c>
      <c r="C20" s="10"/>
      <c r="D20" s="10">
        <v>160</v>
      </c>
      <c r="E20" s="10">
        <v>50</v>
      </c>
      <c r="F20" s="10"/>
      <c r="G20" s="10">
        <f t="shared" si="0"/>
        <v>210</v>
      </c>
      <c r="H20" s="16">
        <f t="shared" si="1"/>
        <v>0.08</v>
      </c>
      <c r="I20" s="15">
        <f t="shared" si="2"/>
        <v>0</v>
      </c>
      <c r="J20" s="15">
        <f>ROUND(G20/193-1,2)</f>
        <v>0.09</v>
      </c>
    </row>
    <row r="21" spans="1:10" x14ac:dyDescent="0.25">
      <c r="A21" s="1" t="s">
        <v>16</v>
      </c>
      <c r="B21" s="1" t="s">
        <v>34</v>
      </c>
      <c r="C21" s="10"/>
      <c r="D21" s="10"/>
      <c r="E21" s="10">
        <v>900</v>
      </c>
      <c r="F21" s="10"/>
      <c r="G21" s="10">
        <f t="shared" si="0"/>
        <v>900</v>
      </c>
      <c r="H21" s="16">
        <f t="shared" si="1"/>
        <v>0.32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35</v>
      </c>
      <c r="C22" s="10"/>
      <c r="D22" s="10">
        <v>100</v>
      </c>
      <c r="E22" s="10"/>
      <c r="F22" s="10"/>
      <c r="G22" s="10">
        <f t="shared" si="0"/>
        <v>100</v>
      </c>
      <c r="H22" s="16">
        <f t="shared" si="1"/>
        <v>0.04</v>
      </c>
      <c r="I22" s="15">
        <f t="shared" si="2"/>
        <v>0</v>
      </c>
      <c r="J22" s="15">
        <f>ROUND(G22/320-1,2)</f>
        <v>-0.69</v>
      </c>
    </row>
    <row r="23" spans="1:10" x14ac:dyDescent="0.25">
      <c r="A23" s="1" t="s">
        <v>16</v>
      </c>
      <c r="B23" s="1" t="s">
        <v>37</v>
      </c>
      <c r="C23" s="10"/>
      <c r="D23" s="10"/>
      <c r="E23" s="10">
        <v>1790</v>
      </c>
      <c r="F23" s="10"/>
      <c r="G23" s="10">
        <f t="shared" si="0"/>
        <v>1790</v>
      </c>
      <c r="H23" s="16">
        <f t="shared" si="1"/>
        <v>0.64</v>
      </c>
      <c r="I23" s="15">
        <f t="shared" si="2"/>
        <v>2E-3</v>
      </c>
      <c r="J23" s="15">
        <f>ROUND(G23/1630-1,2)</f>
        <v>0.1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2450</v>
      </c>
      <c r="F24" s="10"/>
      <c r="G24" s="10">
        <f t="shared" si="0"/>
        <v>2450</v>
      </c>
      <c r="H24" s="16">
        <f t="shared" si="1"/>
        <v>0.88</v>
      </c>
      <c r="I24" s="15">
        <f t="shared" si="2"/>
        <v>3.0000000000000001E-3</v>
      </c>
      <c r="J24" s="15">
        <f>ROUND(G24/5937-1,2)</f>
        <v>-0.59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54040</v>
      </c>
      <c r="F25" s="10"/>
      <c r="G25" s="10">
        <f t="shared" si="0"/>
        <v>54040</v>
      </c>
      <c r="H25" s="16">
        <f t="shared" si="1"/>
        <v>19.43</v>
      </c>
      <c r="I25" s="15">
        <f t="shared" si="2"/>
        <v>5.8999999999999997E-2</v>
      </c>
      <c r="J25" s="15">
        <f>ROUND(G25/42850-1,2)</f>
        <v>0.26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16770</v>
      </c>
      <c r="F26" s="10"/>
      <c r="G26" s="10">
        <f t="shared" si="0"/>
        <v>16770</v>
      </c>
      <c r="H26" s="16">
        <f t="shared" si="1"/>
        <v>6.03</v>
      </c>
      <c r="I26" s="15">
        <f t="shared" si="2"/>
        <v>1.7999999999999999E-2</v>
      </c>
      <c r="J26" s="15">
        <f>ROUND(G26/16350-1,2)</f>
        <v>0.03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74800</v>
      </c>
      <c r="F27" s="10">
        <v>4900</v>
      </c>
      <c r="G27" s="10">
        <f t="shared" si="0"/>
        <v>79700</v>
      </c>
      <c r="H27" s="16">
        <f t="shared" si="1"/>
        <v>28.66</v>
      </c>
      <c r="I27" s="15">
        <f t="shared" si="2"/>
        <v>8.6999999999999994E-2</v>
      </c>
      <c r="J27" s="15">
        <f>ROUND(G27/74980-1,2)</f>
        <v>0.06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ROUND(G28/2190-1,2)</f>
        <v>-1</v>
      </c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ROUND(G29/39-1,2)</f>
        <v>-1</v>
      </c>
    </row>
    <row r="30" spans="1:10" x14ac:dyDescent="0.25">
      <c r="A30" s="1" t="s">
        <v>16</v>
      </c>
      <c r="B30" s="1" t="s">
        <v>39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ROUND(G31/450-1,2)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248480</v>
      </c>
      <c r="D33" s="10"/>
      <c r="E33" s="10"/>
      <c r="F33" s="10"/>
      <c r="G33" s="10">
        <f t="shared" si="0"/>
        <v>248480</v>
      </c>
      <c r="H33" s="16">
        <f t="shared" si="1"/>
        <v>89.35</v>
      </c>
      <c r="I33" s="15">
        <f t="shared" si="2"/>
        <v>0.27</v>
      </c>
      <c r="J33" s="15">
        <f>ROUND(G33/222920-1,2)</f>
        <v>0.11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13770</v>
      </c>
      <c r="G34" s="10">
        <f t="shared" si="0"/>
        <v>13770</v>
      </c>
      <c r="H34" s="16">
        <f t="shared" si="1"/>
        <v>4.95</v>
      </c>
      <c r="I34" s="15">
        <f t="shared" si="2"/>
        <v>1.4999999999999999E-2</v>
      </c>
      <c r="J34" s="15">
        <f>ROUND(G34/11100-1,2)</f>
        <v>0.24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33040</v>
      </c>
      <c r="F35" s="10"/>
      <c r="G35" s="10">
        <f t="shared" si="0"/>
        <v>33040</v>
      </c>
      <c r="H35" s="16">
        <f t="shared" si="1"/>
        <v>11.88</v>
      </c>
      <c r="I35" s="15">
        <f t="shared" si="2"/>
        <v>3.5999999999999997E-2</v>
      </c>
      <c r="J35" s="15">
        <f>ROUND(G35/33600-1,2)</f>
        <v>-0.02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94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5" t="s">
        <v>12</v>
      </c>
      <c r="B39" s="25"/>
      <c r="C39" s="11">
        <f t="shared" ref="C39:H39" si="3">SUM(C8:C38)</f>
        <v>680680</v>
      </c>
      <c r="D39" s="11">
        <f t="shared" si="3"/>
        <v>260</v>
      </c>
      <c r="E39" s="11">
        <f t="shared" si="3"/>
        <v>220588</v>
      </c>
      <c r="F39" s="11">
        <f t="shared" si="3"/>
        <v>18750</v>
      </c>
      <c r="G39" s="11">
        <f t="shared" si="3"/>
        <v>920278</v>
      </c>
      <c r="H39" s="14">
        <f t="shared" si="3"/>
        <v>330.90999999999991</v>
      </c>
      <c r="I39" s="17"/>
      <c r="J39" s="17"/>
    </row>
    <row r="40" spans="1:10" x14ac:dyDescent="0.25">
      <c r="A40" s="25" t="s">
        <v>14</v>
      </c>
      <c r="B40" s="25"/>
      <c r="C40" s="12">
        <f>ROUND(C39/G39,2)</f>
        <v>0.74</v>
      </c>
      <c r="D40" s="12">
        <f>ROUND(D39/G39,2)</f>
        <v>0</v>
      </c>
      <c r="E40" s="12">
        <f>ROUND(E39/G39,2)</f>
        <v>0.24</v>
      </c>
      <c r="F40" s="12">
        <f>ROUND(F39/G39,2)</f>
        <v>0.02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5" t="s">
        <v>53</v>
      </c>
      <c r="B45" s="25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0" t="s">
        <v>54</v>
      </c>
      <c r="B46" s="20"/>
      <c r="C46" s="10">
        <v>432200</v>
      </c>
      <c r="D46" s="10">
        <v>260</v>
      </c>
      <c r="E46" s="10">
        <v>187548</v>
      </c>
      <c r="F46" s="10">
        <v>4980</v>
      </c>
      <c r="G46" s="10">
        <f>SUM(C46:F46)</f>
        <v>624988</v>
      </c>
      <c r="H46" s="16">
        <f>ROUND(G46/2781,2)</f>
        <v>224.73</v>
      </c>
      <c r="I46" s="9"/>
      <c r="J46" s="9"/>
    </row>
    <row r="47" spans="1:10" x14ac:dyDescent="0.25">
      <c r="A47" s="20" t="s">
        <v>55</v>
      </c>
      <c r="B47" s="20"/>
      <c r="C47" s="10">
        <v>248480</v>
      </c>
      <c r="D47" s="10">
        <v>0</v>
      </c>
      <c r="E47" s="10">
        <v>33040</v>
      </c>
      <c r="F47" s="10">
        <v>13770</v>
      </c>
      <c r="G47" s="10">
        <f>SUM(C47:F47)</f>
        <v>295290</v>
      </c>
      <c r="H47" s="16">
        <f>ROUND(G47/2781,2)</f>
        <v>106.18</v>
      </c>
      <c r="I47" s="9"/>
      <c r="J47" s="9"/>
    </row>
    <row r="48" spans="1:10" x14ac:dyDescent="0.25">
      <c r="A48" s="20" t="s">
        <v>56</v>
      </c>
      <c r="B48" s="20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ROUND(G48/2781,2)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57</v>
      </c>
      <c r="B53" s="25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0" t="s">
        <v>58</v>
      </c>
      <c r="B54" s="20"/>
      <c r="C54" s="15">
        <f>ROUND(0.7185, 4)</f>
        <v>0.71850000000000003</v>
      </c>
      <c r="D54" s="15">
        <f>ROUND(0.7269, 4)</f>
        <v>0.72689999999999999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3" t="s">
        <v>64</v>
      </c>
      <c r="J54" s="23" t="s">
        <v>65</v>
      </c>
    </row>
    <row r="55" spans="1:10" x14ac:dyDescent="0.25">
      <c r="A55" s="20" t="s">
        <v>66</v>
      </c>
      <c r="B55" s="20"/>
      <c r="C55" s="15">
        <f>ROUND(0.708, 4)</f>
        <v>0.70799999999999996</v>
      </c>
      <c r="D55" s="15">
        <f>ROUND(0.7162, 4)</f>
        <v>0.71619999999999995</v>
      </c>
      <c r="E55" s="15">
        <f>ROUND(0.7608, 4)</f>
        <v>0.76080000000000003</v>
      </c>
      <c r="F55" s="8"/>
      <c r="G55" s="14" t="s">
        <v>67</v>
      </c>
      <c r="H55" s="27"/>
      <c r="I55" s="24"/>
      <c r="J55" s="24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68</v>
      </c>
      <c r="B59" s="25"/>
      <c r="C59" s="14" t="s">
        <v>2</v>
      </c>
      <c r="D59" s="14" t="s">
        <v>231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0" t="s">
        <v>73</v>
      </c>
      <c r="B60" s="20"/>
      <c r="C60" s="16">
        <v>89.35</v>
      </c>
      <c r="D60" s="16">
        <v>93.65</v>
      </c>
      <c r="E60" s="16">
        <v>91.13</v>
      </c>
      <c r="F60" s="16">
        <v>54.95</v>
      </c>
      <c r="G60" s="16">
        <f>12/10*C60</f>
        <v>107.21999999999998</v>
      </c>
      <c r="H60" s="8"/>
      <c r="I60" s="9"/>
      <c r="J60" s="9"/>
    </row>
    <row r="61" spans="1:10" x14ac:dyDescent="0.25">
      <c r="A61" s="20" t="s">
        <v>74</v>
      </c>
      <c r="B61" s="20"/>
      <c r="C61" s="16">
        <v>60.67</v>
      </c>
      <c r="D61" s="16">
        <v>68.86</v>
      </c>
      <c r="E61" s="16">
        <v>61.18</v>
      </c>
      <c r="F61" s="16">
        <v>62.89</v>
      </c>
      <c r="G61" s="16">
        <f>12/10*C61</f>
        <v>72.804000000000002</v>
      </c>
      <c r="H61" s="8"/>
      <c r="I61" s="9"/>
      <c r="J61" s="9"/>
    </row>
    <row r="62" spans="1:10" x14ac:dyDescent="0.25">
      <c r="A62" s="20" t="s">
        <v>75</v>
      </c>
      <c r="B62" s="20"/>
      <c r="C62" s="16">
        <v>224.73</v>
      </c>
      <c r="D62" s="16">
        <v>272.25</v>
      </c>
      <c r="E62" s="16">
        <v>287.25</v>
      </c>
      <c r="F62" s="16">
        <v>278.91000000000003</v>
      </c>
      <c r="G62" s="16">
        <f>12/10*C62</f>
        <v>269.67599999999999</v>
      </c>
      <c r="H62" s="8"/>
      <c r="I62" s="9"/>
      <c r="J62" s="9"/>
    </row>
    <row r="63" spans="1:10" x14ac:dyDescent="0.25">
      <c r="A63" s="20" t="s">
        <v>76</v>
      </c>
      <c r="B63" s="20"/>
      <c r="C63" s="16">
        <v>106.18</v>
      </c>
      <c r="D63" s="16">
        <v>113.77</v>
      </c>
      <c r="E63" s="16">
        <v>114.69</v>
      </c>
      <c r="F63" s="16">
        <v>78.319999999999993</v>
      </c>
      <c r="G63" s="16">
        <f>12/10*C63</f>
        <v>127.416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2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232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0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1724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37</v>
      </c>
      <c r="F9" s="10"/>
      <c r="G9" s="10">
        <f t="shared" ref="G9:G42" si="0">SUM(C9:F9)</f>
        <v>37</v>
      </c>
      <c r="H9" s="16">
        <f t="shared" ref="H9:H42" si="1">ROUND(G9/1724,2)</f>
        <v>0.02</v>
      </c>
      <c r="I9" s="15">
        <f t="shared" ref="I9:I42" si="2">ROUND(G9/$G$43,3)</f>
        <v>0</v>
      </c>
      <c r="J9" s="15">
        <f>ROUND(G9/45-1,2)</f>
        <v>-0.18</v>
      </c>
    </row>
    <row r="10" spans="1:10" x14ac:dyDescent="0.25">
      <c r="A10" s="1" t="s">
        <v>16</v>
      </c>
      <c r="B10" s="1" t="s">
        <v>19</v>
      </c>
      <c r="C10" s="10">
        <v>38040</v>
      </c>
      <c r="D10" s="10"/>
      <c r="E10" s="10">
        <v>4962</v>
      </c>
      <c r="F10" s="10">
        <v>440</v>
      </c>
      <c r="G10" s="10">
        <f t="shared" si="0"/>
        <v>43442</v>
      </c>
      <c r="H10" s="16">
        <f t="shared" si="1"/>
        <v>25.2</v>
      </c>
      <c r="I10" s="15">
        <f t="shared" si="2"/>
        <v>8.1000000000000003E-2</v>
      </c>
      <c r="J10" s="15">
        <f>ROUND(G10/44842.8-1,2)</f>
        <v>-0.03</v>
      </c>
    </row>
    <row r="11" spans="1:10" x14ac:dyDescent="0.25">
      <c r="A11" s="1" t="s">
        <v>16</v>
      </c>
      <c r="B11" s="1" t="s">
        <v>20</v>
      </c>
      <c r="C11" s="10">
        <v>60660</v>
      </c>
      <c r="D11" s="10"/>
      <c r="E11" s="10"/>
      <c r="F11" s="10"/>
      <c r="G11" s="10">
        <f t="shared" si="0"/>
        <v>60660</v>
      </c>
      <c r="H11" s="16">
        <f t="shared" si="1"/>
        <v>35.19</v>
      </c>
      <c r="I11" s="15">
        <f t="shared" si="2"/>
        <v>0.113</v>
      </c>
      <c r="J11" s="15">
        <f>ROUND(G11/65840-1,2)</f>
        <v>-0.08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183</v>
      </c>
      <c r="F12" s="10"/>
      <c r="G12" s="10">
        <f t="shared" si="0"/>
        <v>183</v>
      </c>
      <c r="H12" s="16">
        <f t="shared" si="1"/>
        <v>0.11</v>
      </c>
      <c r="I12" s="15">
        <f t="shared" si="2"/>
        <v>0</v>
      </c>
      <c r="J12" s="15">
        <f>ROUND(G12/586.96-1,2)</f>
        <v>-0.69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627</v>
      </c>
      <c r="F13" s="10"/>
      <c r="G13" s="10">
        <f t="shared" si="0"/>
        <v>627</v>
      </c>
      <c r="H13" s="16">
        <f t="shared" si="1"/>
        <v>0.36</v>
      </c>
      <c r="I13" s="15">
        <f t="shared" si="2"/>
        <v>1E-3</v>
      </c>
      <c r="J13" s="15">
        <f>ROUND(G13/240-1,2)</f>
        <v>1.61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82627</v>
      </c>
      <c r="F14" s="10"/>
      <c r="G14" s="10">
        <f t="shared" si="0"/>
        <v>82627</v>
      </c>
      <c r="H14" s="16">
        <f t="shared" si="1"/>
        <v>47.93</v>
      </c>
      <c r="I14" s="15">
        <f t="shared" si="2"/>
        <v>0.154</v>
      </c>
      <c r="J14" s="15">
        <f>ROUND(G14/107947.99-1,2)</f>
        <v>-0.23</v>
      </c>
    </row>
    <row r="15" spans="1:10" x14ac:dyDescent="0.25">
      <c r="A15" s="1" t="s">
        <v>16</v>
      </c>
      <c r="B15" s="1" t="s">
        <v>24</v>
      </c>
      <c r="C15" s="10">
        <v>51980</v>
      </c>
      <c r="D15" s="10"/>
      <c r="E15" s="10">
        <v>13680</v>
      </c>
      <c r="F15" s="10">
        <v>120</v>
      </c>
      <c r="G15" s="10">
        <f t="shared" si="0"/>
        <v>65780</v>
      </c>
      <c r="H15" s="16">
        <f t="shared" si="1"/>
        <v>38.159999999999997</v>
      </c>
      <c r="I15" s="15">
        <f t="shared" si="2"/>
        <v>0.123</v>
      </c>
      <c r="J15" s="15">
        <f>ROUND(G15/64767.18-1,2)</f>
        <v>0.02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3100</v>
      </c>
      <c r="F16" s="10"/>
      <c r="G16" s="10">
        <f t="shared" si="0"/>
        <v>3100</v>
      </c>
      <c r="H16" s="16">
        <f t="shared" si="1"/>
        <v>1.8</v>
      </c>
      <c r="I16" s="15">
        <f t="shared" si="2"/>
        <v>6.0000000000000001E-3</v>
      </c>
      <c r="J16" s="15">
        <f>ROUND(G16/6355-1,2)</f>
        <v>-0.51</v>
      </c>
    </row>
    <row r="17" spans="1:10" x14ac:dyDescent="0.25">
      <c r="A17" s="1" t="s">
        <v>16</v>
      </c>
      <c r="B17" s="1" t="s">
        <v>26</v>
      </c>
      <c r="C17" s="10">
        <v>39820</v>
      </c>
      <c r="D17" s="10"/>
      <c r="E17" s="10"/>
      <c r="F17" s="10">
        <v>120</v>
      </c>
      <c r="G17" s="10">
        <f t="shared" si="0"/>
        <v>39940</v>
      </c>
      <c r="H17" s="16">
        <f t="shared" si="1"/>
        <v>23.17</v>
      </c>
      <c r="I17" s="15">
        <f t="shared" si="2"/>
        <v>7.3999999999999996E-2</v>
      </c>
      <c r="J17" s="15">
        <f>ROUND(G17/46730-1,2)</f>
        <v>-0.15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846</v>
      </c>
      <c r="F18" s="10"/>
      <c r="G18" s="10">
        <f t="shared" si="0"/>
        <v>846</v>
      </c>
      <c r="H18" s="16">
        <f t="shared" si="1"/>
        <v>0.49</v>
      </c>
      <c r="I18" s="15">
        <f t="shared" si="2"/>
        <v>2E-3</v>
      </c>
      <c r="J18" s="15">
        <f>ROUND(G18/1011-1,2)</f>
        <v>-0.16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451</v>
      </c>
      <c r="F19" s="10"/>
      <c r="G19" s="10">
        <f t="shared" si="0"/>
        <v>451</v>
      </c>
      <c r="H19" s="16">
        <f t="shared" si="1"/>
        <v>0.26</v>
      </c>
      <c r="I19" s="15">
        <f t="shared" si="2"/>
        <v>1E-3</v>
      </c>
      <c r="J19" s="15">
        <f>ROUND(G19/574-1,2)</f>
        <v>-0.21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1782</v>
      </c>
      <c r="F20" s="10"/>
      <c r="G20" s="10">
        <f t="shared" si="0"/>
        <v>1782</v>
      </c>
      <c r="H20" s="16">
        <f t="shared" si="1"/>
        <v>1.03</v>
      </c>
      <c r="I20" s="15">
        <f t="shared" si="2"/>
        <v>3.0000000000000001E-3</v>
      </c>
      <c r="J20" s="15">
        <f>ROUND(G20/6222.78-1,2)</f>
        <v>-0.71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439</v>
      </c>
      <c r="F21" s="10"/>
      <c r="G21" s="10">
        <f t="shared" si="0"/>
        <v>439</v>
      </c>
      <c r="H21" s="16">
        <f t="shared" si="1"/>
        <v>0.25</v>
      </c>
      <c r="I21" s="15">
        <f t="shared" si="2"/>
        <v>1E-3</v>
      </c>
      <c r="J21" s="15">
        <f>ROUND(G21/625.3-1,2)</f>
        <v>-0.3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1883</v>
      </c>
      <c r="F22" s="10"/>
      <c r="G22" s="10">
        <f t="shared" si="0"/>
        <v>1883</v>
      </c>
      <c r="H22" s="16">
        <f t="shared" si="1"/>
        <v>1.0900000000000001</v>
      </c>
      <c r="I22" s="15">
        <f t="shared" si="2"/>
        <v>4.0000000000000001E-3</v>
      </c>
      <c r="J22" s="15">
        <f>ROUND(G22/1940-1,2)</f>
        <v>-0.03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215</v>
      </c>
      <c r="F23" s="10"/>
      <c r="G23" s="10">
        <f t="shared" si="0"/>
        <v>215</v>
      </c>
      <c r="H23" s="16">
        <f t="shared" si="1"/>
        <v>0.12</v>
      </c>
      <c r="I23" s="15">
        <f t="shared" si="2"/>
        <v>0</v>
      </c>
      <c r="J23" s="15">
        <f>ROUND(G23/531-1,2)</f>
        <v>-0.6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251</v>
      </c>
      <c r="F24" s="10"/>
      <c r="G24" s="10">
        <f t="shared" si="0"/>
        <v>251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2731</v>
      </c>
      <c r="F25" s="10"/>
      <c r="G25" s="10">
        <f t="shared" si="0"/>
        <v>2731</v>
      </c>
      <c r="H25" s="16">
        <f t="shared" si="1"/>
        <v>1.58</v>
      </c>
      <c r="I25" s="15">
        <f t="shared" si="2"/>
        <v>5.0000000000000001E-3</v>
      </c>
      <c r="J25" s="15">
        <f>ROUND(G25/8951.68-1,2)</f>
        <v>-0.69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2280</v>
      </c>
      <c r="F26" s="10"/>
      <c r="G26" s="10">
        <f t="shared" si="0"/>
        <v>2280</v>
      </c>
      <c r="H26" s="16">
        <f t="shared" si="1"/>
        <v>1.32</v>
      </c>
      <c r="I26" s="15">
        <f t="shared" si="2"/>
        <v>4.0000000000000001E-3</v>
      </c>
      <c r="J26" s="15">
        <f>ROUND(G26/16050-1,2)</f>
        <v>-0.86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53772</v>
      </c>
      <c r="F27" s="10"/>
      <c r="G27" s="10">
        <f t="shared" si="0"/>
        <v>53772</v>
      </c>
      <c r="H27" s="16">
        <f t="shared" si="1"/>
        <v>31.19</v>
      </c>
      <c r="I27" s="15">
        <f t="shared" si="2"/>
        <v>0.1</v>
      </c>
      <c r="J27" s="15">
        <f>ROUND(G27/65481.24-1,2)</f>
        <v>-0.18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19650</v>
      </c>
      <c r="F28" s="10"/>
      <c r="G28" s="10">
        <f t="shared" si="0"/>
        <v>19650</v>
      </c>
      <c r="H28" s="16">
        <f t="shared" si="1"/>
        <v>11.4</v>
      </c>
      <c r="I28" s="15">
        <f t="shared" si="2"/>
        <v>3.6999999999999998E-2</v>
      </c>
      <c r="J28" s="15">
        <f>ROUND(G28/28079.74-1,2)</f>
        <v>-0.3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9307</v>
      </c>
      <c r="F29" s="10"/>
      <c r="G29" s="10">
        <f t="shared" si="0"/>
        <v>9307</v>
      </c>
      <c r="H29" s="16">
        <f t="shared" si="1"/>
        <v>5.4</v>
      </c>
      <c r="I29" s="15">
        <f t="shared" si="2"/>
        <v>1.7000000000000001E-2</v>
      </c>
      <c r="J29" s="15">
        <f>ROUND(G29/61372.12-1,2)</f>
        <v>-0.85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ROUND(G30/211-1,2)</f>
        <v>-1</v>
      </c>
    </row>
    <row r="31" spans="1:10" x14ac:dyDescent="0.25">
      <c r="A31" s="1" t="s">
        <v>16</v>
      </c>
      <c r="B31" s="1" t="s">
        <v>120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ROUND(G32/4229.22-1,2)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ROUND(G33/301.33-1,2)</f>
        <v>-1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ROUND(G34/48-1,2)</f>
        <v>-1</v>
      </c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39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117010</v>
      </c>
      <c r="D37" s="10"/>
      <c r="E37" s="10"/>
      <c r="F37" s="10">
        <v>330</v>
      </c>
      <c r="G37" s="10">
        <f t="shared" si="0"/>
        <v>117340</v>
      </c>
      <c r="H37" s="16">
        <f t="shared" si="1"/>
        <v>68.06</v>
      </c>
      <c r="I37" s="15">
        <f t="shared" si="2"/>
        <v>0.219</v>
      </c>
      <c r="J37" s="15">
        <f>ROUND(G37/115820-1,2)</f>
        <v>0.01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29611</v>
      </c>
      <c r="F38" s="10"/>
      <c r="G38" s="10">
        <f t="shared" si="0"/>
        <v>29611</v>
      </c>
      <c r="H38" s="16">
        <f t="shared" si="1"/>
        <v>17.18</v>
      </c>
      <c r="I38" s="15">
        <f t="shared" si="2"/>
        <v>5.5E-2</v>
      </c>
      <c r="J38" s="15">
        <f>ROUND(G38/44371.66-1,2)</f>
        <v>-0.33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ROUND(G39/5320-1,2)</f>
        <v>-1</v>
      </c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ROUND(G40/5-1,2)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5" t="s">
        <v>12</v>
      </c>
      <c r="B43" s="25"/>
      <c r="C43" s="11">
        <f t="shared" ref="C43:H43" si="3">SUM(C8:C42)</f>
        <v>307510</v>
      </c>
      <c r="D43" s="11">
        <f t="shared" si="3"/>
        <v>0</v>
      </c>
      <c r="E43" s="11">
        <f t="shared" si="3"/>
        <v>228434</v>
      </c>
      <c r="F43" s="11">
        <f t="shared" si="3"/>
        <v>1010</v>
      </c>
      <c r="G43" s="11">
        <f t="shared" si="3"/>
        <v>536954</v>
      </c>
      <c r="H43" s="14">
        <f t="shared" si="3"/>
        <v>311.46000000000004</v>
      </c>
      <c r="I43" s="17"/>
      <c r="J43" s="17"/>
    </row>
    <row r="44" spans="1:10" x14ac:dyDescent="0.25">
      <c r="A44" s="25" t="s">
        <v>14</v>
      </c>
      <c r="B44" s="25"/>
      <c r="C44" s="12">
        <f>ROUND(C43/G43,2)</f>
        <v>0.56999999999999995</v>
      </c>
      <c r="D44" s="12">
        <f>ROUND(D43/G43,2)</f>
        <v>0</v>
      </c>
      <c r="E44" s="12">
        <f>ROUND(E43/G43,2)</f>
        <v>0.43</v>
      </c>
      <c r="F44" s="12">
        <f>ROUND(F43/G43,2)</f>
        <v>0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5" t="s">
        <v>53</v>
      </c>
      <c r="B49" s="25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0" t="s">
        <v>54</v>
      </c>
      <c r="B50" s="20"/>
      <c r="C50" s="10">
        <v>190500</v>
      </c>
      <c r="D50" s="10">
        <v>0</v>
      </c>
      <c r="E50" s="10">
        <v>198823</v>
      </c>
      <c r="F50" s="10">
        <v>680</v>
      </c>
      <c r="G50" s="10">
        <f>SUM(C50:F50)</f>
        <v>390003</v>
      </c>
      <c r="H50" s="16">
        <f>ROUND(G50/1724,2)</f>
        <v>226.22</v>
      </c>
      <c r="I50" s="9"/>
      <c r="J50" s="9"/>
    </row>
    <row r="51" spans="1:10" x14ac:dyDescent="0.25">
      <c r="A51" s="20" t="s">
        <v>55</v>
      </c>
      <c r="B51" s="20"/>
      <c r="C51" s="10">
        <v>117010</v>
      </c>
      <c r="D51" s="10">
        <v>0</v>
      </c>
      <c r="E51" s="10">
        <v>29611</v>
      </c>
      <c r="F51" s="10">
        <v>330</v>
      </c>
      <c r="G51" s="10">
        <f>SUM(C51:F51)</f>
        <v>146951</v>
      </c>
      <c r="H51" s="16">
        <f>ROUND(G51/1724,2)</f>
        <v>85.24</v>
      </c>
      <c r="I51" s="9"/>
      <c r="J51" s="9"/>
    </row>
    <row r="52" spans="1:10" x14ac:dyDescent="0.25">
      <c r="A52" s="20" t="s">
        <v>56</v>
      </c>
      <c r="B52" s="20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ROUND(G52/1724,2)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57</v>
      </c>
      <c r="B57" s="25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0" t="s">
        <v>58</v>
      </c>
      <c r="B58" s="20"/>
      <c r="C58" s="15">
        <f>ROUND(0.7398, 4)</f>
        <v>0.73980000000000001</v>
      </c>
      <c r="D58" s="15">
        <f>ROUND(0.7908, 4)</f>
        <v>0.79079999999999995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3" t="s">
        <v>64</v>
      </c>
      <c r="J58" s="23" t="s">
        <v>65</v>
      </c>
    </row>
    <row r="59" spans="1:10" x14ac:dyDescent="0.25">
      <c r="A59" s="20" t="s">
        <v>66</v>
      </c>
      <c r="B59" s="20"/>
      <c r="C59" s="15">
        <f>ROUND(0.7042, 4)</f>
        <v>0.70420000000000005</v>
      </c>
      <c r="D59" s="15">
        <f>ROUND(0.7615, 4)</f>
        <v>0.76149999999999995</v>
      </c>
      <c r="E59" s="15">
        <f>ROUND(0.7608, 4)</f>
        <v>0.76080000000000003</v>
      </c>
      <c r="F59" s="8"/>
      <c r="G59" s="14" t="s">
        <v>67</v>
      </c>
      <c r="H59" s="27"/>
      <c r="I59" s="24"/>
      <c r="J59" s="24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5" t="s">
        <v>68</v>
      </c>
      <c r="B63" s="25"/>
      <c r="C63" s="14" t="s">
        <v>2</v>
      </c>
      <c r="D63" s="14" t="s">
        <v>234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0" t="s">
        <v>73</v>
      </c>
      <c r="B64" s="20"/>
      <c r="C64" s="16">
        <v>68.06</v>
      </c>
      <c r="D64" s="16">
        <v>77.38</v>
      </c>
      <c r="E64" s="16">
        <v>91.13</v>
      </c>
      <c r="F64" s="16">
        <v>54.95</v>
      </c>
      <c r="G64" s="16">
        <f>12/10*C64</f>
        <v>81.671999999999997</v>
      </c>
      <c r="H64" s="8"/>
      <c r="I64" s="9"/>
      <c r="J64" s="9"/>
    </row>
    <row r="65" spans="1:10" x14ac:dyDescent="0.25">
      <c r="A65" s="20" t="s">
        <v>74</v>
      </c>
      <c r="B65" s="20"/>
      <c r="C65" s="16">
        <v>23.17</v>
      </c>
      <c r="D65" s="16">
        <v>50.3</v>
      </c>
      <c r="E65" s="16">
        <v>61.18</v>
      </c>
      <c r="F65" s="16">
        <v>62.89</v>
      </c>
      <c r="G65" s="16">
        <f>12/10*C65</f>
        <v>27.804000000000002</v>
      </c>
      <c r="H65" s="8"/>
      <c r="I65" s="9"/>
      <c r="J65" s="9"/>
    </row>
    <row r="66" spans="1:10" x14ac:dyDescent="0.25">
      <c r="A66" s="20" t="s">
        <v>75</v>
      </c>
      <c r="B66" s="20"/>
      <c r="C66" s="16">
        <v>226.22</v>
      </c>
      <c r="D66" s="16">
        <v>313.18</v>
      </c>
      <c r="E66" s="16">
        <v>287.25</v>
      </c>
      <c r="F66" s="16">
        <v>278.91000000000003</v>
      </c>
      <c r="G66" s="16">
        <f>12/10*C66</f>
        <v>271.464</v>
      </c>
      <c r="H66" s="8"/>
      <c r="I66" s="9"/>
      <c r="J66" s="9"/>
    </row>
    <row r="67" spans="1:10" x14ac:dyDescent="0.25">
      <c r="A67" s="20" t="s">
        <v>76</v>
      </c>
      <c r="B67" s="20"/>
      <c r="C67" s="16">
        <v>85.24</v>
      </c>
      <c r="D67" s="16">
        <v>102.79</v>
      </c>
      <c r="E67" s="16">
        <v>114.69</v>
      </c>
      <c r="F67" s="16">
        <v>78.319999999999993</v>
      </c>
      <c r="G67" s="16">
        <f>12/10*C67</f>
        <v>102.288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2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235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4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5067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40</v>
      </c>
      <c r="F9" s="10"/>
      <c r="G9" s="10">
        <f t="shared" ref="G9:G45" si="0">SUM(C9:F9)</f>
        <v>40</v>
      </c>
      <c r="H9" s="16">
        <f t="shared" ref="H9:H45" si="1">ROUND(G9/5067,2)</f>
        <v>0.01</v>
      </c>
      <c r="I9" s="15">
        <f t="shared" ref="I9:I45" si="2">ROUND(G9/$G$46,3)</f>
        <v>0</v>
      </c>
      <c r="J9" s="15">
        <f>ROUND(G9/65-1,2)</f>
        <v>-0.38</v>
      </c>
    </row>
    <row r="10" spans="1:10" x14ac:dyDescent="0.25">
      <c r="A10" s="1" t="s">
        <v>16</v>
      </c>
      <c r="B10" s="1" t="s">
        <v>19</v>
      </c>
      <c r="C10" s="10">
        <v>127120</v>
      </c>
      <c r="D10" s="10"/>
      <c r="E10" s="10"/>
      <c r="F10" s="10"/>
      <c r="G10" s="10">
        <f t="shared" si="0"/>
        <v>127120</v>
      </c>
      <c r="H10" s="16">
        <f t="shared" si="1"/>
        <v>25.09</v>
      </c>
      <c r="I10" s="15">
        <f t="shared" si="2"/>
        <v>7.9000000000000001E-2</v>
      </c>
      <c r="J10" s="15">
        <f>ROUND(G10/47660-1,2)</f>
        <v>1.67</v>
      </c>
    </row>
    <row r="11" spans="1:10" x14ac:dyDescent="0.25">
      <c r="A11" s="1" t="s">
        <v>16</v>
      </c>
      <c r="B11" s="1" t="s">
        <v>20</v>
      </c>
      <c r="C11" s="10">
        <v>151970</v>
      </c>
      <c r="D11" s="10"/>
      <c r="E11" s="10"/>
      <c r="F11" s="10"/>
      <c r="G11" s="10">
        <f t="shared" si="0"/>
        <v>151970</v>
      </c>
      <c r="H11" s="16">
        <f t="shared" si="1"/>
        <v>29.99</v>
      </c>
      <c r="I11" s="15">
        <f t="shared" si="2"/>
        <v>9.5000000000000001E-2</v>
      </c>
      <c r="J11" s="15">
        <f>ROUND(G11/167780-1,2)</f>
        <v>-0.09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87</v>
      </c>
      <c r="F12" s="10"/>
      <c r="G12" s="10">
        <f t="shared" si="0"/>
        <v>87</v>
      </c>
      <c r="H12" s="16">
        <f t="shared" si="1"/>
        <v>0.02</v>
      </c>
      <c r="I12" s="15">
        <f t="shared" si="2"/>
        <v>0</v>
      </c>
      <c r="J12" s="15">
        <f>ROUND(G12/90-1,2)</f>
        <v>-0.03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249</v>
      </c>
      <c r="F13" s="10"/>
      <c r="G13" s="10">
        <f t="shared" si="0"/>
        <v>249</v>
      </c>
      <c r="H13" s="16">
        <f t="shared" si="1"/>
        <v>0.05</v>
      </c>
      <c r="I13" s="15">
        <f t="shared" si="2"/>
        <v>0</v>
      </c>
      <c r="J13" s="15">
        <f>ROUND(G13/94-1,2)</f>
        <v>1.65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72900</v>
      </c>
      <c r="F14" s="10"/>
      <c r="G14" s="10">
        <f t="shared" si="0"/>
        <v>72900</v>
      </c>
      <c r="H14" s="16">
        <f t="shared" si="1"/>
        <v>14.39</v>
      </c>
      <c r="I14" s="15">
        <f t="shared" si="2"/>
        <v>4.5999999999999999E-2</v>
      </c>
      <c r="J14" s="15">
        <f>ROUND(G14/58900-1,2)</f>
        <v>0.24</v>
      </c>
    </row>
    <row r="15" spans="1:10" x14ac:dyDescent="0.25">
      <c r="A15" s="1" t="s">
        <v>16</v>
      </c>
      <c r="B15" s="1" t="s">
        <v>24</v>
      </c>
      <c r="C15" s="10">
        <v>178080</v>
      </c>
      <c r="D15" s="10"/>
      <c r="E15" s="10">
        <v>17890</v>
      </c>
      <c r="F15" s="10"/>
      <c r="G15" s="10">
        <f t="shared" si="0"/>
        <v>195970</v>
      </c>
      <c r="H15" s="16">
        <f t="shared" si="1"/>
        <v>38.68</v>
      </c>
      <c r="I15" s="15">
        <f t="shared" si="2"/>
        <v>0.122</v>
      </c>
      <c r="J15" s="15">
        <f>ROUND(G15/205270-1,2)</f>
        <v>-0.05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3965</v>
      </c>
      <c r="F16" s="10"/>
      <c r="G16" s="10">
        <f t="shared" si="0"/>
        <v>3965</v>
      </c>
      <c r="H16" s="16">
        <f t="shared" si="1"/>
        <v>0.78</v>
      </c>
      <c r="I16" s="15">
        <f t="shared" si="2"/>
        <v>2E-3</v>
      </c>
      <c r="J16" s="15">
        <f>ROUND(G16/2300-1,2)</f>
        <v>0.72</v>
      </c>
    </row>
    <row r="17" spans="1:10" x14ac:dyDescent="0.25">
      <c r="A17" s="1" t="s">
        <v>16</v>
      </c>
      <c r="B17" s="1" t="s">
        <v>26</v>
      </c>
      <c r="C17" s="10">
        <v>269930</v>
      </c>
      <c r="D17" s="10"/>
      <c r="E17" s="10"/>
      <c r="F17" s="10"/>
      <c r="G17" s="10">
        <f t="shared" si="0"/>
        <v>269930</v>
      </c>
      <c r="H17" s="16">
        <f t="shared" si="1"/>
        <v>53.27</v>
      </c>
      <c r="I17" s="15">
        <f t="shared" si="2"/>
        <v>0.16900000000000001</v>
      </c>
      <c r="J17" s="15">
        <f>ROUND(G17/110940-1,2)</f>
        <v>1.43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1273</v>
      </c>
      <c r="F18" s="10"/>
      <c r="G18" s="10">
        <f t="shared" si="0"/>
        <v>1273</v>
      </c>
      <c r="H18" s="16">
        <f t="shared" si="1"/>
        <v>0.25</v>
      </c>
      <c r="I18" s="15">
        <f t="shared" si="2"/>
        <v>1E-3</v>
      </c>
      <c r="J18" s="15">
        <f>ROUND(G18/620-1,2)</f>
        <v>1.05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1168</v>
      </c>
      <c r="F19" s="10"/>
      <c r="G19" s="10">
        <f t="shared" si="0"/>
        <v>1168</v>
      </c>
      <c r="H19" s="16">
        <f t="shared" si="1"/>
        <v>0.23</v>
      </c>
      <c r="I19" s="15">
        <f t="shared" si="2"/>
        <v>1E-3</v>
      </c>
      <c r="J19" s="15">
        <f>ROUND(G19/432-1,2)</f>
        <v>1.7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2580</v>
      </c>
      <c r="F20" s="10"/>
      <c r="G20" s="10">
        <f t="shared" si="0"/>
        <v>2580</v>
      </c>
      <c r="H20" s="16">
        <f t="shared" si="1"/>
        <v>0.51</v>
      </c>
      <c r="I20" s="15">
        <f t="shared" si="2"/>
        <v>2E-3</v>
      </c>
      <c r="J20" s="15">
        <f>ROUND(G20/1760-1,2)</f>
        <v>0.47</v>
      </c>
    </row>
    <row r="21" spans="1:10" x14ac:dyDescent="0.25">
      <c r="A21" s="1" t="s">
        <v>16</v>
      </c>
      <c r="B21" s="1" t="s">
        <v>32</v>
      </c>
      <c r="C21" s="10"/>
      <c r="D21" s="10"/>
      <c r="E21" s="10">
        <v>1485</v>
      </c>
      <c r="F21" s="10"/>
      <c r="G21" s="10">
        <f t="shared" si="0"/>
        <v>1485</v>
      </c>
      <c r="H21" s="16">
        <f t="shared" si="1"/>
        <v>0.28999999999999998</v>
      </c>
      <c r="I21" s="15">
        <f t="shared" si="2"/>
        <v>1E-3</v>
      </c>
      <c r="J21" s="15">
        <f>ROUND(G21/1820-1,2)</f>
        <v>-0.18</v>
      </c>
    </row>
    <row r="22" spans="1:10" x14ac:dyDescent="0.25">
      <c r="A22" s="1" t="s">
        <v>16</v>
      </c>
      <c r="B22" s="1" t="s">
        <v>33</v>
      </c>
      <c r="C22" s="10"/>
      <c r="D22" s="10">
        <v>514</v>
      </c>
      <c r="E22" s="10">
        <v>117</v>
      </c>
      <c r="F22" s="10"/>
      <c r="G22" s="10">
        <f t="shared" si="0"/>
        <v>631</v>
      </c>
      <c r="H22" s="16">
        <f t="shared" si="1"/>
        <v>0.12</v>
      </c>
      <c r="I22" s="15">
        <f t="shared" si="2"/>
        <v>0</v>
      </c>
      <c r="J22" s="15">
        <f>ROUND(G22/289-1,2)</f>
        <v>1.18</v>
      </c>
    </row>
    <row r="23" spans="1:10" x14ac:dyDescent="0.25">
      <c r="A23" s="1" t="s">
        <v>16</v>
      </c>
      <c r="B23" s="1" t="s">
        <v>35</v>
      </c>
      <c r="C23" s="10"/>
      <c r="D23" s="10">
        <v>170</v>
      </c>
      <c r="E23" s="10"/>
      <c r="F23" s="10"/>
      <c r="G23" s="10">
        <f t="shared" si="0"/>
        <v>170</v>
      </c>
      <c r="H23" s="16">
        <f t="shared" si="1"/>
        <v>0.03</v>
      </c>
      <c r="I23" s="15">
        <f t="shared" si="2"/>
        <v>0</v>
      </c>
      <c r="J23" s="15">
        <f>ROUND(G23/170-1,2)</f>
        <v>0</v>
      </c>
    </row>
    <row r="24" spans="1:10" x14ac:dyDescent="0.25">
      <c r="A24" s="1" t="s">
        <v>16</v>
      </c>
      <c r="B24" s="1" t="s">
        <v>37</v>
      </c>
      <c r="C24" s="10"/>
      <c r="D24" s="10"/>
      <c r="E24" s="10">
        <v>4070</v>
      </c>
      <c r="F24" s="10"/>
      <c r="G24" s="10">
        <f t="shared" si="0"/>
        <v>4070</v>
      </c>
      <c r="H24" s="16">
        <f t="shared" si="1"/>
        <v>0.8</v>
      </c>
      <c r="I24" s="15">
        <f t="shared" si="2"/>
        <v>3.0000000000000001E-3</v>
      </c>
      <c r="J24" s="15">
        <f>ROUND(G24/1776-1,2)</f>
        <v>1.29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2430</v>
      </c>
      <c r="F25" s="10"/>
      <c r="G25" s="10">
        <f t="shared" si="0"/>
        <v>2430</v>
      </c>
      <c r="H25" s="16">
        <f t="shared" si="1"/>
        <v>0.48</v>
      </c>
      <c r="I25" s="15">
        <f t="shared" si="2"/>
        <v>2E-3</v>
      </c>
      <c r="J25" s="15">
        <f>ROUND(G25/5540-1,2)</f>
        <v>-0.56000000000000005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71530</v>
      </c>
      <c r="F26" s="10"/>
      <c r="G26" s="10">
        <f t="shared" si="0"/>
        <v>71530</v>
      </c>
      <c r="H26" s="16">
        <f t="shared" si="1"/>
        <v>14.12</v>
      </c>
      <c r="I26" s="15">
        <f t="shared" si="2"/>
        <v>4.4999999999999998E-2</v>
      </c>
      <c r="J26" s="15">
        <f>ROUND(G26/46040-1,2)</f>
        <v>0.55000000000000004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21010</v>
      </c>
      <c r="F27" s="10"/>
      <c r="G27" s="10">
        <f t="shared" si="0"/>
        <v>21010</v>
      </c>
      <c r="H27" s="16">
        <f t="shared" si="1"/>
        <v>4.1500000000000004</v>
      </c>
      <c r="I27" s="15">
        <f t="shared" si="2"/>
        <v>1.2999999999999999E-2</v>
      </c>
      <c r="J27" s="15">
        <f>ROUND(G27/15650-1,2)</f>
        <v>0.34</v>
      </c>
    </row>
    <row r="28" spans="1:10" x14ac:dyDescent="0.25">
      <c r="A28" s="1" t="s">
        <v>16</v>
      </c>
      <c r="B28" s="1" t="s">
        <v>41</v>
      </c>
      <c r="C28" s="10">
        <v>4880</v>
      </c>
      <c r="D28" s="10">
        <v>16360</v>
      </c>
      <c r="E28" s="10">
        <v>352630</v>
      </c>
      <c r="F28" s="10">
        <v>5000</v>
      </c>
      <c r="G28" s="10">
        <f t="shared" si="0"/>
        <v>378870</v>
      </c>
      <c r="H28" s="16">
        <f t="shared" si="1"/>
        <v>74.77</v>
      </c>
      <c r="I28" s="15">
        <f t="shared" si="2"/>
        <v>0.23699999999999999</v>
      </c>
      <c r="J28" s="15">
        <f>ROUND(G28/198980-1,2)</f>
        <v>0.9</v>
      </c>
    </row>
    <row r="29" spans="1:10" x14ac:dyDescent="0.25">
      <c r="A29" s="1" t="s">
        <v>16</v>
      </c>
      <c r="B29" s="1" t="s">
        <v>90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ROUND(G29/3300-1,2)</f>
        <v>-1</v>
      </c>
    </row>
    <row r="30" spans="1:10" x14ac:dyDescent="0.25">
      <c r="A30" s="1" t="s">
        <v>16</v>
      </c>
      <c r="B30" s="1" t="s">
        <v>133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ROUND(G30/9320-1,2)</f>
        <v>-1</v>
      </c>
    </row>
    <row r="31" spans="1:10" x14ac:dyDescent="0.25">
      <c r="A31" s="1" t="s">
        <v>16</v>
      </c>
      <c r="B31" s="1" t="s">
        <v>98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ROUND(G31/221-1,2)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ROUND(G32/253-1,2)</f>
        <v>-1</v>
      </c>
    </row>
    <row r="33" spans="1:10" x14ac:dyDescent="0.25">
      <c r="A33" s="1" t="s">
        <v>16</v>
      </c>
      <c r="B33" s="1" t="s">
        <v>30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ROUND(G33/490-1,2)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ROUND(G34/300-1,2)</f>
        <v>-1</v>
      </c>
    </row>
    <row r="35" spans="1:10" x14ac:dyDescent="0.25">
      <c r="A35" s="1" t="s">
        <v>16</v>
      </c>
      <c r="B35" s="1" t="s">
        <v>34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ROUND(G35/270-1,2)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ROUND(G36/480-1,2)</f>
        <v>-1</v>
      </c>
    </row>
    <row r="37" spans="1:10" x14ac:dyDescent="0.25">
      <c r="A37" s="1" t="s">
        <v>16</v>
      </c>
      <c r="B37" s="1" t="s">
        <v>22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ROUND(G38/1640-1,2)</f>
        <v>-1</v>
      </c>
    </row>
    <row r="39" spans="1:10" x14ac:dyDescent="0.25">
      <c r="A39" s="1" t="s">
        <v>44</v>
      </c>
      <c r="B39" s="1" t="s">
        <v>45</v>
      </c>
      <c r="C39" s="10">
        <v>175880</v>
      </c>
      <c r="D39" s="10"/>
      <c r="E39" s="10"/>
      <c r="F39" s="10"/>
      <c r="G39" s="10">
        <f t="shared" si="0"/>
        <v>175880</v>
      </c>
      <c r="H39" s="16">
        <f t="shared" si="1"/>
        <v>34.71</v>
      </c>
      <c r="I39" s="15">
        <f t="shared" si="2"/>
        <v>0.11</v>
      </c>
      <c r="J39" s="15">
        <f>ROUND(G39/161670-1,2)</f>
        <v>0.09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>
        <v>55910</v>
      </c>
      <c r="G40" s="10">
        <f t="shared" si="0"/>
        <v>55910</v>
      </c>
      <c r="H40" s="16">
        <f t="shared" si="1"/>
        <v>11.03</v>
      </c>
      <c r="I40" s="15">
        <f t="shared" si="2"/>
        <v>3.5000000000000003E-2</v>
      </c>
      <c r="J40" s="15">
        <f>ROUND(G40/17940-1,2)</f>
        <v>2.12</v>
      </c>
    </row>
    <row r="41" spans="1:10" x14ac:dyDescent="0.25">
      <c r="A41" s="1" t="s">
        <v>44</v>
      </c>
      <c r="B41" s="1" t="s">
        <v>46</v>
      </c>
      <c r="C41" s="10"/>
      <c r="D41" s="10"/>
      <c r="E41" s="10">
        <v>61190</v>
      </c>
      <c r="F41" s="10"/>
      <c r="G41" s="10">
        <f t="shared" si="0"/>
        <v>61190</v>
      </c>
      <c r="H41" s="16">
        <f t="shared" si="1"/>
        <v>12.08</v>
      </c>
      <c r="I41" s="15">
        <f t="shared" si="2"/>
        <v>3.7999999999999999E-2</v>
      </c>
      <c r="J41" s="15">
        <f>ROUND(G41/20580-1,2)</f>
        <v>1.97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49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ROUND(G43/35-1,2)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ROUND(G45/329-1,2)</f>
        <v>-1</v>
      </c>
    </row>
    <row r="46" spans="1:10" x14ac:dyDescent="0.25">
      <c r="A46" s="25" t="s">
        <v>12</v>
      </c>
      <c r="B46" s="25"/>
      <c r="C46" s="11">
        <f t="shared" ref="C46:H46" si="3">SUM(C8:C45)</f>
        <v>907860</v>
      </c>
      <c r="D46" s="11">
        <f t="shared" si="3"/>
        <v>17044</v>
      </c>
      <c r="E46" s="11">
        <f t="shared" si="3"/>
        <v>614614</v>
      </c>
      <c r="F46" s="11">
        <f t="shared" si="3"/>
        <v>60910</v>
      </c>
      <c r="G46" s="11">
        <f t="shared" si="3"/>
        <v>1600428</v>
      </c>
      <c r="H46" s="14">
        <f t="shared" si="3"/>
        <v>315.84999999999997</v>
      </c>
      <c r="I46" s="17"/>
      <c r="J46" s="17"/>
    </row>
    <row r="47" spans="1:10" x14ac:dyDescent="0.25">
      <c r="A47" s="25" t="s">
        <v>14</v>
      </c>
      <c r="B47" s="25"/>
      <c r="C47" s="12">
        <f>ROUND(C46/G46,2)</f>
        <v>0.56999999999999995</v>
      </c>
      <c r="D47" s="12">
        <f>ROUND(D46/G46,2)</f>
        <v>0.01</v>
      </c>
      <c r="E47" s="12">
        <f>ROUND(E46/G46,2)</f>
        <v>0.38</v>
      </c>
      <c r="F47" s="12">
        <f>ROUND(F46/G46,2)</f>
        <v>0.04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53</v>
      </c>
      <c r="B52" s="25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0" t="s">
        <v>54</v>
      </c>
      <c r="B53" s="20"/>
      <c r="C53" s="10">
        <v>731980</v>
      </c>
      <c r="D53" s="10">
        <v>17044</v>
      </c>
      <c r="E53" s="10">
        <v>553424</v>
      </c>
      <c r="F53" s="10">
        <v>5000</v>
      </c>
      <c r="G53" s="10">
        <f>SUM(C53:F53)</f>
        <v>1307448</v>
      </c>
      <c r="H53" s="16">
        <f>ROUND(G53/5067,2)</f>
        <v>258.02999999999997</v>
      </c>
      <c r="I53" s="9"/>
      <c r="J53" s="9"/>
    </row>
    <row r="54" spans="1:10" x14ac:dyDescent="0.25">
      <c r="A54" s="20" t="s">
        <v>55</v>
      </c>
      <c r="B54" s="20"/>
      <c r="C54" s="10">
        <v>175880</v>
      </c>
      <c r="D54" s="10">
        <v>0</v>
      </c>
      <c r="E54" s="10">
        <v>61190</v>
      </c>
      <c r="F54" s="10">
        <v>55910</v>
      </c>
      <c r="G54" s="10">
        <f>SUM(C54:F54)</f>
        <v>292980</v>
      </c>
      <c r="H54" s="16">
        <f>ROUND(G54/5067,2)</f>
        <v>57.82</v>
      </c>
      <c r="I54" s="9"/>
      <c r="J54" s="9"/>
    </row>
    <row r="55" spans="1:10" x14ac:dyDescent="0.25">
      <c r="A55" s="20" t="s">
        <v>56</v>
      </c>
      <c r="B55" s="20"/>
      <c r="C55" s="10">
        <v>0</v>
      </c>
      <c r="D55" s="10">
        <v>0</v>
      </c>
      <c r="E55" s="10">
        <v>0</v>
      </c>
      <c r="F55" s="10">
        <v>0</v>
      </c>
      <c r="G55" s="10">
        <f>SUM(C55:F55)</f>
        <v>0</v>
      </c>
      <c r="H55" s="16">
        <f>ROUND(G55/5067,2)</f>
        <v>0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57</v>
      </c>
      <c r="B60" s="25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0" t="s">
        <v>58</v>
      </c>
      <c r="B61" s="20"/>
      <c r="C61" s="15">
        <f>ROUND(0.8778, 4)</f>
        <v>0.87780000000000002</v>
      </c>
      <c r="D61" s="15">
        <f>ROUND(0.84, 4)</f>
        <v>0.84</v>
      </c>
      <c r="E61" s="15">
        <f>ROUND(0.777, 4)</f>
        <v>0.77700000000000002</v>
      </c>
      <c r="F61" s="8"/>
      <c r="G61" s="14" t="s">
        <v>62</v>
      </c>
      <c r="H61" s="26" t="s">
        <v>63</v>
      </c>
      <c r="I61" s="23" t="s">
        <v>64</v>
      </c>
      <c r="J61" s="23" t="s">
        <v>65</v>
      </c>
    </row>
    <row r="62" spans="1:10" x14ac:dyDescent="0.25">
      <c r="A62" s="20" t="s">
        <v>66</v>
      </c>
      <c r="B62" s="20"/>
      <c r="C62" s="15">
        <f>ROUND(0.8671, 4)</f>
        <v>0.86709999999999998</v>
      </c>
      <c r="D62" s="15">
        <f>ROUND(0.8097, 4)</f>
        <v>0.80969999999999998</v>
      </c>
      <c r="E62" s="15">
        <f>ROUND(0.7608, 4)</f>
        <v>0.76080000000000003</v>
      </c>
      <c r="F62" s="8"/>
      <c r="G62" s="14" t="s">
        <v>67</v>
      </c>
      <c r="H62" s="27"/>
      <c r="I62" s="24"/>
      <c r="J62" s="24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5" t="s">
        <v>68</v>
      </c>
      <c r="B66" s="25"/>
      <c r="C66" s="14" t="s">
        <v>2</v>
      </c>
      <c r="D66" s="14" t="s">
        <v>237</v>
      </c>
      <c r="E66" s="14" t="s">
        <v>70</v>
      </c>
      <c r="F66" s="14" t="s">
        <v>71</v>
      </c>
      <c r="G66" s="14" t="s">
        <v>72</v>
      </c>
      <c r="H66" s="13"/>
      <c r="I66" s="17"/>
      <c r="J66" s="17"/>
    </row>
    <row r="67" spans="1:10" x14ac:dyDescent="0.25">
      <c r="A67" s="20" t="s">
        <v>73</v>
      </c>
      <c r="B67" s="20"/>
      <c r="C67" s="16">
        <v>34.71</v>
      </c>
      <c r="D67" s="16">
        <v>54.79</v>
      </c>
      <c r="E67" s="16">
        <v>91.13</v>
      </c>
      <c r="F67" s="16">
        <v>54.95</v>
      </c>
      <c r="G67" s="16">
        <f>12/10*C67</f>
        <v>41.652000000000001</v>
      </c>
      <c r="H67" s="8"/>
      <c r="I67" s="9"/>
      <c r="J67" s="9"/>
    </row>
    <row r="68" spans="1:10" x14ac:dyDescent="0.25">
      <c r="A68" s="20" t="s">
        <v>74</v>
      </c>
      <c r="B68" s="20"/>
      <c r="C68" s="16">
        <v>53.27</v>
      </c>
      <c r="D68" s="16">
        <v>74.349999999999994</v>
      </c>
      <c r="E68" s="16">
        <v>61.18</v>
      </c>
      <c r="F68" s="16">
        <v>62.89</v>
      </c>
      <c r="G68" s="16">
        <f>12/10*C68</f>
        <v>63.923999999999999</v>
      </c>
      <c r="H68" s="8"/>
      <c r="I68" s="9"/>
      <c r="J68" s="9"/>
    </row>
    <row r="69" spans="1:10" x14ac:dyDescent="0.25">
      <c r="A69" s="20" t="s">
        <v>75</v>
      </c>
      <c r="B69" s="20"/>
      <c r="C69" s="16">
        <v>258.02999999999997</v>
      </c>
      <c r="D69" s="16">
        <v>343.16</v>
      </c>
      <c r="E69" s="16">
        <v>287.25</v>
      </c>
      <c r="F69" s="16">
        <v>278.91000000000003</v>
      </c>
      <c r="G69" s="16">
        <f>12/10*C69</f>
        <v>309.63599999999997</v>
      </c>
      <c r="H69" s="8"/>
      <c r="I69" s="9"/>
      <c r="J69" s="9"/>
    </row>
    <row r="70" spans="1:10" x14ac:dyDescent="0.25">
      <c r="A70" s="20" t="s">
        <v>76</v>
      </c>
      <c r="B70" s="20"/>
      <c r="C70" s="16">
        <v>57.82</v>
      </c>
      <c r="D70" s="16">
        <v>74.290000000000006</v>
      </c>
      <c r="E70" s="16">
        <v>114.69</v>
      </c>
      <c r="F70" s="16">
        <v>78.319999999999993</v>
      </c>
      <c r="G70" s="16">
        <f>12/10*C70</f>
        <v>69.384</v>
      </c>
      <c r="H70" s="8"/>
      <c r="I70" s="9"/>
      <c r="J70" s="9"/>
    </row>
    <row r="73" spans="1:10" x14ac:dyDescent="0.25">
      <c r="A73" s="21" t="s">
        <v>60</v>
      </c>
      <c r="B73" s="22"/>
    </row>
    <row r="74" spans="1:10" x14ac:dyDescent="0.25">
      <c r="A74" s="3" t="s">
        <v>77</v>
      </c>
      <c r="B74" s="1" t="s">
        <v>238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C7:G7"/>
    <mergeCell ref="A46:B46"/>
    <mergeCell ref="A47:B47"/>
    <mergeCell ref="A52:B52"/>
    <mergeCell ref="A53:B53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A68:B68"/>
    <mergeCell ref="A69:B69"/>
    <mergeCell ref="A70:B70"/>
    <mergeCell ref="A73:B73"/>
    <mergeCell ref="I61:I6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1952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40</v>
      </c>
      <c r="F9" s="10"/>
      <c r="G9" s="10">
        <f t="shared" ref="G9:G38" si="0">SUM(C9:F9)</f>
        <v>40</v>
      </c>
      <c r="H9" s="16">
        <f t="shared" ref="H9:H38" si="1">ROUND(G9/1952,2)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55120</v>
      </c>
      <c r="D10" s="10"/>
      <c r="E10" s="10">
        <v>7151</v>
      </c>
      <c r="F10" s="10">
        <v>280</v>
      </c>
      <c r="G10" s="10">
        <f t="shared" si="0"/>
        <v>62551</v>
      </c>
      <c r="H10" s="16">
        <f t="shared" si="1"/>
        <v>32.04</v>
      </c>
      <c r="I10" s="15">
        <f t="shared" si="2"/>
        <v>8.4000000000000005E-2</v>
      </c>
      <c r="J10" s="15">
        <f>ROUND(G10/49981.14-1,2)</f>
        <v>0.25</v>
      </c>
    </row>
    <row r="11" spans="1:10" x14ac:dyDescent="0.25">
      <c r="A11" s="1" t="s">
        <v>16</v>
      </c>
      <c r="B11" s="1" t="s">
        <v>20</v>
      </c>
      <c r="C11" s="10">
        <v>71180</v>
      </c>
      <c r="D11" s="10"/>
      <c r="E11" s="10"/>
      <c r="F11" s="10"/>
      <c r="G11" s="10">
        <f t="shared" si="0"/>
        <v>71180</v>
      </c>
      <c r="H11" s="16">
        <f t="shared" si="1"/>
        <v>36.47</v>
      </c>
      <c r="I11" s="15">
        <f t="shared" si="2"/>
        <v>9.6000000000000002E-2</v>
      </c>
      <c r="J11" s="15">
        <f>ROUND(G11/74540-1,2)</f>
        <v>-0.05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187</v>
      </c>
      <c r="F12" s="10"/>
      <c r="G12" s="10">
        <f t="shared" si="0"/>
        <v>187</v>
      </c>
      <c r="H12" s="16">
        <f t="shared" si="1"/>
        <v>0.1</v>
      </c>
      <c r="I12" s="15">
        <f t="shared" si="2"/>
        <v>0</v>
      </c>
      <c r="J12" s="15">
        <f>ROUND(G12/88.98-1,2)</f>
        <v>1.1000000000000001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1398</v>
      </c>
      <c r="F13" s="10"/>
      <c r="G13" s="10">
        <f t="shared" si="0"/>
        <v>1398</v>
      </c>
      <c r="H13" s="16">
        <f t="shared" si="1"/>
        <v>0.72</v>
      </c>
      <c r="I13" s="15">
        <f t="shared" si="2"/>
        <v>2E-3</v>
      </c>
      <c r="J13" s="15">
        <f>ROUND(G13/428.57-1,2)</f>
        <v>2.2599999999999998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67434</v>
      </c>
      <c r="F14" s="10"/>
      <c r="G14" s="10">
        <f t="shared" si="0"/>
        <v>67434</v>
      </c>
      <c r="H14" s="16">
        <f t="shared" si="1"/>
        <v>34.549999999999997</v>
      </c>
      <c r="I14" s="15">
        <f t="shared" si="2"/>
        <v>9.0999999999999998E-2</v>
      </c>
      <c r="J14" s="15">
        <f>ROUND(G14/31938.21-1,2)</f>
        <v>1.1100000000000001</v>
      </c>
    </row>
    <row r="15" spans="1:10" x14ac:dyDescent="0.25">
      <c r="A15" s="1" t="s">
        <v>16</v>
      </c>
      <c r="B15" s="1" t="s">
        <v>24</v>
      </c>
      <c r="C15" s="10">
        <v>68360</v>
      </c>
      <c r="D15" s="10"/>
      <c r="E15" s="10">
        <v>25215</v>
      </c>
      <c r="F15" s="10">
        <v>320</v>
      </c>
      <c r="G15" s="10">
        <f t="shared" si="0"/>
        <v>93895</v>
      </c>
      <c r="H15" s="16">
        <f t="shared" si="1"/>
        <v>48.1</v>
      </c>
      <c r="I15" s="15">
        <f t="shared" si="2"/>
        <v>0.126</v>
      </c>
      <c r="J15" s="15">
        <f>ROUND(G15/65792.13-1,2)</f>
        <v>0.43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6240</v>
      </c>
      <c r="F16" s="10"/>
      <c r="G16" s="10">
        <f t="shared" si="0"/>
        <v>6240</v>
      </c>
      <c r="H16" s="16">
        <f t="shared" si="1"/>
        <v>3.2</v>
      </c>
      <c r="I16" s="15">
        <f t="shared" si="2"/>
        <v>8.0000000000000002E-3</v>
      </c>
      <c r="J16" s="15"/>
    </row>
    <row r="17" spans="1:10" x14ac:dyDescent="0.25">
      <c r="A17" s="1" t="s">
        <v>16</v>
      </c>
      <c r="B17" s="1" t="s">
        <v>26</v>
      </c>
      <c r="C17" s="10">
        <v>65730</v>
      </c>
      <c r="D17" s="10"/>
      <c r="E17" s="10"/>
      <c r="F17" s="10">
        <v>280</v>
      </c>
      <c r="G17" s="10">
        <f t="shared" si="0"/>
        <v>66010</v>
      </c>
      <c r="H17" s="16">
        <f t="shared" si="1"/>
        <v>33.82</v>
      </c>
      <c r="I17" s="15">
        <f t="shared" si="2"/>
        <v>8.8999999999999996E-2</v>
      </c>
      <c r="J17" s="15">
        <f>ROUND(G17/60060-1,2)</f>
        <v>0.1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777</v>
      </c>
      <c r="F18" s="10"/>
      <c r="G18" s="10">
        <f t="shared" si="0"/>
        <v>777</v>
      </c>
      <c r="H18" s="16">
        <f t="shared" si="1"/>
        <v>0.4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400</v>
      </c>
      <c r="F19" s="10"/>
      <c r="G19" s="10">
        <f t="shared" si="0"/>
        <v>400</v>
      </c>
      <c r="H19" s="16">
        <f t="shared" si="1"/>
        <v>0.2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106</v>
      </c>
      <c r="F20" s="10"/>
      <c r="G20" s="10">
        <f t="shared" si="0"/>
        <v>106</v>
      </c>
      <c r="H20" s="16">
        <f t="shared" si="1"/>
        <v>0.05</v>
      </c>
      <c r="I20" s="15">
        <f t="shared" si="2"/>
        <v>0</v>
      </c>
      <c r="J20" s="15">
        <f>ROUND(G20/56.37-1,2)</f>
        <v>0.88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1263</v>
      </c>
      <c r="F21" s="10"/>
      <c r="G21" s="10">
        <f t="shared" si="0"/>
        <v>1263</v>
      </c>
      <c r="H21" s="16">
        <f t="shared" si="1"/>
        <v>0.65</v>
      </c>
      <c r="I21" s="15">
        <f t="shared" si="2"/>
        <v>2E-3</v>
      </c>
      <c r="J21" s="15">
        <f>ROUND(G21/1710.66-1,2)</f>
        <v>-0.26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442</v>
      </c>
      <c r="F22" s="10"/>
      <c r="G22" s="10">
        <f t="shared" si="0"/>
        <v>442</v>
      </c>
      <c r="H22" s="16">
        <f t="shared" si="1"/>
        <v>0.23</v>
      </c>
      <c r="I22" s="15">
        <f t="shared" si="2"/>
        <v>1E-3</v>
      </c>
      <c r="J22" s="15">
        <f>ROUND(G22/191.14-1,2)</f>
        <v>1.31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113</v>
      </c>
      <c r="F23" s="10"/>
      <c r="G23" s="10">
        <f t="shared" si="0"/>
        <v>113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1664</v>
      </c>
      <c r="F24" s="10"/>
      <c r="G24" s="10">
        <f t="shared" si="0"/>
        <v>1664</v>
      </c>
      <c r="H24" s="16">
        <f t="shared" si="1"/>
        <v>0.85</v>
      </c>
      <c r="I24" s="15">
        <f t="shared" si="2"/>
        <v>2E-3</v>
      </c>
      <c r="J24" s="15">
        <f>ROUND(G24/650.75-1,2)</f>
        <v>1.56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145</v>
      </c>
      <c r="F25" s="10"/>
      <c r="G25" s="10">
        <f t="shared" si="0"/>
        <v>145</v>
      </c>
      <c r="H25" s="16">
        <f t="shared" si="1"/>
        <v>7.0000000000000007E-2</v>
      </c>
      <c r="I25" s="15">
        <f t="shared" si="2"/>
        <v>0</v>
      </c>
      <c r="J25" s="15">
        <f>ROUND(G25/60-1,2)</f>
        <v>1.42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316</v>
      </c>
      <c r="F26" s="10"/>
      <c r="G26" s="10">
        <f t="shared" si="0"/>
        <v>316</v>
      </c>
      <c r="H26" s="16">
        <f t="shared" si="1"/>
        <v>0.16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34</v>
      </c>
      <c r="C27" s="10"/>
      <c r="D27" s="10"/>
      <c r="E27" s="10">
        <v>212</v>
      </c>
      <c r="F27" s="10"/>
      <c r="G27" s="10">
        <f t="shared" si="0"/>
        <v>212</v>
      </c>
      <c r="H27" s="16">
        <f t="shared" si="1"/>
        <v>0.11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3922</v>
      </c>
      <c r="F28" s="10"/>
      <c r="G28" s="10">
        <f t="shared" si="0"/>
        <v>3922</v>
      </c>
      <c r="H28" s="16">
        <f t="shared" si="1"/>
        <v>2.0099999999999998</v>
      </c>
      <c r="I28" s="15">
        <f t="shared" si="2"/>
        <v>5.0000000000000001E-3</v>
      </c>
      <c r="J28" s="15">
        <f>ROUND(G28/2076.33-1,2)</f>
        <v>0.89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2200</v>
      </c>
      <c r="F29" s="10"/>
      <c r="G29" s="10">
        <f t="shared" si="0"/>
        <v>2200</v>
      </c>
      <c r="H29" s="16">
        <f t="shared" si="1"/>
        <v>1.1299999999999999</v>
      </c>
      <c r="I29" s="15">
        <f t="shared" si="2"/>
        <v>3.0000000000000001E-3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63365</v>
      </c>
      <c r="F30" s="10"/>
      <c r="G30" s="10">
        <f t="shared" si="0"/>
        <v>63365</v>
      </c>
      <c r="H30" s="16">
        <f t="shared" si="1"/>
        <v>32.46</v>
      </c>
      <c r="I30" s="15">
        <f t="shared" si="2"/>
        <v>8.5000000000000006E-2</v>
      </c>
      <c r="J30" s="15">
        <f>ROUND(G30/34948.57-1,2)</f>
        <v>0.81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5293</v>
      </c>
      <c r="F31" s="10"/>
      <c r="G31" s="10">
        <f t="shared" si="0"/>
        <v>5293</v>
      </c>
      <c r="H31" s="16">
        <f t="shared" si="1"/>
        <v>2.71</v>
      </c>
      <c r="I31" s="15">
        <f t="shared" si="2"/>
        <v>7.0000000000000001E-3</v>
      </c>
      <c r="J31" s="15">
        <f>ROUND(G31/2134.84-1,2)</f>
        <v>1.48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16647</v>
      </c>
      <c r="F32" s="10"/>
      <c r="G32" s="10">
        <f t="shared" si="0"/>
        <v>16647</v>
      </c>
      <c r="H32" s="16">
        <f t="shared" si="1"/>
        <v>8.5299999999999994</v>
      </c>
      <c r="I32" s="15">
        <f t="shared" si="2"/>
        <v>2.1999999999999999E-2</v>
      </c>
      <c r="J32" s="15">
        <f>ROUND(G32/8106.69-1,2)</f>
        <v>1.05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19806</v>
      </c>
      <c r="F33" s="10"/>
      <c r="G33" s="10">
        <f t="shared" si="0"/>
        <v>19806</v>
      </c>
      <c r="H33" s="16">
        <f t="shared" si="1"/>
        <v>10.15</v>
      </c>
      <c r="I33" s="15">
        <f t="shared" si="2"/>
        <v>2.7E-2</v>
      </c>
      <c r="J33" s="15">
        <f>ROUND(G33/8801.51-1,2)</f>
        <v>1.25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ROUND(G34/1155.15-1,2)</f>
        <v>-1</v>
      </c>
    </row>
    <row r="35" spans="1:10" x14ac:dyDescent="0.25">
      <c r="A35" s="1" t="s">
        <v>44</v>
      </c>
      <c r="B35" s="1" t="s">
        <v>45</v>
      </c>
      <c r="C35" s="10">
        <v>222870</v>
      </c>
      <c r="D35" s="10"/>
      <c r="E35" s="10"/>
      <c r="F35" s="10">
        <v>490</v>
      </c>
      <c r="G35" s="10">
        <f t="shared" si="0"/>
        <v>223360</v>
      </c>
      <c r="H35" s="16">
        <f t="shared" si="1"/>
        <v>114.43</v>
      </c>
      <c r="I35" s="15">
        <f t="shared" si="2"/>
        <v>0.3</v>
      </c>
      <c r="J35" s="15">
        <f>ROUND(G35/215550-1,2)</f>
        <v>0.04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34752</v>
      </c>
      <c r="F36" s="10"/>
      <c r="G36" s="10">
        <f t="shared" si="0"/>
        <v>34752</v>
      </c>
      <c r="H36" s="16">
        <f t="shared" si="1"/>
        <v>17.8</v>
      </c>
      <c r="I36" s="15">
        <f t="shared" si="2"/>
        <v>4.7E-2</v>
      </c>
      <c r="J36" s="15">
        <f>ROUND(G36/15493.21-1,2)</f>
        <v>1.24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5" t="s">
        <v>12</v>
      </c>
      <c r="B39" s="25"/>
      <c r="C39" s="11">
        <f t="shared" ref="C39:H39" si="3">SUM(C8:C38)</f>
        <v>483260</v>
      </c>
      <c r="D39" s="11">
        <f t="shared" si="3"/>
        <v>0</v>
      </c>
      <c r="E39" s="11">
        <f t="shared" si="3"/>
        <v>259088</v>
      </c>
      <c r="F39" s="11">
        <f t="shared" si="3"/>
        <v>1370</v>
      </c>
      <c r="G39" s="11">
        <f t="shared" si="3"/>
        <v>743718</v>
      </c>
      <c r="H39" s="14">
        <f t="shared" si="3"/>
        <v>381.02000000000004</v>
      </c>
      <c r="I39" s="17"/>
      <c r="J39" s="17"/>
    </row>
    <row r="40" spans="1:10" x14ac:dyDescent="0.25">
      <c r="A40" s="25" t="s">
        <v>14</v>
      </c>
      <c r="B40" s="25"/>
      <c r="C40" s="12">
        <f>ROUND(C39/G39,2)</f>
        <v>0.65</v>
      </c>
      <c r="D40" s="12">
        <f>ROUND(D39/G39,2)</f>
        <v>0</v>
      </c>
      <c r="E40" s="12">
        <f>ROUND(E39/G39,2)</f>
        <v>0.35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5" t="s">
        <v>53</v>
      </c>
      <c r="B45" s="25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0" t="s">
        <v>54</v>
      </c>
      <c r="B46" s="20"/>
      <c r="C46" s="10">
        <v>260390</v>
      </c>
      <c r="D46" s="10">
        <v>0</v>
      </c>
      <c r="E46" s="10">
        <v>224336</v>
      </c>
      <c r="F46" s="10">
        <v>880</v>
      </c>
      <c r="G46" s="10">
        <f>SUM(C46:F46)</f>
        <v>485606</v>
      </c>
      <c r="H46" s="16">
        <f>ROUND(G46/1952,2)</f>
        <v>248.77</v>
      </c>
      <c r="I46" s="9"/>
      <c r="J46" s="9"/>
    </row>
    <row r="47" spans="1:10" x14ac:dyDescent="0.25">
      <c r="A47" s="20" t="s">
        <v>55</v>
      </c>
      <c r="B47" s="20"/>
      <c r="C47" s="10">
        <v>222870</v>
      </c>
      <c r="D47" s="10">
        <v>0</v>
      </c>
      <c r="E47" s="10">
        <v>34752</v>
      </c>
      <c r="F47" s="10">
        <v>490</v>
      </c>
      <c r="G47" s="10">
        <f>SUM(C47:F47)</f>
        <v>258112</v>
      </c>
      <c r="H47" s="16">
        <f>ROUND(G47/1952,2)</f>
        <v>132.22999999999999</v>
      </c>
      <c r="I47" s="9"/>
      <c r="J47" s="9"/>
    </row>
    <row r="48" spans="1:10" x14ac:dyDescent="0.25">
      <c r="A48" s="20" t="s">
        <v>56</v>
      </c>
      <c r="B48" s="20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ROUND(G48/1952,2)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57</v>
      </c>
      <c r="B53" s="25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0" t="s">
        <v>58</v>
      </c>
      <c r="B54" s="20"/>
      <c r="C54" s="15">
        <f>ROUND(0.6674, 4)</f>
        <v>0.66739999999999999</v>
      </c>
      <c r="D54" s="15">
        <f>ROUND(0.576, 4)</f>
        <v>0.57599999999999996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3" t="s">
        <v>64</v>
      </c>
      <c r="J54" s="23" t="s">
        <v>65</v>
      </c>
    </row>
    <row r="55" spans="1:10" x14ac:dyDescent="0.25">
      <c r="A55" s="20" t="s">
        <v>66</v>
      </c>
      <c r="B55" s="20"/>
      <c r="C55" s="15">
        <f>ROUND(0.6329, 4)</f>
        <v>0.63290000000000002</v>
      </c>
      <c r="D55" s="15">
        <f>ROUND(0.5403, 4)</f>
        <v>0.5403</v>
      </c>
      <c r="E55" s="15">
        <f>ROUND(0.7608, 4)</f>
        <v>0.76080000000000003</v>
      </c>
      <c r="F55" s="8"/>
      <c r="G55" s="14" t="s">
        <v>67</v>
      </c>
      <c r="H55" s="27"/>
      <c r="I55" s="24"/>
      <c r="J55" s="24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68</v>
      </c>
      <c r="B59" s="25"/>
      <c r="C59" s="14" t="s">
        <v>2</v>
      </c>
      <c r="D59" s="14" t="s">
        <v>240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0" t="s">
        <v>73</v>
      </c>
      <c r="B60" s="20"/>
      <c r="C60" s="16">
        <v>114.43</v>
      </c>
      <c r="D60" s="16">
        <v>127.83</v>
      </c>
      <c r="E60" s="16">
        <v>91.13</v>
      </c>
      <c r="F60" s="16">
        <v>54.95</v>
      </c>
      <c r="G60" s="16">
        <f>12/10*C60</f>
        <v>137.316</v>
      </c>
      <c r="H60" s="8"/>
      <c r="I60" s="9"/>
      <c r="J60" s="9"/>
    </row>
    <row r="61" spans="1:10" x14ac:dyDescent="0.25">
      <c r="A61" s="20" t="s">
        <v>74</v>
      </c>
      <c r="B61" s="20"/>
      <c r="C61" s="16">
        <v>33.82</v>
      </c>
      <c r="D61" s="16">
        <v>46.42</v>
      </c>
      <c r="E61" s="16">
        <v>61.18</v>
      </c>
      <c r="F61" s="16">
        <v>62.89</v>
      </c>
      <c r="G61" s="16">
        <f>12/10*C61</f>
        <v>40.583999999999996</v>
      </c>
      <c r="H61" s="8"/>
      <c r="I61" s="9"/>
      <c r="J61" s="9"/>
    </row>
    <row r="62" spans="1:10" x14ac:dyDescent="0.25">
      <c r="A62" s="20" t="s">
        <v>75</v>
      </c>
      <c r="B62" s="20"/>
      <c r="C62" s="16">
        <v>248.77</v>
      </c>
      <c r="D62" s="16">
        <v>261.81</v>
      </c>
      <c r="E62" s="16">
        <v>287.25</v>
      </c>
      <c r="F62" s="16">
        <v>278.91000000000003</v>
      </c>
      <c r="G62" s="16">
        <f>12/10*C62</f>
        <v>298.524</v>
      </c>
      <c r="H62" s="8"/>
      <c r="I62" s="9"/>
      <c r="J62" s="9"/>
    </row>
    <row r="63" spans="1:10" x14ac:dyDescent="0.25">
      <c r="A63" s="20" t="s">
        <v>76</v>
      </c>
      <c r="B63" s="20"/>
      <c r="C63" s="16">
        <v>132.22999999999999</v>
      </c>
      <c r="D63" s="16">
        <v>145.19999999999999</v>
      </c>
      <c r="E63" s="16">
        <v>114.69</v>
      </c>
      <c r="F63" s="16">
        <v>78.319999999999993</v>
      </c>
      <c r="G63" s="16">
        <f>12/10*C63</f>
        <v>158.67599999999999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2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241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0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9241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96</v>
      </c>
      <c r="G9" s="10">
        <f t="shared" ref="G9:G47" si="0">SUM(C9:F9)</f>
        <v>96</v>
      </c>
      <c r="H9" s="16">
        <f t="shared" ref="H9:H47" si="1">ROUND(G9/9241,2)</f>
        <v>0.01</v>
      </c>
      <c r="I9" s="15">
        <f t="shared" ref="I9:I47" si="2">ROUND(G9/$G$48,3)</f>
        <v>0</v>
      </c>
      <c r="J9" s="15">
        <f>ROUND(G9/10-1,2)</f>
        <v>8.6</v>
      </c>
    </row>
    <row r="10" spans="1:10" x14ac:dyDescent="0.25">
      <c r="A10" s="1" t="s">
        <v>48</v>
      </c>
      <c r="B10" s="1" t="s">
        <v>86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50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ROUND(G11/262-1,2)</f>
        <v>-1</v>
      </c>
    </row>
    <row r="12" spans="1:10" x14ac:dyDescent="0.25">
      <c r="A12" s="1" t="s">
        <v>48</v>
      </c>
      <c r="B12" s="1" t="s">
        <v>51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173</v>
      </c>
      <c r="F13" s="10"/>
      <c r="G13" s="10">
        <f t="shared" si="0"/>
        <v>173</v>
      </c>
      <c r="H13" s="16">
        <f t="shared" si="1"/>
        <v>0.02</v>
      </c>
      <c r="I13" s="15">
        <f t="shared" si="2"/>
        <v>0</v>
      </c>
      <c r="J13" s="15">
        <f>ROUND(G13/149-1,2)</f>
        <v>0.16</v>
      </c>
    </row>
    <row r="14" spans="1:10" x14ac:dyDescent="0.25">
      <c r="A14" s="1" t="s">
        <v>16</v>
      </c>
      <c r="B14" s="1" t="s">
        <v>19</v>
      </c>
      <c r="C14" s="10">
        <v>226935</v>
      </c>
      <c r="D14" s="10"/>
      <c r="E14" s="10">
        <v>14565</v>
      </c>
      <c r="F14" s="10"/>
      <c r="G14" s="10">
        <f t="shared" si="0"/>
        <v>241500</v>
      </c>
      <c r="H14" s="16">
        <f t="shared" si="1"/>
        <v>26.13</v>
      </c>
      <c r="I14" s="15">
        <f t="shared" si="2"/>
        <v>7.2999999999999995E-2</v>
      </c>
      <c r="J14" s="15">
        <f>ROUND(G14/224640-1,2)</f>
        <v>0.08</v>
      </c>
    </row>
    <row r="15" spans="1:10" x14ac:dyDescent="0.25">
      <c r="A15" s="1" t="s">
        <v>16</v>
      </c>
      <c r="B15" s="1" t="s">
        <v>20</v>
      </c>
      <c r="C15" s="10">
        <v>262410</v>
      </c>
      <c r="D15" s="10"/>
      <c r="E15" s="10"/>
      <c r="F15" s="10"/>
      <c r="G15" s="10">
        <f t="shared" si="0"/>
        <v>262410</v>
      </c>
      <c r="H15" s="16">
        <f t="shared" si="1"/>
        <v>28.4</v>
      </c>
      <c r="I15" s="15">
        <f t="shared" si="2"/>
        <v>0.08</v>
      </c>
      <c r="J15" s="15">
        <f>ROUND(G15/256110-1,2)</f>
        <v>0.02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156</v>
      </c>
      <c r="F16" s="10"/>
      <c r="G16" s="10">
        <f t="shared" si="0"/>
        <v>156</v>
      </c>
      <c r="H16" s="16">
        <f t="shared" si="1"/>
        <v>0.02</v>
      </c>
      <c r="I16" s="15">
        <f t="shared" si="2"/>
        <v>0</v>
      </c>
      <c r="J16" s="15">
        <f>ROUND(G16/105-1,2)</f>
        <v>0.49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327</v>
      </c>
      <c r="F17" s="10"/>
      <c r="G17" s="10">
        <f t="shared" si="0"/>
        <v>327</v>
      </c>
      <c r="H17" s="16">
        <f t="shared" si="1"/>
        <v>0.04</v>
      </c>
      <c r="I17" s="15">
        <f t="shared" si="2"/>
        <v>0</v>
      </c>
      <c r="J17" s="15">
        <f>ROUND(G17/360-1,2)</f>
        <v>-0.09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3900</v>
      </c>
      <c r="F18" s="10"/>
      <c r="G18" s="10">
        <f t="shared" si="0"/>
        <v>3900</v>
      </c>
      <c r="H18" s="16">
        <f t="shared" si="1"/>
        <v>0.42</v>
      </c>
      <c r="I18" s="15">
        <f t="shared" si="2"/>
        <v>1E-3</v>
      </c>
      <c r="J18" s="15">
        <f>ROUND(G18/3300-1,2)</f>
        <v>0.18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181620</v>
      </c>
      <c r="F19" s="10"/>
      <c r="G19" s="10">
        <f t="shared" si="0"/>
        <v>181620</v>
      </c>
      <c r="H19" s="16">
        <f t="shared" si="1"/>
        <v>19.649999999999999</v>
      </c>
      <c r="I19" s="15">
        <f t="shared" si="2"/>
        <v>5.5E-2</v>
      </c>
      <c r="J19" s="15">
        <f>ROUND(G19/177760-1,2)</f>
        <v>0.02</v>
      </c>
    </row>
    <row r="20" spans="1:10" x14ac:dyDescent="0.25">
      <c r="A20" s="1" t="s">
        <v>16</v>
      </c>
      <c r="B20" s="1" t="s">
        <v>24</v>
      </c>
      <c r="C20" s="10">
        <v>371200</v>
      </c>
      <c r="D20" s="10"/>
      <c r="E20" s="10">
        <v>61360</v>
      </c>
      <c r="F20" s="10"/>
      <c r="G20" s="10">
        <f t="shared" si="0"/>
        <v>432560</v>
      </c>
      <c r="H20" s="16">
        <f t="shared" si="1"/>
        <v>46.81</v>
      </c>
      <c r="I20" s="15">
        <f t="shared" si="2"/>
        <v>0.13100000000000001</v>
      </c>
      <c r="J20" s="15">
        <f>ROUND(G20/408225-1,2)</f>
        <v>0.06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10975</v>
      </c>
      <c r="F21" s="10"/>
      <c r="G21" s="10">
        <f t="shared" si="0"/>
        <v>10975</v>
      </c>
      <c r="H21" s="16">
        <f t="shared" si="1"/>
        <v>1.19</v>
      </c>
      <c r="I21" s="15">
        <f t="shared" si="2"/>
        <v>3.0000000000000001E-3</v>
      </c>
      <c r="J21" s="15">
        <f>ROUND(G21/14095-1,2)</f>
        <v>-0.22</v>
      </c>
    </row>
    <row r="22" spans="1:10" x14ac:dyDescent="0.25">
      <c r="A22" s="1" t="s">
        <v>16</v>
      </c>
      <c r="B22" s="1" t="s">
        <v>26</v>
      </c>
      <c r="C22" s="10">
        <v>525110</v>
      </c>
      <c r="D22" s="10"/>
      <c r="E22" s="10"/>
      <c r="F22" s="10">
        <v>960</v>
      </c>
      <c r="G22" s="10">
        <f t="shared" si="0"/>
        <v>526070</v>
      </c>
      <c r="H22" s="16">
        <f t="shared" si="1"/>
        <v>56.93</v>
      </c>
      <c r="I22" s="15">
        <f t="shared" si="2"/>
        <v>0.159</v>
      </c>
      <c r="J22" s="15">
        <f>ROUND(G22/528840-1,2)</f>
        <v>-0.01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2164</v>
      </c>
      <c r="F23" s="10"/>
      <c r="G23" s="10">
        <f t="shared" si="0"/>
        <v>2164</v>
      </c>
      <c r="H23" s="16">
        <f t="shared" si="1"/>
        <v>0.23</v>
      </c>
      <c r="I23" s="15">
        <f t="shared" si="2"/>
        <v>1E-3</v>
      </c>
      <c r="J23" s="15">
        <f>ROUND(G23/1423-1,2)</f>
        <v>0.52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1716</v>
      </c>
      <c r="F24" s="10"/>
      <c r="G24" s="10">
        <f t="shared" si="0"/>
        <v>1716</v>
      </c>
      <c r="H24" s="16">
        <f t="shared" si="1"/>
        <v>0.19</v>
      </c>
      <c r="I24" s="15">
        <f t="shared" si="2"/>
        <v>1E-3</v>
      </c>
      <c r="J24" s="15">
        <f>ROUND(G24/1816-1,2)</f>
        <v>-0.06</v>
      </c>
    </row>
    <row r="25" spans="1:10" x14ac:dyDescent="0.25">
      <c r="A25" s="1" t="s">
        <v>16</v>
      </c>
      <c r="B25" s="1" t="s">
        <v>42</v>
      </c>
      <c r="C25" s="10"/>
      <c r="D25" s="10"/>
      <c r="E25" s="10">
        <v>70</v>
      </c>
      <c r="F25" s="10"/>
      <c r="G25" s="10">
        <f t="shared" si="0"/>
        <v>70</v>
      </c>
      <c r="H25" s="16">
        <f t="shared" si="1"/>
        <v>0.01</v>
      </c>
      <c r="I25" s="15">
        <f t="shared" si="2"/>
        <v>0</v>
      </c>
      <c r="J25" s="15">
        <f>ROUND(G25/436-1,2)</f>
        <v>-0.84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5540</v>
      </c>
      <c r="F26" s="10"/>
      <c r="G26" s="10">
        <f t="shared" si="0"/>
        <v>5540</v>
      </c>
      <c r="H26" s="16">
        <f t="shared" si="1"/>
        <v>0.6</v>
      </c>
      <c r="I26" s="15">
        <f t="shared" si="2"/>
        <v>2E-3</v>
      </c>
      <c r="J26" s="15">
        <f>ROUND(G26/7329-1,2)</f>
        <v>-0.24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2630</v>
      </c>
      <c r="F27" s="10"/>
      <c r="G27" s="10">
        <f t="shared" si="0"/>
        <v>2630</v>
      </c>
      <c r="H27" s="16">
        <f t="shared" si="1"/>
        <v>0.28000000000000003</v>
      </c>
      <c r="I27" s="15">
        <f t="shared" si="2"/>
        <v>1E-3</v>
      </c>
      <c r="J27" s="15">
        <f>ROUND(G27/2820-1,2)</f>
        <v>-7.0000000000000007E-2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970</v>
      </c>
      <c r="F28" s="10"/>
      <c r="G28" s="10">
        <f t="shared" si="0"/>
        <v>970</v>
      </c>
      <c r="H28" s="16">
        <f t="shared" si="1"/>
        <v>0.1</v>
      </c>
      <c r="I28" s="15">
        <f t="shared" si="2"/>
        <v>0</v>
      </c>
      <c r="J28" s="15">
        <f>ROUND(G28/760-1,2)</f>
        <v>0.28000000000000003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3925</v>
      </c>
      <c r="F29" s="10"/>
      <c r="G29" s="10">
        <f t="shared" si="0"/>
        <v>3925</v>
      </c>
      <c r="H29" s="16">
        <f t="shared" si="1"/>
        <v>0.42</v>
      </c>
      <c r="I29" s="15">
        <f t="shared" si="2"/>
        <v>1E-3</v>
      </c>
      <c r="J29" s="15">
        <f>ROUND(G29/3795-1,2)</f>
        <v>0.03</v>
      </c>
    </row>
    <row r="30" spans="1:10" x14ac:dyDescent="0.25">
      <c r="A30" s="1" t="s">
        <v>16</v>
      </c>
      <c r="B30" s="1" t="s">
        <v>33</v>
      </c>
      <c r="C30" s="10"/>
      <c r="D30" s="10">
        <v>721</v>
      </c>
      <c r="E30" s="10">
        <v>203</v>
      </c>
      <c r="F30" s="10"/>
      <c r="G30" s="10">
        <f t="shared" si="0"/>
        <v>924</v>
      </c>
      <c r="H30" s="16">
        <f t="shared" si="1"/>
        <v>0.1</v>
      </c>
      <c r="I30" s="15">
        <f t="shared" si="2"/>
        <v>0</v>
      </c>
      <c r="J30" s="15">
        <f>ROUND(G30/822-1,2)</f>
        <v>0.12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1060</v>
      </c>
      <c r="F31" s="10"/>
      <c r="G31" s="10">
        <f t="shared" si="0"/>
        <v>1060</v>
      </c>
      <c r="H31" s="16">
        <f t="shared" si="1"/>
        <v>0.11</v>
      </c>
      <c r="I31" s="15">
        <f t="shared" si="2"/>
        <v>0</v>
      </c>
      <c r="J31" s="15">
        <f>ROUND(G31/556-1,2)</f>
        <v>0.91</v>
      </c>
    </row>
    <row r="32" spans="1:10" x14ac:dyDescent="0.25">
      <c r="A32" s="1" t="s">
        <v>16</v>
      </c>
      <c r="B32" s="1" t="s">
        <v>36</v>
      </c>
      <c r="C32" s="10"/>
      <c r="D32" s="10"/>
      <c r="E32" s="10">
        <v>2770</v>
      </c>
      <c r="F32" s="10"/>
      <c r="G32" s="10">
        <f t="shared" si="0"/>
        <v>2770</v>
      </c>
      <c r="H32" s="16">
        <f t="shared" si="1"/>
        <v>0.3</v>
      </c>
      <c r="I32" s="15">
        <f t="shared" si="2"/>
        <v>1E-3</v>
      </c>
      <c r="J32" s="15">
        <f>ROUND(G32/4453-1,2)</f>
        <v>-0.38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6759</v>
      </c>
      <c r="F33" s="10"/>
      <c r="G33" s="10">
        <f t="shared" si="0"/>
        <v>6759</v>
      </c>
      <c r="H33" s="16">
        <f t="shared" si="1"/>
        <v>0.73</v>
      </c>
      <c r="I33" s="15">
        <f t="shared" si="2"/>
        <v>2E-3</v>
      </c>
      <c r="J33" s="15">
        <f>ROUND(G33/9420-1,2)</f>
        <v>-0.28000000000000003</v>
      </c>
    </row>
    <row r="34" spans="1:10" x14ac:dyDescent="0.25">
      <c r="A34" s="1" t="s">
        <v>16</v>
      </c>
      <c r="B34" s="1" t="s">
        <v>43</v>
      </c>
      <c r="C34" s="10"/>
      <c r="D34" s="10"/>
      <c r="E34" s="10">
        <v>10140</v>
      </c>
      <c r="F34" s="10"/>
      <c r="G34" s="10">
        <f t="shared" si="0"/>
        <v>10140</v>
      </c>
      <c r="H34" s="16">
        <f t="shared" si="1"/>
        <v>1.1000000000000001</v>
      </c>
      <c r="I34" s="15">
        <f t="shared" si="2"/>
        <v>3.0000000000000001E-3</v>
      </c>
      <c r="J34" s="15">
        <f>ROUND(G34/20647-1,2)</f>
        <v>-0.51</v>
      </c>
    </row>
    <row r="35" spans="1:10" x14ac:dyDescent="0.25">
      <c r="A35" s="1" t="s">
        <v>16</v>
      </c>
      <c r="B35" s="1" t="s">
        <v>38</v>
      </c>
      <c r="C35" s="10"/>
      <c r="D35" s="10"/>
      <c r="E35" s="10">
        <v>204555</v>
      </c>
      <c r="F35" s="10"/>
      <c r="G35" s="10">
        <f t="shared" si="0"/>
        <v>204555</v>
      </c>
      <c r="H35" s="16">
        <f t="shared" si="1"/>
        <v>22.14</v>
      </c>
      <c r="I35" s="15">
        <f t="shared" si="2"/>
        <v>6.2E-2</v>
      </c>
      <c r="J35" s="15">
        <f>ROUND(G35/170270-1,2)</f>
        <v>0.2</v>
      </c>
    </row>
    <row r="36" spans="1:10" x14ac:dyDescent="0.25">
      <c r="A36" s="1" t="s">
        <v>16</v>
      </c>
      <c r="B36" s="1" t="s">
        <v>39</v>
      </c>
      <c r="C36" s="10"/>
      <c r="D36" s="10"/>
      <c r="E36" s="10">
        <v>6635</v>
      </c>
      <c r="F36" s="10"/>
      <c r="G36" s="10">
        <f t="shared" si="0"/>
        <v>6635</v>
      </c>
      <c r="H36" s="16">
        <f t="shared" si="1"/>
        <v>0.72</v>
      </c>
      <c r="I36" s="15">
        <f t="shared" si="2"/>
        <v>2E-3</v>
      </c>
      <c r="J36" s="15">
        <f>ROUND(G36/6750-1,2)</f>
        <v>-0.02</v>
      </c>
    </row>
    <row r="37" spans="1:10" x14ac:dyDescent="0.25">
      <c r="A37" s="1" t="s">
        <v>16</v>
      </c>
      <c r="B37" s="1" t="s">
        <v>40</v>
      </c>
      <c r="C37" s="10"/>
      <c r="D37" s="10"/>
      <c r="E37" s="10">
        <v>15780</v>
      </c>
      <c r="F37" s="10"/>
      <c r="G37" s="10">
        <f t="shared" si="0"/>
        <v>15780</v>
      </c>
      <c r="H37" s="16">
        <f t="shared" si="1"/>
        <v>1.71</v>
      </c>
      <c r="I37" s="15">
        <f t="shared" si="2"/>
        <v>5.0000000000000001E-3</v>
      </c>
      <c r="J37" s="15">
        <f>ROUND(G37/26600-1,2)</f>
        <v>-0.41</v>
      </c>
    </row>
    <row r="38" spans="1:10" x14ac:dyDescent="0.25">
      <c r="A38" s="1" t="s">
        <v>16</v>
      </c>
      <c r="B38" s="1" t="s">
        <v>41</v>
      </c>
      <c r="C38" s="10"/>
      <c r="D38" s="10"/>
      <c r="E38" s="10">
        <v>642990</v>
      </c>
      <c r="F38" s="10">
        <v>1700</v>
      </c>
      <c r="G38" s="10">
        <f t="shared" si="0"/>
        <v>644690</v>
      </c>
      <c r="H38" s="16">
        <f t="shared" si="1"/>
        <v>69.760000000000005</v>
      </c>
      <c r="I38" s="15">
        <f t="shared" si="2"/>
        <v>0.19500000000000001</v>
      </c>
      <c r="J38" s="15">
        <f>ROUND(G38/559240-1,2)</f>
        <v>0.15</v>
      </c>
    </row>
    <row r="39" spans="1:10" x14ac:dyDescent="0.25">
      <c r="A39" s="1" t="s">
        <v>16</v>
      </c>
      <c r="B39" s="1" t="s">
        <v>98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ROUND(G39/545-1,2)</f>
        <v>-1</v>
      </c>
    </row>
    <row r="40" spans="1:10" x14ac:dyDescent="0.25">
      <c r="A40" s="1" t="s">
        <v>16</v>
      </c>
      <c r="B40" s="1" t="s">
        <v>34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ROUND(G40/460-1,2)</f>
        <v>-1</v>
      </c>
    </row>
    <row r="41" spans="1:10" x14ac:dyDescent="0.25">
      <c r="A41" s="1" t="s">
        <v>16</v>
      </c>
      <c r="B41" s="1" t="s">
        <v>243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ROUND(G41/836-1,2)</f>
        <v>-1</v>
      </c>
    </row>
    <row r="42" spans="1:10" x14ac:dyDescent="0.25">
      <c r="A42" s="1" t="s">
        <v>16</v>
      </c>
      <c r="B42" s="1" t="s">
        <v>96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ROUND(G42/200-1,2)</f>
        <v>-1</v>
      </c>
    </row>
    <row r="43" spans="1:10" x14ac:dyDescent="0.25">
      <c r="A43" s="1" t="s">
        <v>16</v>
      </c>
      <c r="B43" s="1" t="s">
        <v>161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1" t="s">
        <v>16</v>
      </c>
      <c r="B44" s="1" t="s">
        <v>120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497910</v>
      </c>
      <c r="D45" s="10"/>
      <c r="E45" s="10"/>
      <c r="F45" s="10">
        <v>110</v>
      </c>
      <c r="G45" s="10">
        <f t="shared" si="0"/>
        <v>498020</v>
      </c>
      <c r="H45" s="16">
        <f t="shared" si="1"/>
        <v>53.89</v>
      </c>
      <c r="I45" s="15">
        <f t="shared" si="2"/>
        <v>0.151</v>
      </c>
      <c r="J45" s="15">
        <f>ROUND(G45/462060-1,2)</f>
        <v>0.08</v>
      </c>
    </row>
    <row r="46" spans="1:10" x14ac:dyDescent="0.25">
      <c r="A46" s="1" t="s">
        <v>44</v>
      </c>
      <c r="B46" s="1" t="s">
        <v>47</v>
      </c>
      <c r="C46" s="10"/>
      <c r="D46" s="10"/>
      <c r="E46" s="10"/>
      <c r="F46" s="10">
        <v>60920</v>
      </c>
      <c r="G46" s="10">
        <f t="shared" si="0"/>
        <v>60920</v>
      </c>
      <c r="H46" s="16">
        <f t="shared" si="1"/>
        <v>6.59</v>
      </c>
      <c r="I46" s="15">
        <f t="shared" si="2"/>
        <v>1.7999999999999999E-2</v>
      </c>
      <c r="J46" s="15">
        <f>ROUND(G46/60800-1,2)</f>
        <v>0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169220</v>
      </c>
      <c r="F47" s="10"/>
      <c r="G47" s="10">
        <f t="shared" si="0"/>
        <v>169220</v>
      </c>
      <c r="H47" s="16">
        <f t="shared" si="1"/>
        <v>18.309999999999999</v>
      </c>
      <c r="I47" s="15">
        <f t="shared" si="2"/>
        <v>5.0999999999999997E-2</v>
      </c>
      <c r="J47" s="15">
        <f>ROUND(G47/143150-1,2)</f>
        <v>0.18</v>
      </c>
    </row>
    <row r="48" spans="1:10" x14ac:dyDescent="0.25">
      <c r="A48" s="25" t="s">
        <v>12</v>
      </c>
      <c r="B48" s="25"/>
      <c r="C48" s="11">
        <f t="shared" ref="C48:H48" si="3">SUM(C8:C47)</f>
        <v>1883565</v>
      </c>
      <c r="D48" s="11">
        <f t="shared" si="3"/>
        <v>721</v>
      </c>
      <c r="E48" s="11">
        <f t="shared" si="3"/>
        <v>1350203</v>
      </c>
      <c r="F48" s="11">
        <f t="shared" si="3"/>
        <v>63786</v>
      </c>
      <c r="G48" s="11">
        <f t="shared" si="3"/>
        <v>3298275</v>
      </c>
      <c r="H48" s="14">
        <f t="shared" si="3"/>
        <v>356.90999999999991</v>
      </c>
      <c r="I48" s="17"/>
      <c r="J48" s="17"/>
    </row>
    <row r="49" spans="1:10" x14ac:dyDescent="0.25">
      <c r="A49" s="25" t="s">
        <v>14</v>
      </c>
      <c r="B49" s="25"/>
      <c r="C49" s="12">
        <f>ROUND(C48/G48,2)</f>
        <v>0.56999999999999995</v>
      </c>
      <c r="D49" s="12">
        <f>ROUND(D48/G48,2)</f>
        <v>0</v>
      </c>
      <c r="E49" s="12">
        <f>ROUND(E48/G48,2)</f>
        <v>0.41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53</v>
      </c>
      <c r="B54" s="25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0" t="s">
        <v>54</v>
      </c>
      <c r="B55" s="20"/>
      <c r="C55" s="10">
        <v>1385655</v>
      </c>
      <c r="D55" s="10">
        <v>721</v>
      </c>
      <c r="E55" s="10">
        <v>1180983</v>
      </c>
      <c r="F55" s="10">
        <v>2660</v>
      </c>
      <c r="G55" s="10">
        <f>SUM(C55:F55)</f>
        <v>2570019</v>
      </c>
      <c r="H55" s="16">
        <f>ROUND(G55/9241,2)</f>
        <v>278.11</v>
      </c>
      <c r="I55" s="9"/>
      <c r="J55" s="9"/>
    </row>
    <row r="56" spans="1:10" x14ac:dyDescent="0.25">
      <c r="A56" s="20" t="s">
        <v>55</v>
      </c>
      <c r="B56" s="20"/>
      <c r="C56" s="10">
        <v>497910</v>
      </c>
      <c r="D56" s="10">
        <v>0</v>
      </c>
      <c r="E56" s="10">
        <v>169220</v>
      </c>
      <c r="F56" s="10">
        <v>61030</v>
      </c>
      <c r="G56" s="10">
        <f>SUM(C56:F56)</f>
        <v>728160</v>
      </c>
      <c r="H56" s="16">
        <f>ROUND(G56/9241,2)</f>
        <v>78.8</v>
      </c>
      <c r="I56" s="9"/>
      <c r="J56" s="9"/>
    </row>
    <row r="57" spans="1:10" x14ac:dyDescent="0.25">
      <c r="A57" s="20" t="s">
        <v>56</v>
      </c>
      <c r="B57" s="20"/>
      <c r="C57" s="10">
        <v>0</v>
      </c>
      <c r="D57" s="10">
        <v>0</v>
      </c>
      <c r="E57" s="10">
        <v>0</v>
      </c>
      <c r="F57" s="10">
        <v>96</v>
      </c>
      <c r="G57" s="10">
        <f>SUM(C57:F57)</f>
        <v>96</v>
      </c>
      <c r="H57" s="16">
        <f>ROUND(G57/9241,2)</f>
        <v>0.01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57</v>
      </c>
      <c r="B62" s="25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0" t="s">
        <v>58</v>
      </c>
      <c r="B63" s="20"/>
      <c r="C63" s="15">
        <f>ROUND(0.8323, 4)</f>
        <v>0.83230000000000004</v>
      </c>
      <c r="D63" s="15">
        <f>ROUND(0.8302, 4)</f>
        <v>0.83020000000000005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3" t="s">
        <v>64</v>
      </c>
      <c r="J63" s="23" t="s">
        <v>65</v>
      </c>
    </row>
    <row r="64" spans="1:10" x14ac:dyDescent="0.25">
      <c r="A64" s="20" t="s">
        <v>66</v>
      </c>
      <c r="B64" s="20"/>
      <c r="C64" s="15">
        <f>ROUND(0.8223, 4)</f>
        <v>0.82230000000000003</v>
      </c>
      <c r="D64" s="15">
        <f>ROUND(0.8199, 4)</f>
        <v>0.81989999999999996</v>
      </c>
      <c r="E64" s="15">
        <f>ROUND(0.7608, 4)</f>
        <v>0.76080000000000003</v>
      </c>
      <c r="F64" s="8"/>
      <c r="G64" s="14" t="s">
        <v>67</v>
      </c>
      <c r="H64" s="27"/>
      <c r="I64" s="24"/>
      <c r="J64" s="24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5" t="s">
        <v>68</v>
      </c>
      <c r="B68" s="25"/>
      <c r="C68" s="14" t="s">
        <v>2</v>
      </c>
      <c r="D68" s="14" t="s">
        <v>244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0" t="s">
        <v>73</v>
      </c>
      <c r="B69" s="20"/>
      <c r="C69" s="16">
        <v>53.89</v>
      </c>
      <c r="D69" s="16">
        <v>57.41</v>
      </c>
      <c r="E69" s="16">
        <v>91.13</v>
      </c>
      <c r="F69" s="16">
        <v>54.95</v>
      </c>
      <c r="G69" s="16">
        <f>12/10*C69</f>
        <v>64.667999999999992</v>
      </c>
      <c r="H69" s="8"/>
      <c r="I69" s="9"/>
      <c r="J69" s="9"/>
    </row>
    <row r="70" spans="1:10" x14ac:dyDescent="0.25">
      <c r="A70" s="20" t="s">
        <v>74</v>
      </c>
      <c r="B70" s="20"/>
      <c r="C70" s="16">
        <v>56.93</v>
      </c>
      <c r="D70" s="16">
        <v>65.900000000000006</v>
      </c>
      <c r="E70" s="16">
        <v>61.18</v>
      </c>
      <c r="F70" s="16">
        <v>62.89</v>
      </c>
      <c r="G70" s="16">
        <f>12/10*C70</f>
        <v>68.316000000000003</v>
      </c>
      <c r="H70" s="8"/>
      <c r="I70" s="9"/>
      <c r="J70" s="9"/>
    </row>
    <row r="71" spans="1:10" x14ac:dyDescent="0.25">
      <c r="A71" s="20" t="s">
        <v>75</v>
      </c>
      <c r="B71" s="20"/>
      <c r="C71" s="16">
        <v>278.11</v>
      </c>
      <c r="D71" s="16">
        <v>305.14999999999998</v>
      </c>
      <c r="E71" s="16">
        <v>287.25</v>
      </c>
      <c r="F71" s="16">
        <v>278.91000000000003</v>
      </c>
      <c r="G71" s="16">
        <f>12/10*C71</f>
        <v>333.73200000000003</v>
      </c>
      <c r="H71" s="8"/>
      <c r="I71" s="9"/>
      <c r="J71" s="9"/>
    </row>
    <row r="72" spans="1:10" x14ac:dyDescent="0.25">
      <c r="A72" s="20" t="s">
        <v>76</v>
      </c>
      <c r="B72" s="20"/>
      <c r="C72" s="16">
        <v>78.8</v>
      </c>
      <c r="D72" s="16">
        <v>81.48</v>
      </c>
      <c r="E72" s="16">
        <v>114.69</v>
      </c>
      <c r="F72" s="16">
        <v>78.319999999999993</v>
      </c>
      <c r="G72" s="16">
        <f>12/10*C72</f>
        <v>94.559999999999988</v>
      </c>
      <c r="H72" s="8"/>
      <c r="I72" s="9"/>
      <c r="J72" s="9"/>
    </row>
    <row r="75" spans="1:10" x14ac:dyDescent="0.25">
      <c r="A75" s="21" t="s">
        <v>60</v>
      </c>
      <c r="B75" s="22"/>
    </row>
    <row r="76" spans="1:10" x14ac:dyDescent="0.25">
      <c r="A76" s="3" t="s">
        <v>77</v>
      </c>
      <c r="B76" s="1" t="s">
        <v>245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2340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74750</v>
      </c>
      <c r="D9" s="10"/>
      <c r="E9" s="10">
        <v>1680</v>
      </c>
      <c r="F9" s="10">
        <v>80</v>
      </c>
      <c r="G9" s="10">
        <f t="shared" ref="G9:G40" si="0">SUM(C9:F9)</f>
        <v>76510</v>
      </c>
      <c r="H9" s="16">
        <f t="shared" ref="H9:H40" si="1">ROUND(G9/2340,2)</f>
        <v>32.700000000000003</v>
      </c>
      <c r="I9" s="15">
        <f t="shared" ref="I9:I40" si="2">ROUND(G9/$G$41,3)</f>
        <v>0.105</v>
      </c>
      <c r="J9" s="15">
        <f>ROUND(G9/73430-1,2)</f>
        <v>0.04</v>
      </c>
    </row>
    <row r="10" spans="1:10" x14ac:dyDescent="0.25">
      <c r="A10" s="1" t="s">
        <v>16</v>
      </c>
      <c r="B10" s="1" t="s">
        <v>20</v>
      </c>
      <c r="C10" s="10">
        <v>72065</v>
      </c>
      <c r="D10" s="10"/>
      <c r="E10" s="10"/>
      <c r="F10" s="10"/>
      <c r="G10" s="10">
        <f t="shared" si="0"/>
        <v>72065</v>
      </c>
      <c r="H10" s="16">
        <f t="shared" si="1"/>
        <v>30.8</v>
      </c>
      <c r="I10" s="15">
        <f t="shared" si="2"/>
        <v>9.9000000000000005E-2</v>
      </c>
      <c r="J10" s="15">
        <f>ROUND(G10/73870-1,2)</f>
        <v>-0.02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70</v>
      </c>
      <c r="F11" s="10"/>
      <c r="G11" s="10">
        <f t="shared" si="0"/>
        <v>70</v>
      </c>
      <c r="H11" s="16">
        <f t="shared" si="1"/>
        <v>0.03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23</v>
      </c>
      <c r="C12" s="10"/>
      <c r="D12" s="10"/>
      <c r="E12" s="10">
        <v>41950</v>
      </c>
      <c r="F12" s="10"/>
      <c r="G12" s="10">
        <f t="shared" si="0"/>
        <v>41950</v>
      </c>
      <c r="H12" s="16">
        <f t="shared" si="1"/>
        <v>17.93</v>
      </c>
      <c r="I12" s="15">
        <f t="shared" si="2"/>
        <v>5.8000000000000003E-2</v>
      </c>
      <c r="J12" s="15">
        <f>ROUND(G12/76170-1,2)</f>
        <v>-0.45</v>
      </c>
    </row>
    <row r="13" spans="1:10" x14ac:dyDescent="0.25">
      <c r="A13" s="1" t="s">
        <v>16</v>
      </c>
      <c r="B13" s="1" t="s">
        <v>24</v>
      </c>
      <c r="C13" s="10">
        <v>75470</v>
      </c>
      <c r="D13" s="10"/>
      <c r="E13" s="10">
        <v>16240</v>
      </c>
      <c r="F13" s="10">
        <v>60</v>
      </c>
      <c r="G13" s="10">
        <f t="shared" si="0"/>
        <v>91770</v>
      </c>
      <c r="H13" s="16">
        <f t="shared" si="1"/>
        <v>39.22</v>
      </c>
      <c r="I13" s="15">
        <f t="shared" si="2"/>
        <v>0.126</v>
      </c>
      <c r="J13" s="15">
        <f>ROUND(G13/84890-1,2)</f>
        <v>0.08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2560</v>
      </c>
      <c r="F14" s="10"/>
      <c r="G14" s="10">
        <f t="shared" si="0"/>
        <v>2560</v>
      </c>
      <c r="H14" s="16">
        <f t="shared" si="1"/>
        <v>1.0900000000000001</v>
      </c>
      <c r="I14" s="15">
        <f t="shared" si="2"/>
        <v>4.0000000000000001E-3</v>
      </c>
      <c r="J14" s="15">
        <f>ROUND(G14/2380-1,2)</f>
        <v>0.08</v>
      </c>
    </row>
    <row r="15" spans="1:10" x14ac:dyDescent="0.25">
      <c r="A15" s="1" t="s">
        <v>16</v>
      </c>
      <c r="B15" s="1" t="s">
        <v>26</v>
      </c>
      <c r="C15" s="10">
        <v>83650</v>
      </c>
      <c r="D15" s="10"/>
      <c r="E15" s="10"/>
      <c r="F15" s="10">
        <v>20</v>
      </c>
      <c r="G15" s="10">
        <f t="shared" si="0"/>
        <v>83670</v>
      </c>
      <c r="H15" s="16">
        <f t="shared" si="1"/>
        <v>35.76</v>
      </c>
      <c r="I15" s="15">
        <f t="shared" si="2"/>
        <v>0.115</v>
      </c>
      <c r="J15" s="15">
        <f>ROUND(G15/99930-1,2)</f>
        <v>-0.16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1372</v>
      </c>
      <c r="F16" s="10"/>
      <c r="G16" s="10">
        <f t="shared" si="0"/>
        <v>1372</v>
      </c>
      <c r="H16" s="16">
        <f t="shared" si="1"/>
        <v>0.59</v>
      </c>
      <c r="I16" s="15">
        <f t="shared" si="2"/>
        <v>2E-3</v>
      </c>
      <c r="J16" s="15">
        <f>ROUND(G16/889-1,2)</f>
        <v>0.54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801</v>
      </c>
      <c r="F17" s="10"/>
      <c r="G17" s="10">
        <f t="shared" si="0"/>
        <v>801</v>
      </c>
      <c r="H17" s="16">
        <f t="shared" si="1"/>
        <v>0.34</v>
      </c>
      <c r="I17" s="15">
        <f t="shared" si="2"/>
        <v>1E-3</v>
      </c>
      <c r="J17" s="15">
        <f>ROUND(G17/440-1,2)</f>
        <v>0.82</v>
      </c>
    </row>
    <row r="18" spans="1:10" x14ac:dyDescent="0.25">
      <c r="A18" s="1" t="s">
        <v>16</v>
      </c>
      <c r="B18" s="1" t="s">
        <v>42</v>
      </c>
      <c r="C18" s="10"/>
      <c r="D18" s="10"/>
      <c r="E18" s="10">
        <v>90</v>
      </c>
      <c r="F18" s="10"/>
      <c r="G18" s="10">
        <f t="shared" si="0"/>
        <v>90</v>
      </c>
      <c r="H18" s="16">
        <f t="shared" si="1"/>
        <v>0.04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29</v>
      </c>
      <c r="C19" s="10"/>
      <c r="D19" s="10"/>
      <c r="E19" s="10">
        <v>770</v>
      </c>
      <c r="F19" s="10"/>
      <c r="G19" s="10">
        <f t="shared" si="0"/>
        <v>770</v>
      </c>
      <c r="H19" s="16">
        <f t="shared" si="1"/>
        <v>0.33</v>
      </c>
      <c r="I19" s="15">
        <f t="shared" si="2"/>
        <v>1E-3</v>
      </c>
      <c r="J19" s="15">
        <f>ROUND(G19/4550-1,2)</f>
        <v>-0.83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950</v>
      </c>
      <c r="F20" s="10"/>
      <c r="G20" s="10">
        <f t="shared" si="0"/>
        <v>950</v>
      </c>
      <c r="H20" s="16">
        <f t="shared" si="1"/>
        <v>0.41</v>
      </c>
      <c r="I20" s="15">
        <f t="shared" si="2"/>
        <v>1E-3</v>
      </c>
      <c r="J20" s="15">
        <f>ROUND(G20/860-1,2)</f>
        <v>0.1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460</v>
      </c>
      <c r="F21" s="10"/>
      <c r="G21" s="10">
        <f t="shared" si="0"/>
        <v>460</v>
      </c>
      <c r="H21" s="16">
        <f t="shared" si="1"/>
        <v>0.2</v>
      </c>
      <c r="I21" s="15">
        <f t="shared" si="2"/>
        <v>1E-3</v>
      </c>
      <c r="J21" s="15">
        <f>ROUND(G21/240-1,2)</f>
        <v>0.92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985</v>
      </c>
      <c r="F22" s="10"/>
      <c r="G22" s="10">
        <f t="shared" si="0"/>
        <v>985</v>
      </c>
      <c r="H22" s="16">
        <f t="shared" si="1"/>
        <v>0.42</v>
      </c>
      <c r="I22" s="15">
        <f t="shared" si="2"/>
        <v>1E-3</v>
      </c>
      <c r="J22" s="15">
        <f>ROUND(G22/425-1,2)</f>
        <v>1.32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75</v>
      </c>
      <c r="F23" s="10"/>
      <c r="G23" s="10">
        <f t="shared" si="0"/>
        <v>75</v>
      </c>
      <c r="H23" s="16">
        <f t="shared" si="1"/>
        <v>0.03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4280</v>
      </c>
      <c r="F24" s="10"/>
      <c r="G24" s="10">
        <f t="shared" si="0"/>
        <v>4280</v>
      </c>
      <c r="H24" s="16">
        <f t="shared" si="1"/>
        <v>1.83</v>
      </c>
      <c r="I24" s="15">
        <f t="shared" si="2"/>
        <v>6.0000000000000001E-3</v>
      </c>
      <c r="J24" s="15">
        <f>ROUND(G24/5600-1,2)</f>
        <v>-0.24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35960</v>
      </c>
      <c r="F25" s="10"/>
      <c r="G25" s="10">
        <f t="shared" si="0"/>
        <v>35960</v>
      </c>
      <c r="H25" s="16">
        <f t="shared" si="1"/>
        <v>15.37</v>
      </c>
      <c r="I25" s="15">
        <f t="shared" si="2"/>
        <v>4.9000000000000002E-2</v>
      </c>
      <c r="J25" s="15">
        <f>ROUND(G25/50475-1,2)</f>
        <v>-0.28999999999999998</v>
      </c>
    </row>
    <row r="26" spans="1:10" x14ac:dyDescent="0.25">
      <c r="A26" s="1" t="s">
        <v>16</v>
      </c>
      <c r="B26" s="1" t="s">
        <v>39</v>
      </c>
      <c r="C26" s="10"/>
      <c r="D26" s="10"/>
      <c r="E26" s="10">
        <v>4980</v>
      </c>
      <c r="F26" s="10"/>
      <c r="G26" s="10">
        <f t="shared" si="0"/>
        <v>4980</v>
      </c>
      <c r="H26" s="16">
        <f t="shared" si="1"/>
        <v>2.13</v>
      </c>
      <c r="I26" s="15">
        <f t="shared" si="2"/>
        <v>7.0000000000000001E-3</v>
      </c>
      <c r="J26" s="15">
        <f>ROUND(G26/6260-1,2)</f>
        <v>-0.2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18480</v>
      </c>
      <c r="F27" s="10"/>
      <c r="G27" s="10">
        <f t="shared" si="0"/>
        <v>18480</v>
      </c>
      <c r="H27" s="16">
        <f t="shared" si="1"/>
        <v>7.9</v>
      </c>
      <c r="I27" s="15">
        <f t="shared" si="2"/>
        <v>2.5000000000000001E-2</v>
      </c>
      <c r="J27" s="15">
        <f>ROUND(G27/22040-1,2)</f>
        <v>-0.16</v>
      </c>
    </row>
    <row r="28" spans="1:10" x14ac:dyDescent="0.25">
      <c r="A28" s="1" t="s">
        <v>16</v>
      </c>
      <c r="B28" s="1" t="s">
        <v>41</v>
      </c>
      <c r="C28" s="10"/>
      <c r="D28" s="10"/>
      <c r="E28" s="10">
        <v>15720</v>
      </c>
      <c r="F28" s="10"/>
      <c r="G28" s="10">
        <f t="shared" si="0"/>
        <v>15720</v>
      </c>
      <c r="H28" s="16">
        <f t="shared" si="1"/>
        <v>6.72</v>
      </c>
      <c r="I28" s="15">
        <f t="shared" si="2"/>
        <v>2.1999999999999999E-2</v>
      </c>
      <c r="J28" s="15">
        <f>ROUND(G28/8095-1,2)</f>
        <v>0.94</v>
      </c>
    </row>
    <row r="29" spans="1:10" x14ac:dyDescent="0.25">
      <c r="A29" s="1" t="s">
        <v>16</v>
      </c>
      <c r="B29" s="1" t="s">
        <v>18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ROUND(G29/1980-1,2)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ROUND(G30/1830-1,2)</f>
        <v>-1</v>
      </c>
    </row>
    <row r="31" spans="1:10" x14ac:dyDescent="0.25">
      <c r="A31" s="1" t="s">
        <v>16</v>
      </c>
      <c r="B31" s="1" t="s">
        <v>43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ROUND(G31/12220-1,2)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120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35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218480</v>
      </c>
      <c r="D36" s="10"/>
      <c r="E36" s="10"/>
      <c r="F36" s="10">
        <v>120</v>
      </c>
      <c r="G36" s="10">
        <f t="shared" si="0"/>
        <v>218600</v>
      </c>
      <c r="H36" s="16">
        <f t="shared" si="1"/>
        <v>93.42</v>
      </c>
      <c r="I36" s="15">
        <f t="shared" si="2"/>
        <v>0.3</v>
      </c>
      <c r="J36" s="15">
        <f>ROUND(G36/236300-1,2)</f>
        <v>-7.0000000000000007E-2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30980</v>
      </c>
      <c r="G37" s="10">
        <f t="shared" si="0"/>
        <v>30980</v>
      </c>
      <c r="H37" s="16">
        <f t="shared" si="1"/>
        <v>13.24</v>
      </c>
      <c r="I37" s="15">
        <f t="shared" si="2"/>
        <v>4.2000000000000003E-2</v>
      </c>
      <c r="J37" s="15">
        <f>ROUND(G37/23740-1,2)</f>
        <v>0.3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26195</v>
      </c>
      <c r="F38" s="10"/>
      <c r="G38" s="10">
        <f t="shared" si="0"/>
        <v>26195</v>
      </c>
      <c r="H38" s="16">
        <f t="shared" si="1"/>
        <v>11.19</v>
      </c>
      <c r="I38" s="15">
        <f t="shared" si="2"/>
        <v>3.5999999999999997E-2</v>
      </c>
      <c r="J38" s="15">
        <f>ROUND(G38/21800-1,2)</f>
        <v>0.2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5" t="s">
        <v>12</v>
      </c>
      <c r="B41" s="25"/>
      <c r="C41" s="11">
        <f t="shared" ref="C41:H41" si="3">SUM(C8:C40)</f>
        <v>524415</v>
      </c>
      <c r="D41" s="11">
        <f t="shared" si="3"/>
        <v>0</v>
      </c>
      <c r="E41" s="11">
        <f t="shared" si="3"/>
        <v>173618</v>
      </c>
      <c r="F41" s="11">
        <f t="shared" si="3"/>
        <v>31260</v>
      </c>
      <c r="G41" s="11">
        <f t="shared" si="3"/>
        <v>729293</v>
      </c>
      <c r="H41" s="14">
        <f t="shared" si="3"/>
        <v>311.69</v>
      </c>
      <c r="I41" s="17"/>
      <c r="J41" s="17"/>
    </row>
    <row r="42" spans="1:10" x14ac:dyDescent="0.25">
      <c r="A42" s="25" t="s">
        <v>14</v>
      </c>
      <c r="B42" s="25"/>
      <c r="C42" s="12">
        <f>ROUND(C41/G41,2)</f>
        <v>0.72</v>
      </c>
      <c r="D42" s="12">
        <f>ROUND(D41/G41,2)</f>
        <v>0</v>
      </c>
      <c r="E42" s="12">
        <f>ROUND(E41/G41,2)</f>
        <v>0.24</v>
      </c>
      <c r="F42" s="12">
        <f>ROUND(F41/G41,2)</f>
        <v>0.04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5" t="s">
        <v>53</v>
      </c>
      <c r="B47" s="25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0" t="s">
        <v>54</v>
      </c>
      <c r="B48" s="20"/>
      <c r="C48" s="10">
        <v>305935</v>
      </c>
      <c r="D48" s="10">
        <v>0</v>
      </c>
      <c r="E48" s="10">
        <v>147423</v>
      </c>
      <c r="F48" s="10">
        <v>160</v>
      </c>
      <c r="G48" s="10">
        <f>SUM(C48:F48)</f>
        <v>453518</v>
      </c>
      <c r="H48" s="16">
        <f>ROUND(G48/2340,2)</f>
        <v>193.81</v>
      </c>
      <c r="I48" s="9"/>
      <c r="J48" s="9"/>
    </row>
    <row r="49" spans="1:10" x14ac:dyDescent="0.25">
      <c r="A49" s="20" t="s">
        <v>55</v>
      </c>
      <c r="B49" s="20"/>
      <c r="C49" s="10">
        <v>218480</v>
      </c>
      <c r="D49" s="10">
        <v>0</v>
      </c>
      <c r="E49" s="10">
        <v>26195</v>
      </c>
      <c r="F49" s="10">
        <v>31100</v>
      </c>
      <c r="G49" s="10">
        <f>SUM(C49:F49)</f>
        <v>275775</v>
      </c>
      <c r="H49" s="16">
        <f>ROUND(G49/2340,2)</f>
        <v>117.85</v>
      </c>
      <c r="I49" s="9"/>
      <c r="J49" s="9"/>
    </row>
    <row r="50" spans="1:10" x14ac:dyDescent="0.25">
      <c r="A50" s="20" t="s">
        <v>56</v>
      </c>
      <c r="B50" s="20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ROUND(G50/2340,2)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57</v>
      </c>
      <c r="B55" s="25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0" t="s">
        <v>58</v>
      </c>
      <c r="B56" s="20"/>
      <c r="C56" s="15">
        <f>ROUND(0.6742, 4)</f>
        <v>0.67420000000000002</v>
      </c>
      <c r="D56" s="15">
        <f>ROUND(0.6617, 4)</f>
        <v>0.66169999999999995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3" t="s">
        <v>64</v>
      </c>
      <c r="J56" s="23" t="s">
        <v>65</v>
      </c>
    </row>
    <row r="57" spans="1:10" x14ac:dyDescent="0.25">
      <c r="A57" s="20" t="s">
        <v>66</v>
      </c>
      <c r="B57" s="20"/>
      <c r="C57" s="15">
        <f>ROUND(0.6329, 4)</f>
        <v>0.63290000000000002</v>
      </c>
      <c r="D57" s="15">
        <f>ROUND(0.6243, 4)</f>
        <v>0.62429999999999997</v>
      </c>
      <c r="E57" s="15">
        <f>ROUND(0.7608, 4)</f>
        <v>0.76080000000000003</v>
      </c>
      <c r="F57" s="8"/>
      <c r="G57" s="14" t="s">
        <v>67</v>
      </c>
      <c r="H57" s="27"/>
      <c r="I57" s="24"/>
      <c r="J57" s="24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5" t="s">
        <v>68</v>
      </c>
      <c r="B61" s="25"/>
      <c r="C61" s="14" t="s">
        <v>2</v>
      </c>
      <c r="D61" s="14" t="s">
        <v>247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0" t="s">
        <v>73</v>
      </c>
      <c r="B62" s="20"/>
      <c r="C62" s="16">
        <v>93.42</v>
      </c>
      <c r="D62" s="16">
        <v>106.04</v>
      </c>
      <c r="E62" s="16">
        <v>91.13</v>
      </c>
      <c r="F62" s="16">
        <v>54.95</v>
      </c>
      <c r="G62" s="16">
        <f>12/10*C62</f>
        <v>112.104</v>
      </c>
      <c r="H62" s="8"/>
      <c r="I62" s="9"/>
      <c r="J62" s="9"/>
    </row>
    <row r="63" spans="1:10" x14ac:dyDescent="0.25">
      <c r="A63" s="20" t="s">
        <v>74</v>
      </c>
      <c r="B63" s="20"/>
      <c r="C63" s="16">
        <v>35.76</v>
      </c>
      <c r="D63" s="16">
        <v>58.69</v>
      </c>
      <c r="E63" s="16">
        <v>61.18</v>
      </c>
      <c r="F63" s="16">
        <v>62.89</v>
      </c>
      <c r="G63" s="16">
        <f>12/10*C63</f>
        <v>42.911999999999999</v>
      </c>
      <c r="H63" s="8"/>
      <c r="I63" s="9"/>
      <c r="J63" s="9"/>
    </row>
    <row r="64" spans="1:10" x14ac:dyDescent="0.25">
      <c r="A64" s="20" t="s">
        <v>75</v>
      </c>
      <c r="B64" s="20"/>
      <c r="C64" s="16">
        <v>193.81</v>
      </c>
      <c r="D64" s="16">
        <v>247.5</v>
      </c>
      <c r="E64" s="16">
        <v>287.25</v>
      </c>
      <c r="F64" s="16">
        <v>278.91000000000003</v>
      </c>
      <c r="G64" s="16">
        <f>12/10*C64</f>
        <v>232.572</v>
      </c>
      <c r="H64" s="8"/>
      <c r="I64" s="9"/>
      <c r="J64" s="9"/>
    </row>
    <row r="65" spans="1:10" x14ac:dyDescent="0.25">
      <c r="A65" s="20" t="s">
        <v>76</v>
      </c>
      <c r="B65" s="20"/>
      <c r="C65" s="16">
        <v>117.85</v>
      </c>
      <c r="D65" s="16">
        <v>127.9</v>
      </c>
      <c r="E65" s="16">
        <v>114.69</v>
      </c>
      <c r="F65" s="16">
        <v>78.319999999999993</v>
      </c>
      <c r="G65" s="16">
        <f>12/10*C65</f>
        <v>141.41999999999999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2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248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8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5480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157</v>
      </c>
      <c r="F9" s="10"/>
      <c r="G9" s="10">
        <f t="shared" ref="G9:G42" si="0">SUM(C9:F9)</f>
        <v>157</v>
      </c>
      <c r="H9" s="16">
        <f t="shared" ref="H9:H42" si="1">ROUND(G9/5480,2)</f>
        <v>0.03</v>
      </c>
      <c r="I9" s="15">
        <f t="shared" ref="I9:I42" si="2">ROUND(G9/$G$43,3)</f>
        <v>0</v>
      </c>
      <c r="J9" s="15">
        <f>ROUND(G9/151-1,2)</f>
        <v>0.04</v>
      </c>
    </row>
    <row r="10" spans="1:10" x14ac:dyDescent="0.25">
      <c r="A10" s="1" t="s">
        <v>16</v>
      </c>
      <c r="B10" s="1" t="s">
        <v>19</v>
      </c>
      <c r="C10" s="10">
        <v>213950</v>
      </c>
      <c r="D10" s="10"/>
      <c r="E10" s="10">
        <v>2140</v>
      </c>
      <c r="F10" s="10">
        <v>910</v>
      </c>
      <c r="G10" s="10">
        <f t="shared" si="0"/>
        <v>217000</v>
      </c>
      <c r="H10" s="16">
        <f t="shared" si="1"/>
        <v>39.6</v>
      </c>
      <c r="I10" s="15">
        <f t="shared" si="2"/>
        <v>0.105</v>
      </c>
      <c r="J10" s="15">
        <f>ROUND(G10/180300-1,2)</f>
        <v>0.2</v>
      </c>
    </row>
    <row r="11" spans="1:10" x14ac:dyDescent="0.25">
      <c r="A11" s="1" t="s">
        <v>16</v>
      </c>
      <c r="B11" s="1" t="s">
        <v>20</v>
      </c>
      <c r="C11" s="10">
        <v>185670</v>
      </c>
      <c r="D11" s="10"/>
      <c r="E11" s="10"/>
      <c r="F11" s="10"/>
      <c r="G11" s="10">
        <f t="shared" si="0"/>
        <v>185670</v>
      </c>
      <c r="H11" s="16">
        <f t="shared" si="1"/>
        <v>33.880000000000003</v>
      </c>
      <c r="I11" s="15">
        <f t="shared" si="2"/>
        <v>0.09</v>
      </c>
      <c r="J11" s="15">
        <f>ROUND(G11/192600-1,2)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158</v>
      </c>
      <c r="F12" s="10"/>
      <c r="G12" s="10">
        <f t="shared" si="0"/>
        <v>158</v>
      </c>
      <c r="H12" s="16">
        <f t="shared" si="1"/>
        <v>0.03</v>
      </c>
      <c r="I12" s="15">
        <f t="shared" si="2"/>
        <v>0</v>
      </c>
      <c r="J12" s="15">
        <f>ROUND(G12/253-1,2)</f>
        <v>-0.38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121</v>
      </c>
      <c r="F13" s="10"/>
      <c r="G13" s="10">
        <f t="shared" si="0"/>
        <v>121</v>
      </c>
      <c r="H13" s="16">
        <f t="shared" si="1"/>
        <v>0.02</v>
      </c>
      <c r="I13" s="15">
        <f t="shared" si="2"/>
        <v>0</v>
      </c>
      <c r="J13" s="15">
        <f>ROUND(G13/200-1,2)</f>
        <v>-0.4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1400</v>
      </c>
      <c r="F14" s="10"/>
      <c r="G14" s="10">
        <f t="shared" si="0"/>
        <v>1400</v>
      </c>
      <c r="H14" s="16">
        <f t="shared" si="1"/>
        <v>0.26</v>
      </c>
      <c r="I14" s="15">
        <f t="shared" si="2"/>
        <v>1E-3</v>
      </c>
      <c r="J14" s="15">
        <f>ROUND(G14/2440-1,2)</f>
        <v>-0.43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46140</v>
      </c>
      <c r="F15" s="10"/>
      <c r="G15" s="10">
        <f t="shared" si="0"/>
        <v>46140</v>
      </c>
      <c r="H15" s="16">
        <f t="shared" si="1"/>
        <v>8.42</v>
      </c>
      <c r="I15" s="15">
        <f t="shared" si="2"/>
        <v>2.1999999999999999E-2</v>
      </c>
      <c r="J15" s="15">
        <f>ROUND(G15/54380-1,2)</f>
        <v>-0.15</v>
      </c>
    </row>
    <row r="16" spans="1:10" x14ac:dyDescent="0.25">
      <c r="A16" s="1" t="s">
        <v>16</v>
      </c>
      <c r="B16" s="1" t="s">
        <v>24</v>
      </c>
      <c r="C16" s="10">
        <v>299270</v>
      </c>
      <c r="D16" s="10"/>
      <c r="E16" s="10">
        <v>17570</v>
      </c>
      <c r="F16" s="10">
        <v>390</v>
      </c>
      <c r="G16" s="10">
        <f t="shared" si="0"/>
        <v>317230</v>
      </c>
      <c r="H16" s="16">
        <f t="shared" si="1"/>
        <v>57.89</v>
      </c>
      <c r="I16" s="15">
        <f t="shared" si="2"/>
        <v>0.153</v>
      </c>
      <c r="J16" s="15">
        <f>ROUND(G16/303520-1,2)</f>
        <v>0.05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6115</v>
      </c>
      <c r="F17" s="10"/>
      <c r="G17" s="10">
        <f t="shared" si="0"/>
        <v>6115</v>
      </c>
      <c r="H17" s="16">
        <f t="shared" si="1"/>
        <v>1.1200000000000001</v>
      </c>
      <c r="I17" s="15">
        <f t="shared" si="2"/>
        <v>3.0000000000000001E-3</v>
      </c>
      <c r="J17" s="15">
        <f>ROUND(G17/7245-1,2)</f>
        <v>-0.16</v>
      </c>
    </row>
    <row r="18" spans="1:10" x14ac:dyDescent="0.25">
      <c r="A18" s="1" t="s">
        <v>16</v>
      </c>
      <c r="B18" s="1" t="s">
        <v>26</v>
      </c>
      <c r="C18" s="10">
        <v>344150</v>
      </c>
      <c r="D18" s="10"/>
      <c r="E18" s="10"/>
      <c r="F18" s="10">
        <v>1260</v>
      </c>
      <c r="G18" s="10">
        <f t="shared" si="0"/>
        <v>345410</v>
      </c>
      <c r="H18" s="16">
        <f t="shared" si="1"/>
        <v>63.03</v>
      </c>
      <c r="I18" s="15">
        <f t="shared" si="2"/>
        <v>0.16700000000000001</v>
      </c>
      <c r="J18" s="15">
        <f>ROUND(G18/324420-1,2)</f>
        <v>0.06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1845</v>
      </c>
      <c r="F19" s="10"/>
      <c r="G19" s="10">
        <f t="shared" si="0"/>
        <v>1845</v>
      </c>
      <c r="H19" s="16">
        <f t="shared" si="1"/>
        <v>0.34</v>
      </c>
      <c r="I19" s="15">
        <f t="shared" si="2"/>
        <v>1E-3</v>
      </c>
      <c r="J19" s="15">
        <f>ROUND(G19/1034-1,2)</f>
        <v>0.78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1098</v>
      </c>
      <c r="F20" s="10"/>
      <c r="G20" s="10">
        <f t="shared" si="0"/>
        <v>1098</v>
      </c>
      <c r="H20" s="16">
        <f t="shared" si="1"/>
        <v>0.2</v>
      </c>
      <c r="I20" s="15">
        <f t="shared" si="2"/>
        <v>1E-3</v>
      </c>
      <c r="J20" s="15">
        <f>ROUND(G20/602-1,2)</f>
        <v>0.82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134</v>
      </c>
      <c r="F21" s="10"/>
      <c r="G21" s="10">
        <f t="shared" si="0"/>
        <v>134</v>
      </c>
      <c r="H21" s="16">
        <f t="shared" si="1"/>
        <v>0.02</v>
      </c>
      <c r="I21" s="15">
        <f t="shared" si="2"/>
        <v>0</v>
      </c>
      <c r="J21" s="15">
        <f>ROUND(G21/181-1,2)</f>
        <v>-0.26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2650</v>
      </c>
      <c r="F22" s="10"/>
      <c r="G22" s="10">
        <f t="shared" si="0"/>
        <v>2650</v>
      </c>
      <c r="H22" s="16">
        <f t="shared" si="1"/>
        <v>0.48</v>
      </c>
      <c r="I22" s="15">
        <f t="shared" si="2"/>
        <v>1E-3</v>
      </c>
      <c r="J22" s="15">
        <f>ROUND(G22/6280-1,2)</f>
        <v>-0.57999999999999996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1370</v>
      </c>
      <c r="F23" s="10"/>
      <c r="G23" s="10">
        <f t="shared" si="0"/>
        <v>1370</v>
      </c>
      <c r="H23" s="16">
        <f t="shared" si="1"/>
        <v>0.25</v>
      </c>
      <c r="I23" s="15">
        <f t="shared" si="2"/>
        <v>1E-3</v>
      </c>
      <c r="J23" s="15">
        <f>ROUND(G23/1670-1,2)</f>
        <v>-0.18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600</v>
      </c>
      <c r="F24" s="10"/>
      <c r="G24" s="10">
        <f t="shared" si="0"/>
        <v>600</v>
      </c>
      <c r="H24" s="16">
        <f t="shared" si="1"/>
        <v>0.11</v>
      </c>
      <c r="I24" s="15">
        <f t="shared" si="2"/>
        <v>0</v>
      </c>
      <c r="J24" s="15">
        <f>ROUND(G24/740-1,2)</f>
        <v>-0.19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1315</v>
      </c>
      <c r="F25" s="10"/>
      <c r="G25" s="10">
        <f t="shared" si="0"/>
        <v>1315</v>
      </c>
      <c r="H25" s="16">
        <f t="shared" si="1"/>
        <v>0.24</v>
      </c>
      <c r="I25" s="15">
        <f t="shared" si="2"/>
        <v>1E-3</v>
      </c>
      <c r="J25" s="15">
        <f>ROUND(G25/2560-1,2)</f>
        <v>-0.49</v>
      </c>
    </row>
    <row r="26" spans="1:10" x14ac:dyDescent="0.25">
      <c r="A26" s="1" t="s">
        <v>16</v>
      </c>
      <c r="B26" s="1" t="s">
        <v>33</v>
      </c>
      <c r="C26" s="10"/>
      <c r="D26" s="10">
        <v>326</v>
      </c>
      <c r="E26" s="10">
        <v>101</v>
      </c>
      <c r="F26" s="10"/>
      <c r="G26" s="10">
        <f t="shared" si="0"/>
        <v>427</v>
      </c>
      <c r="H26" s="16">
        <f t="shared" si="1"/>
        <v>0.08</v>
      </c>
      <c r="I26" s="15">
        <f t="shared" si="2"/>
        <v>0</v>
      </c>
      <c r="J26" s="15">
        <f>ROUND(G26/529-1,2)</f>
        <v>-0.19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240</v>
      </c>
      <c r="F27" s="10"/>
      <c r="G27" s="10">
        <f t="shared" si="0"/>
        <v>240</v>
      </c>
      <c r="H27" s="16">
        <f t="shared" si="1"/>
        <v>0.04</v>
      </c>
      <c r="I27" s="15">
        <f t="shared" si="2"/>
        <v>0</v>
      </c>
      <c r="J27" s="15">
        <f>ROUND(G27/690-1,2)</f>
        <v>-0.65</v>
      </c>
    </row>
    <row r="28" spans="1:10" x14ac:dyDescent="0.25">
      <c r="A28" s="1" t="s">
        <v>16</v>
      </c>
      <c r="B28" s="1" t="s">
        <v>35</v>
      </c>
      <c r="C28" s="10"/>
      <c r="D28" s="10">
        <v>220</v>
      </c>
      <c r="E28" s="10"/>
      <c r="F28" s="10"/>
      <c r="G28" s="10">
        <f t="shared" si="0"/>
        <v>220</v>
      </c>
      <c r="H28" s="16">
        <f t="shared" si="1"/>
        <v>0.04</v>
      </c>
      <c r="I28" s="15">
        <f t="shared" si="2"/>
        <v>0</v>
      </c>
      <c r="J28" s="15">
        <f>ROUND(G28/640-1,2)</f>
        <v>-0.66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7500</v>
      </c>
      <c r="F29" s="10"/>
      <c r="G29" s="10">
        <f t="shared" si="0"/>
        <v>7500</v>
      </c>
      <c r="H29" s="16">
        <f t="shared" si="1"/>
        <v>1.37</v>
      </c>
      <c r="I29" s="15">
        <f t="shared" si="2"/>
        <v>4.0000000000000001E-3</v>
      </c>
      <c r="J29" s="15">
        <f>ROUND(G29/11341-1,2)</f>
        <v>-0.34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5040</v>
      </c>
      <c r="F30" s="10"/>
      <c r="G30" s="10">
        <f t="shared" si="0"/>
        <v>5040</v>
      </c>
      <c r="H30" s="16">
        <f t="shared" si="1"/>
        <v>0.92</v>
      </c>
      <c r="I30" s="15">
        <f t="shared" si="2"/>
        <v>2E-3</v>
      </c>
      <c r="J30" s="15">
        <f>ROUND(G30/7056-1,2)</f>
        <v>-0.28999999999999998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79180</v>
      </c>
      <c r="F31" s="10"/>
      <c r="G31" s="10">
        <f t="shared" si="0"/>
        <v>79180</v>
      </c>
      <c r="H31" s="16">
        <f t="shared" si="1"/>
        <v>14.45</v>
      </c>
      <c r="I31" s="15">
        <f t="shared" si="2"/>
        <v>3.7999999999999999E-2</v>
      </c>
      <c r="J31" s="15">
        <f>ROUND(G31/78690-1,2)</f>
        <v>0.01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4560</v>
      </c>
      <c r="F32" s="10"/>
      <c r="G32" s="10">
        <f t="shared" si="0"/>
        <v>4560</v>
      </c>
      <c r="H32" s="16">
        <f t="shared" si="1"/>
        <v>0.83</v>
      </c>
      <c r="I32" s="15">
        <f t="shared" si="2"/>
        <v>2E-3</v>
      </c>
      <c r="J32" s="15">
        <f>ROUND(G32/7000-1,2)</f>
        <v>-0.35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16200</v>
      </c>
      <c r="F33" s="10"/>
      <c r="G33" s="10">
        <f t="shared" si="0"/>
        <v>16200</v>
      </c>
      <c r="H33" s="16">
        <f t="shared" si="1"/>
        <v>2.96</v>
      </c>
      <c r="I33" s="15">
        <f t="shared" si="2"/>
        <v>8.0000000000000002E-3</v>
      </c>
      <c r="J33" s="15">
        <f>ROUND(G33/18670-1,2)</f>
        <v>-0.13</v>
      </c>
    </row>
    <row r="34" spans="1:10" x14ac:dyDescent="0.25">
      <c r="A34" s="1" t="s">
        <v>16</v>
      </c>
      <c r="B34" s="1" t="s">
        <v>41</v>
      </c>
      <c r="C34" s="10">
        <v>13560</v>
      </c>
      <c r="D34" s="10">
        <v>320180</v>
      </c>
      <c r="E34" s="10">
        <v>73110</v>
      </c>
      <c r="F34" s="10">
        <v>3300</v>
      </c>
      <c r="G34" s="10">
        <f t="shared" si="0"/>
        <v>410150</v>
      </c>
      <c r="H34" s="16">
        <f t="shared" si="1"/>
        <v>74.84</v>
      </c>
      <c r="I34" s="15">
        <f t="shared" si="2"/>
        <v>0.19800000000000001</v>
      </c>
      <c r="J34" s="15">
        <f>ROUND(G34/707420-1,2)</f>
        <v>-0.42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ROUND(G35/4310-1,2)</f>
        <v>-1</v>
      </c>
    </row>
    <row r="36" spans="1:10" x14ac:dyDescent="0.25">
      <c r="A36" s="1" t="s">
        <v>44</v>
      </c>
      <c r="B36" s="1" t="s">
        <v>45</v>
      </c>
      <c r="C36" s="10">
        <v>334690</v>
      </c>
      <c r="D36" s="10"/>
      <c r="E36" s="10"/>
      <c r="F36" s="10">
        <v>720</v>
      </c>
      <c r="G36" s="10">
        <f t="shared" si="0"/>
        <v>335410</v>
      </c>
      <c r="H36" s="16">
        <f t="shared" si="1"/>
        <v>61.21</v>
      </c>
      <c r="I36" s="15">
        <f t="shared" si="2"/>
        <v>0.16200000000000001</v>
      </c>
      <c r="J36" s="15">
        <f>ROUND(G36/468330-1,2)</f>
        <v>-0.28000000000000003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19790</v>
      </c>
      <c r="G37" s="10">
        <f t="shared" si="0"/>
        <v>19790</v>
      </c>
      <c r="H37" s="16">
        <f t="shared" si="1"/>
        <v>3.61</v>
      </c>
      <c r="I37" s="15">
        <f t="shared" si="2"/>
        <v>0.01</v>
      </c>
      <c r="J37" s="15">
        <f>ROUND(G37/44180-1,2)</f>
        <v>-0.55000000000000004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66085</v>
      </c>
      <c r="F38" s="10"/>
      <c r="G38" s="10">
        <f t="shared" si="0"/>
        <v>66085</v>
      </c>
      <c r="H38" s="16">
        <f t="shared" si="1"/>
        <v>12.06</v>
      </c>
      <c r="I38" s="15">
        <f t="shared" si="2"/>
        <v>3.2000000000000001E-2</v>
      </c>
      <c r="J38" s="15">
        <f>ROUND(G38/51640-1,2)</f>
        <v>0.28000000000000003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86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ROUND(G41/230-1,2)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5" t="s">
        <v>12</v>
      </c>
      <c r="B43" s="25"/>
      <c r="C43" s="11">
        <f t="shared" ref="C43:H43" si="3">SUM(C8:C42)</f>
        <v>1391290</v>
      </c>
      <c r="D43" s="11">
        <f t="shared" si="3"/>
        <v>320726</v>
      </c>
      <c r="E43" s="11">
        <f t="shared" si="3"/>
        <v>334829</v>
      </c>
      <c r="F43" s="11">
        <f t="shared" si="3"/>
        <v>26370</v>
      </c>
      <c r="G43" s="11">
        <f t="shared" si="3"/>
        <v>2073215</v>
      </c>
      <c r="H43" s="14">
        <f t="shared" si="3"/>
        <v>378.33000000000004</v>
      </c>
      <c r="I43" s="17"/>
      <c r="J43" s="17"/>
    </row>
    <row r="44" spans="1:10" x14ac:dyDescent="0.25">
      <c r="A44" s="25" t="s">
        <v>14</v>
      </c>
      <c r="B44" s="25"/>
      <c r="C44" s="12">
        <f>ROUND(C43/G43,2)</f>
        <v>0.67</v>
      </c>
      <c r="D44" s="12">
        <f>ROUND(D43/G43,2)</f>
        <v>0.15</v>
      </c>
      <c r="E44" s="12">
        <f>ROUND(E43/G43,2)</f>
        <v>0.16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5" t="s">
        <v>53</v>
      </c>
      <c r="B49" s="25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0" t="s">
        <v>54</v>
      </c>
      <c r="B50" s="20"/>
      <c r="C50" s="10">
        <v>1056600</v>
      </c>
      <c r="D50" s="10">
        <v>320726</v>
      </c>
      <c r="E50" s="10">
        <v>268744</v>
      </c>
      <c r="F50" s="10">
        <v>5860</v>
      </c>
      <c r="G50" s="10">
        <f>SUM(C50:F50)</f>
        <v>1651930</v>
      </c>
      <c r="H50" s="16">
        <f>ROUND(G50/5480,2)</f>
        <v>301.45</v>
      </c>
      <c r="I50" s="9"/>
      <c r="J50" s="9"/>
    </row>
    <row r="51" spans="1:10" x14ac:dyDescent="0.25">
      <c r="A51" s="20" t="s">
        <v>55</v>
      </c>
      <c r="B51" s="20"/>
      <c r="C51" s="10">
        <v>334690</v>
      </c>
      <c r="D51" s="10">
        <v>0</v>
      </c>
      <c r="E51" s="10">
        <v>66085</v>
      </c>
      <c r="F51" s="10">
        <v>20510</v>
      </c>
      <c r="G51" s="10">
        <f>SUM(C51:F51)</f>
        <v>421285</v>
      </c>
      <c r="H51" s="16">
        <f>ROUND(G51/5480,2)</f>
        <v>76.88</v>
      </c>
      <c r="I51" s="9"/>
      <c r="J51" s="9"/>
    </row>
    <row r="52" spans="1:10" x14ac:dyDescent="0.25">
      <c r="A52" s="20" t="s">
        <v>56</v>
      </c>
      <c r="B52" s="20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ROUND(G52/5480,2)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57</v>
      </c>
      <c r="B57" s="25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0" t="s">
        <v>58</v>
      </c>
      <c r="B58" s="20"/>
      <c r="C58" s="15">
        <f>ROUND(0.8302, 4)</f>
        <v>0.83020000000000005</v>
      </c>
      <c r="D58" s="15">
        <f>ROUND(0.7944, 4)</f>
        <v>0.7944</v>
      </c>
      <c r="E58" s="15">
        <f>ROUND(0.777, 4)</f>
        <v>0.77700000000000002</v>
      </c>
      <c r="F58" s="8"/>
      <c r="G58" s="14" t="s">
        <v>62</v>
      </c>
      <c r="H58" s="26" t="s">
        <v>63</v>
      </c>
      <c r="I58" s="23" t="s">
        <v>64</v>
      </c>
      <c r="J58" s="23" t="s">
        <v>65</v>
      </c>
    </row>
    <row r="59" spans="1:10" x14ac:dyDescent="0.25">
      <c r="A59" s="20" t="s">
        <v>66</v>
      </c>
      <c r="B59" s="20"/>
      <c r="C59" s="15">
        <f>ROUND(0.8164, 4)</f>
        <v>0.81640000000000001</v>
      </c>
      <c r="D59" s="15">
        <f>ROUND(0.7845, 4)</f>
        <v>0.78449999999999998</v>
      </c>
      <c r="E59" s="15">
        <f>ROUND(0.7608, 4)</f>
        <v>0.76080000000000003</v>
      </c>
      <c r="F59" s="8"/>
      <c r="G59" s="14" t="s">
        <v>67</v>
      </c>
      <c r="H59" s="27"/>
      <c r="I59" s="24"/>
      <c r="J59" s="24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5" t="s">
        <v>68</v>
      </c>
      <c r="B63" s="25"/>
      <c r="C63" s="14" t="s">
        <v>2</v>
      </c>
      <c r="D63" s="14" t="s">
        <v>250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0" t="s">
        <v>73</v>
      </c>
      <c r="B64" s="20"/>
      <c r="C64" s="16">
        <v>61.21</v>
      </c>
      <c r="D64" s="16">
        <v>95.39</v>
      </c>
      <c r="E64" s="16">
        <v>91.13</v>
      </c>
      <c r="F64" s="16">
        <v>54.95</v>
      </c>
      <c r="G64" s="16">
        <f>12/10*C64</f>
        <v>73.451999999999998</v>
      </c>
      <c r="H64" s="8"/>
      <c r="I64" s="9"/>
      <c r="J64" s="9"/>
    </row>
    <row r="65" spans="1:10" x14ac:dyDescent="0.25">
      <c r="A65" s="20" t="s">
        <v>74</v>
      </c>
      <c r="B65" s="20"/>
      <c r="C65" s="16">
        <v>63.03</v>
      </c>
      <c r="D65" s="16">
        <v>72.650000000000006</v>
      </c>
      <c r="E65" s="16">
        <v>61.18</v>
      </c>
      <c r="F65" s="16">
        <v>62.89</v>
      </c>
      <c r="G65" s="16">
        <f>12/10*C65</f>
        <v>75.635999999999996</v>
      </c>
      <c r="H65" s="8"/>
      <c r="I65" s="9"/>
      <c r="J65" s="9"/>
    </row>
    <row r="66" spans="1:10" x14ac:dyDescent="0.25">
      <c r="A66" s="20" t="s">
        <v>75</v>
      </c>
      <c r="B66" s="20"/>
      <c r="C66" s="16">
        <v>301.45</v>
      </c>
      <c r="D66" s="16">
        <v>381.22</v>
      </c>
      <c r="E66" s="16">
        <v>287.25</v>
      </c>
      <c r="F66" s="16">
        <v>278.91000000000003</v>
      </c>
      <c r="G66" s="16">
        <f>12/10*C66</f>
        <v>361.73999999999995</v>
      </c>
      <c r="H66" s="8"/>
      <c r="I66" s="9"/>
      <c r="J66" s="9"/>
    </row>
    <row r="67" spans="1:10" x14ac:dyDescent="0.25">
      <c r="A67" s="20" t="s">
        <v>76</v>
      </c>
      <c r="B67" s="20"/>
      <c r="C67" s="16">
        <v>76.88</v>
      </c>
      <c r="D67" s="16">
        <v>113.4</v>
      </c>
      <c r="E67" s="16">
        <v>114.69</v>
      </c>
      <c r="F67" s="16">
        <v>78.319999999999993</v>
      </c>
      <c r="G67" s="16">
        <f>12/10*C67</f>
        <v>92.255999999999986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1" t="s">
        <v>60</v>
      </c>
      <c r="B70" s="22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251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4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6878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95</v>
      </c>
      <c r="F9" s="10"/>
      <c r="G9" s="10">
        <f t="shared" ref="G9:G47" si="0">SUM(C9:F9)</f>
        <v>95</v>
      </c>
      <c r="H9" s="16">
        <f t="shared" ref="H9:H47" si="1">ROUND(G9/6878,2)</f>
        <v>0.01</v>
      </c>
      <c r="I9" s="15">
        <f t="shared" ref="I9:I47" si="2">ROUND(G9/$G$48,3)</f>
        <v>0</v>
      </c>
      <c r="J9" s="15">
        <f>ROUND(G9/58-1,2)</f>
        <v>0.64</v>
      </c>
    </row>
    <row r="10" spans="1:10" x14ac:dyDescent="0.25">
      <c r="A10" s="1" t="s">
        <v>16</v>
      </c>
      <c r="B10" s="1" t="s">
        <v>19</v>
      </c>
      <c r="C10" s="10">
        <v>190710</v>
      </c>
      <c r="D10" s="10"/>
      <c r="E10" s="10">
        <v>2930</v>
      </c>
      <c r="F10" s="10">
        <v>660</v>
      </c>
      <c r="G10" s="10">
        <f t="shared" si="0"/>
        <v>194300</v>
      </c>
      <c r="H10" s="16">
        <f t="shared" si="1"/>
        <v>28.25</v>
      </c>
      <c r="I10" s="15">
        <f t="shared" si="2"/>
        <v>9.5000000000000001E-2</v>
      </c>
      <c r="J10" s="15">
        <f>ROUND(G10/178980-1,2)</f>
        <v>0.09</v>
      </c>
    </row>
    <row r="11" spans="1:10" x14ac:dyDescent="0.25">
      <c r="A11" s="1" t="s">
        <v>16</v>
      </c>
      <c r="B11" s="1" t="s">
        <v>20</v>
      </c>
      <c r="C11" s="10">
        <v>213590</v>
      </c>
      <c r="D11" s="10"/>
      <c r="E11" s="10"/>
      <c r="F11" s="10"/>
      <c r="G11" s="10">
        <f t="shared" si="0"/>
        <v>213590</v>
      </c>
      <c r="H11" s="16">
        <f t="shared" si="1"/>
        <v>31.05</v>
      </c>
      <c r="I11" s="15">
        <f t="shared" si="2"/>
        <v>0.104</v>
      </c>
      <c r="J11" s="15">
        <f>ROUND(G11/221420-1,2)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404</v>
      </c>
      <c r="F12" s="10"/>
      <c r="G12" s="10">
        <f t="shared" si="0"/>
        <v>404</v>
      </c>
      <c r="H12" s="16">
        <f t="shared" si="1"/>
        <v>0.06</v>
      </c>
      <c r="I12" s="15">
        <f t="shared" si="2"/>
        <v>0</v>
      </c>
      <c r="J12" s="15">
        <f>ROUND(G12/124-1,2)</f>
        <v>2.2599999999999998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415</v>
      </c>
      <c r="F13" s="10"/>
      <c r="G13" s="10">
        <f t="shared" si="0"/>
        <v>415</v>
      </c>
      <c r="H13" s="16">
        <f t="shared" si="1"/>
        <v>0.06</v>
      </c>
      <c r="I13" s="15">
        <f t="shared" si="2"/>
        <v>0</v>
      </c>
      <c r="J13" s="15">
        <f>ROUND(G13/205-1,2)</f>
        <v>1.02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2840</v>
      </c>
      <c r="F14" s="10">
        <v>800</v>
      </c>
      <c r="G14" s="10">
        <f t="shared" si="0"/>
        <v>3640</v>
      </c>
      <c r="H14" s="16">
        <f t="shared" si="1"/>
        <v>0.53</v>
      </c>
      <c r="I14" s="15">
        <f t="shared" si="2"/>
        <v>2E-3</v>
      </c>
      <c r="J14" s="15">
        <f>ROUND(G14/3300-1,2)</f>
        <v>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105450</v>
      </c>
      <c r="F15" s="10"/>
      <c r="G15" s="10">
        <f t="shared" si="0"/>
        <v>105450</v>
      </c>
      <c r="H15" s="16">
        <f t="shared" si="1"/>
        <v>15.33</v>
      </c>
      <c r="I15" s="15">
        <f t="shared" si="2"/>
        <v>5.1999999999999998E-2</v>
      </c>
      <c r="J15" s="15">
        <f>ROUND(G15/75860-1,2)</f>
        <v>0.39</v>
      </c>
    </row>
    <row r="16" spans="1:10" x14ac:dyDescent="0.25">
      <c r="A16" s="1" t="s">
        <v>16</v>
      </c>
      <c r="B16" s="1" t="s">
        <v>24</v>
      </c>
      <c r="C16" s="10">
        <v>251350</v>
      </c>
      <c r="D16" s="10"/>
      <c r="E16" s="10">
        <v>25240</v>
      </c>
      <c r="F16" s="10">
        <v>1370</v>
      </c>
      <c r="G16" s="10">
        <f t="shared" si="0"/>
        <v>277960</v>
      </c>
      <c r="H16" s="16">
        <f t="shared" si="1"/>
        <v>40.409999999999997</v>
      </c>
      <c r="I16" s="15">
        <f t="shared" si="2"/>
        <v>0.13600000000000001</v>
      </c>
      <c r="J16" s="15">
        <f>ROUND(G16/289690-1,2)</f>
        <v>-0.04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11425</v>
      </c>
      <c r="F17" s="10"/>
      <c r="G17" s="10">
        <f t="shared" si="0"/>
        <v>11425</v>
      </c>
      <c r="H17" s="16">
        <f t="shared" si="1"/>
        <v>1.66</v>
      </c>
      <c r="I17" s="15">
        <f t="shared" si="2"/>
        <v>6.0000000000000001E-3</v>
      </c>
      <c r="J17" s="15">
        <f>ROUND(G17/7255-1,2)</f>
        <v>0.56999999999999995</v>
      </c>
    </row>
    <row r="18" spans="1:10" x14ac:dyDescent="0.25">
      <c r="A18" s="1" t="s">
        <v>16</v>
      </c>
      <c r="B18" s="1" t="s">
        <v>26</v>
      </c>
      <c r="C18" s="10">
        <v>412470</v>
      </c>
      <c r="D18" s="10"/>
      <c r="E18" s="10"/>
      <c r="F18" s="10">
        <v>1270</v>
      </c>
      <c r="G18" s="10">
        <f t="shared" si="0"/>
        <v>413740</v>
      </c>
      <c r="H18" s="16">
        <f t="shared" si="1"/>
        <v>60.15</v>
      </c>
      <c r="I18" s="15">
        <f t="shared" si="2"/>
        <v>0.20200000000000001</v>
      </c>
      <c r="J18" s="15">
        <f>ROUND(G18/378960-1,2)</f>
        <v>0.09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1865</v>
      </c>
      <c r="F19" s="10"/>
      <c r="G19" s="10">
        <f t="shared" si="0"/>
        <v>1865</v>
      </c>
      <c r="H19" s="16">
        <f t="shared" si="1"/>
        <v>0.27</v>
      </c>
      <c r="I19" s="15">
        <f t="shared" si="2"/>
        <v>1E-3</v>
      </c>
      <c r="J19" s="15">
        <f>ROUND(G19/2400-1,2)</f>
        <v>-0.22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1111</v>
      </c>
      <c r="F20" s="10"/>
      <c r="G20" s="10">
        <f t="shared" si="0"/>
        <v>1111</v>
      </c>
      <c r="H20" s="16">
        <f t="shared" si="1"/>
        <v>0.16</v>
      </c>
      <c r="I20" s="15">
        <f t="shared" si="2"/>
        <v>1E-3</v>
      </c>
      <c r="J20" s="15">
        <f>ROUND(G20/1370-1,2)</f>
        <v>-0.19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136</v>
      </c>
      <c r="F21" s="10"/>
      <c r="G21" s="10">
        <f t="shared" si="0"/>
        <v>136</v>
      </c>
      <c r="H21" s="16">
        <f t="shared" si="1"/>
        <v>0.02</v>
      </c>
      <c r="I21" s="15">
        <f t="shared" si="2"/>
        <v>0</v>
      </c>
      <c r="J21" s="15">
        <f>ROUND(G21/345-1,2)</f>
        <v>-0.61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4080</v>
      </c>
      <c r="F22" s="10"/>
      <c r="G22" s="10">
        <f t="shared" si="0"/>
        <v>4080</v>
      </c>
      <c r="H22" s="16">
        <f t="shared" si="1"/>
        <v>0.59</v>
      </c>
      <c r="I22" s="15">
        <f t="shared" si="2"/>
        <v>2E-3</v>
      </c>
      <c r="J22" s="15">
        <f>ROUND(G22/7890-1,2)</f>
        <v>-0.48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1520</v>
      </c>
      <c r="F23" s="10"/>
      <c r="G23" s="10">
        <f t="shared" si="0"/>
        <v>1520</v>
      </c>
      <c r="H23" s="16">
        <f t="shared" si="1"/>
        <v>0.22</v>
      </c>
      <c r="I23" s="15">
        <f t="shared" si="2"/>
        <v>1E-3</v>
      </c>
      <c r="J23" s="15">
        <f>ROUND(G23/1860-1,2)</f>
        <v>-0.18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4140</v>
      </c>
      <c r="F24" s="10"/>
      <c r="G24" s="10">
        <f t="shared" si="0"/>
        <v>4140</v>
      </c>
      <c r="H24" s="16">
        <f t="shared" si="1"/>
        <v>0.6</v>
      </c>
      <c r="I24" s="15">
        <f t="shared" si="2"/>
        <v>2E-3</v>
      </c>
      <c r="J24" s="15">
        <f>ROUND(G24/1605-1,2)</f>
        <v>1.58</v>
      </c>
    </row>
    <row r="25" spans="1:10" x14ac:dyDescent="0.25">
      <c r="A25" s="1" t="s">
        <v>16</v>
      </c>
      <c r="B25" s="1" t="s">
        <v>33</v>
      </c>
      <c r="C25" s="10"/>
      <c r="D25" s="10">
        <v>426</v>
      </c>
      <c r="E25" s="10">
        <v>226</v>
      </c>
      <c r="F25" s="10"/>
      <c r="G25" s="10">
        <f t="shared" si="0"/>
        <v>652</v>
      </c>
      <c r="H25" s="16">
        <f t="shared" si="1"/>
        <v>0.09</v>
      </c>
      <c r="I25" s="15">
        <f t="shared" si="2"/>
        <v>0</v>
      </c>
      <c r="J25" s="15">
        <f>ROUND(G25/716-1,2)</f>
        <v>-0.09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290</v>
      </c>
      <c r="F26" s="10"/>
      <c r="G26" s="10">
        <f t="shared" si="0"/>
        <v>290</v>
      </c>
      <c r="H26" s="16">
        <f t="shared" si="1"/>
        <v>0.04</v>
      </c>
      <c r="I26" s="15">
        <f t="shared" si="2"/>
        <v>0</v>
      </c>
      <c r="J26" s="15">
        <f>ROUND(G26/512-1,2)</f>
        <v>-0.43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6010</v>
      </c>
      <c r="F27" s="10"/>
      <c r="G27" s="10">
        <f t="shared" si="0"/>
        <v>6010</v>
      </c>
      <c r="H27" s="16">
        <f t="shared" si="1"/>
        <v>0.87</v>
      </c>
      <c r="I27" s="15">
        <f t="shared" si="2"/>
        <v>3.0000000000000001E-3</v>
      </c>
      <c r="J27" s="15">
        <f>ROUND(G27/7050-1,2)</f>
        <v>-0.15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8475</v>
      </c>
      <c r="F28" s="10"/>
      <c r="G28" s="10">
        <f t="shared" si="0"/>
        <v>8475</v>
      </c>
      <c r="H28" s="16">
        <f t="shared" si="1"/>
        <v>1.23</v>
      </c>
      <c r="I28" s="15">
        <f t="shared" si="2"/>
        <v>4.0000000000000001E-3</v>
      </c>
      <c r="J28" s="15">
        <f>ROUND(G28/15108-1,2)</f>
        <v>-0.44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122430</v>
      </c>
      <c r="F29" s="10"/>
      <c r="G29" s="10">
        <f t="shared" si="0"/>
        <v>122430</v>
      </c>
      <c r="H29" s="16">
        <f t="shared" si="1"/>
        <v>17.8</v>
      </c>
      <c r="I29" s="15">
        <f t="shared" si="2"/>
        <v>0.06</v>
      </c>
      <c r="J29" s="15">
        <f>ROUND(G29/92190-1,2)</f>
        <v>0.33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10040</v>
      </c>
      <c r="F30" s="10"/>
      <c r="G30" s="10">
        <f t="shared" si="0"/>
        <v>10040</v>
      </c>
      <c r="H30" s="16">
        <f t="shared" si="1"/>
        <v>1.46</v>
      </c>
      <c r="I30" s="15">
        <f t="shared" si="2"/>
        <v>5.0000000000000001E-3</v>
      </c>
      <c r="J30" s="15">
        <f>ROUND(G30/13780-1,2)</f>
        <v>-0.27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36570</v>
      </c>
      <c r="F31" s="10"/>
      <c r="G31" s="10">
        <f t="shared" si="0"/>
        <v>36570</v>
      </c>
      <c r="H31" s="16">
        <f t="shared" si="1"/>
        <v>5.32</v>
      </c>
      <c r="I31" s="15">
        <f t="shared" si="2"/>
        <v>1.7999999999999999E-2</v>
      </c>
      <c r="J31" s="15">
        <f>ROUND(G31/30840-1,2)</f>
        <v>0.19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190740</v>
      </c>
      <c r="F32" s="10">
        <v>16700</v>
      </c>
      <c r="G32" s="10">
        <f t="shared" si="0"/>
        <v>207440</v>
      </c>
      <c r="H32" s="16">
        <f t="shared" si="1"/>
        <v>30.16</v>
      </c>
      <c r="I32" s="15">
        <f t="shared" si="2"/>
        <v>0.10100000000000001</v>
      </c>
      <c r="J32" s="15">
        <f>ROUND(G32/122940-1,2)</f>
        <v>0.69</v>
      </c>
    </row>
    <row r="33" spans="1:10" x14ac:dyDescent="0.25">
      <c r="A33" s="1" t="s">
        <v>16</v>
      </c>
      <c r="B33" s="1" t="s">
        <v>243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ROUND(G34/350-1,2)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ROUND(G35/4260-1,2)</f>
        <v>-1</v>
      </c>
    </row>
    <row r="36" spans="1:10" x14ac:dyDescent="0.25">
      <c r="A36" s="1" t="s">
        <v>16</v>
      </c>
      <c r="B36" s="1" t="s">
        <v>127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ROUND(G36/368-1,2)</f>
        <v>-1</v>
      </c>
    </row>
    <row r="37" spans="1:10" x14ac:dyDescent="0.25">
      <c r="A37" s="1" t="s">
        <v>16</v>
      </c>
      <c r="B37" s="1" t="s">
        <v>34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ROUND(G37/550-1,2)</f>
        <v>-1</v>
      </c>
    </row>
    <row r="38" spans="1:10" x14ac:dyDescent="0.25">
      <c r="A38" s="1" t="s">
        <v>16</v>
      </c>
      <c r="B38" s="1" t="s">
        <v>129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145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120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300580</v>
      </c>
      <c r="D41" s="10"/>
      <c r="E41" s="10"/>
      <c r="F41" s="10">
        <v>180</v>
      </c>
      <c r="G41" s="10">
        <f t="shared" si="0"/>
        <v>300760</v>
      </c>
      <c r="H41" s="16">
        <f t="shared" si="1"/>
        <v>43.73</v>
      </c>
      <c r="I41" s="15">
        <f t="shared" si="2"/>
        <v>0.14699999999999999</v>
      </c>
      <c r="J41" s="15">
        <f>ROUND(G41/297600-1,2)</f>
        <v>0.01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29210</v>
      </c>
      <c r="G42" s="10">
        <f t="shared" si="0"/>
        <v>29210</v>
      </c>
      <c r="H42" s="16">
        <f t="shared" si="1"/>
        <v>4.25</v>
      </c>
      <c r="I42" s="15">
        <f t="shared" si="2"/>
        <v>1.4E-2</v>
      </c>
      <c r="J42" s="15">
        <f>ROUND(G42/37595-1,2)</f>
        <v>-0.22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88500</v>
      </c>
      <c r="F43" s="10"/>
      <c r="G43" s="10">
        <f t="shared" si="0"/>
        <v>88500</v>
      </c>
      <c r="H43" s="16">
        <f t="shared" si="1"/>
        <v>12.87</v>
      </c>
      <c r="I43" s="15">
        <f t="shared" si="2"/>
        <v>4.2999999999999997E-2</v>
      </c>
      <c r="J43" s="15">
        <f>ROUND(G43/57090-1,2)</f>
        <v>0.55000000000000004</v>
      </c>
    </row>
    <row r="44" spans="1:10" x14ac:dyDescent="0.25">
      <c r="A44" s="1" t="s">
        <v>48</v>
      </c>
      <c r="B44" s="1" t="s">
        <v>49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ROUND(G44/400-1,2)</f>
        <v>-1</v>
      </c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ROUND(G45/975-1,2)</f>
        <v>-1</v>
      </c>
    </row>
    <row r="46" spans="1:10" x14ac:dyDescent="0.25">
      <c r="A46" s="1" t="s">
        <v>48</v>
      </c>
      <c r="B46" s="1" t="s">
        <v>51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ROUND(G46/36-1,2)</f>
        <v>-1</v>
      </c>
    </row>
    <row r="47" spans="1:10" x14ac:dyDescent="0.25">
      <c r="A47" s="1" t="s">
        <v>48</v>
      </c>
      <c r="B47" s="1" t="s">
        <v>86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>
        <f>ROUND(G47/70-1,2)</f>
        <v>-1</v>
      </c>
    </row>
    <row r="48" spans="1:10" x14ac:dyDescent="0.25">
      <c r="A48" s="25" t="s">
        <v>12</v>
      </c>
      <c r="B48" s="25"/>
      <c r="C48" s="11">
        <f t="shared" ref="C48:H48" si="3">SUM(C8:C47)</f>
        <v>1368700</v>
      </c>
      <c r="D48" s="11">
        <f t="shared" si="3"/>
        <v>426</v>
      </c>
      <c r="E48" s="11">
        <f t="shared" si="3"/>
        <v>624932</v>
      </c>
      <c r="F48" s="11">
        <f t="shared" si="3"/>
        <v>50190</v>
      </c>
      <c r="G48" s="11">
        <f t="shared" si="3"/>
        <v>2044248</v>
      </c>
      <c r="H48" s="14">
        <f t="shared" si="3"/>
        <v>297.19</v>
      </c>
      <c r="I48" s="17"/>
      <c r="J48" s="17"/>
    </row>
    <row r="49" spans="1:10" x14ac:dyDescent="0.25">
      <c r="A49" s="25" t="s">
        <v>14</v>
      </c>
      <c r="B49" s="25"/>
      <c r="C49" s="12">
        <f>ROUND(C48/G48,2)</f>
        <v>0.67</v>
      </c>
      <c r="D49" s="12">
        <f>ROUND(D48/G48,2)</f>
        <v>0</v>
      </c>
      <c r="E49" s="12">
        <f>ROUND(E48/G48,2)</f>
        <v>0.31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53</v>
      </c>
      <c r="B54" s="25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0" t="s">
        <v>54</v>
      </c>
      <c r="B55" s="20"/>
      <c r="C55" s="10">
        <v>1068120</v>
      </c>
      <c r="D55" s="10">
        <v>426</v>
      </c>
      <c r="E55" s="10">
        <v>536432</v>
      </c>
      <c r="F55" s="10">
        <v>20800</v>
      </c>
      <c r="G55" s="10">
        <f>SUM(C55:F55)</f>
        <v>1625778</v>
      </c>
      <c r="H55" s="16">
        <f>ROUND(G55/6878,2)</f>
        <v>236.37</v>
      </c>
      <c r="I55" s="9"/>
      <c r="J55" s="9"/>
    </row>
    <row r="56" spans="1:10" x14ac:dyDescent="0.25">
      <c r="A56" s="20" t="s">
        <v>55</v>
      </c>
      <c r="B56" s="20"/>
      <c r="C56" s="10">
        <v>300580</v>
      </c>
      <c r="D56" s="10">
        <v>0</v>
      </c>
      <c r="E56" s="10">
        <v>88500</v>
      </c>
      <c r="F56" s="10">
        <v>29390</v>
      </c>
      <c r="G56" s="10">
        <f>SUM(C56:F56)</f>
        <v>418470</v>
      </c>
      <c r="H56" s="16">
        <f>ROUND(G56/6878,2)</f>
        <v>60.84</v>
      </c>
      <c r="I56" s="9"/>
      <c r="J56" s="9"/>
    </row>
    <row r="57" spans="1:10" x14ac:dyDescent="0.25">
      <c r="A57" s="20" t="s">
        <v>56</v>
      </c>
      <c r="B57" s="20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ROUND(G57/6878,2)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57</v>
      </c>
      <c r="B62" s="25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0" t="s">
        <v>58</v>
      </c>
      <c r="B63" s="20"/>
      <c r="C63" s="15">
        <f>ROUND(0.8386, 4)</f>
        <v>0.83860000000000001</v>
      </c>
      <c r="D63" s="15">
        <f>ROUND(0.8276, 4)</f>
        <v>0.8276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3" t="s">
        <v>64</v>
      </c>
      <c r="J63" s="23" t="s">
        <v>65</v>
      </c>
    </row>
    <row r="64" spans="1:10" x14ac:dyDescent="0.25">
      <c r="A64" s="20" t="s">
        <v>66</v>
      </c>
      <c r="B64" s="20"/>
      <c r="C64" s="15">
        <f>ROUND(0.8257, 4)</f>
        <v>0.82569999999999999</v>
      </c>
      <c r="D64" s="15">
        <f>ROUND(0.8145, 4)</f>
        <v>0.8145</v>
      </c>
      <c r="E64" s="15">
        <f>ROUND(0.7608, 4)</f>
        <v>0.76080000000000003</v>
      </c>
      <c r="F64" s="8"/>
      <c r="G64" s="14" t="s">
        <v>67</v>
      </c>
      <c r="H64" s="27"/>
      <c r="I64" s="24"/>
      <c r="J64" s="24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5" t="s">
        <v>68</v>
      </c>
      <c r="B68" s="25"/>
      <c r="C68" s="14" t="s">
        <v>2</v>
      </c>
      <c r="D68" s="14" t="s">
        <v>253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0" t="s">
        <v>73</v>
      </c>
      <c r="B69" s="20"/>
      <c r="C69" s="16">
        <v>43.73</v>
      </c>
      <c r="D69" s="16">
        <v>50.5</v>
      </c>
      <c r="E69" s="16">
        <v>91.13</v>
      </c>
      <c r="F69" s="16">
        <v>54.95</v>
      </c>
      <c r="G69" s="16">
        <f>12/10*C69</f>
        <v>52.475999999999992</v>
      </c>
      <c r="H69" s="8"/>
      <c r="I69" s="9"/>
      <c r="J69" s="9"/>
    </row>
    <row r="70" spans="1:10" x14ac:dyDescent="0.25">
      <c r="A70" s="20" t="s">
        <v>74</v>
      </c>
      <c r="B70" s="20"/>
      <c r="C70" s="16">
        <v>60.15</v>
      </c>
      <c r="D70" s="16">
        <v>64.36</v>
      </c>
      <c r="E70" s="16">
        <v>61.18</v>
      </c>
      <c r="F70" s="16">
        <v>62.89</v>
      </c>
      <c r="G70" s="16">
        <f>12/10*C70</f>
        <v>72.179999999999993</v>
      </c>
      <c r="H70" s="8"/>
      <c r="I70" s="9"/>
      <c r="J70" s="9"/>
    </row>
    <row r="71" spans="1:10" x14ac:dyDescent="0.25">
      <c r="A71" s="20" t="s">
        <v>75</v>
      </c>
      <c r="B71" s="20"/>
      <c r="C71" s="16">
        <v>256.11</v>
      </c>
      <c r="D71" s="16">
        <v>251.58</v>
      </c>
      <c r="E71" s="16">
        <v>287.25</v>
      </c>
      <c r="F71" s="16">
        <v>278.91000000000003</v>
      </c>
      <c r="G71" s="16">
        <f>12/10*C71</f>
        <v>307.33199999999999</v>
      </c>
      <c r="H71" s="8"/>
      <c r="I71" s="9"/>
      <c r="J71" s="9"/>
    </row>
    <row r="72" spans="1:10" x14ac:dyDescent="0.25">
      <c r="A72" s="20" t="s">
        <v>76</v>
      </c>
      <c r="B72" s="20"/>
      <c r="C72" s="16">
        <v>60.84</v>
      </c>
      <c r="D72" s="16">
        <v>65.08</v>
      </c>
      <c r="E72" s="16">
        <v>114.69</v>
      </c>
      <c r="F72" s="16">
        <v>78.319999999999993</v>
      </c>
      <c r="G72" s="16">
        <f>12/10*C72</f>
        <v>73.007999999999996</v>
      </c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21" t="s">
        <v>60</v>
      </c>
      <c r="B75" s="22"/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77</v>
      </c>
      <c r="B76" s="1" t="s">
        <v>254</v>
      </c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70</v>
      </c>
      <c r="B77" s="1" t="s">
        <v>79</v>
      </c>
      <c r="C77" s="8"/>
      <c r="D77" s="8"/>
      <c r="E77" s="8"/>
      <c r="F77" s="8"/>
      <c r="G77" s="8"/>
      <c r="H77" s="8"/>
      <c r="I77" s="9"/>
      <c r="J77" s="9"/>
    </row>
    <row r="78" spans="1:10" x14ac:dyDescent="0.25">
      <c r="A78" s="3" t="s">
        <v>71</v>
      </c>
      <c r="B78" s="1" t="s">
        <v>80</v>
      </c>
      <c r="C78" s="8"/>
      <c r="D78" s="8"/>
      <c r="E78" s="8"/>
      <c r="F78" s="8"/>
      <c r="G78" s="8"/>
      <c r="H78" s="8"/>
      <c r="I78" s="9"/>
      <c r="J78" s="9"/>
    </row>
    <row r="79" spans="1:10" x14ac:dyDescent="0.25">
      <c r="A79" s="3" t="s">
        <v>72</v>
      </c>
      <c r="B79" s="1" t="s">
        <v>81</v>
      </c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6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3536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600</v>
      </c>
      <c r="G9" s="10">
        <f t="shared" ref="G9:G47" si="0">SUM(C9:F9)</f>
        <v>600</v>
      </c>
      <c r="H9" s="16">
        <f t="shared" ref="H9:H47" si="1">ROUND(G9/3536,2)</f>
        <v>0.17</v>
      </c>
      <c r="I9" s="15">
        <f t="shared" ref="I9:I47" si="2">ROUND(G9/$G$48,3)</f>
        <v>0</v>
      </c>
      <c r="J9" s="15">
        <f>ROUND(G9/775-1,2)</f>
        <v>-0.23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>
        <f>ROUND(G10/18-1,2)</f>
        <v>-1</v>
      </c>
    </row>
    <row r="11" spans="1:10" x14ac:dyDescent="0.25">
      <c r="A11" s="1" t="s">
        <v>48</v>
      </c>
      <c r="B11" s="1" t="s">
        <v>49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ROUND(G11/200-1,2)</f>
        <v>-1</v>
      </c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48</v>
      </c>
      <c r="B13" s="1" t="s">
        <v>94</v>
      </c>
      <c r="C13" s="10"/>
      <c r="D13" s="10"/>
      <c r="E13" s="10"/>
      <c r="F13" s="10"/>
      <c r="G13" s="10">
        <f t="shared" si="0"/>
        <v>0</v>
      </c>
      <c r="H13" s="16">
        <f t="shared" si="1"/>
        <v>0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17</v>
      </c>
      <c r="C14" s="10"/>
      <c r="D14" s="10"/>
      <c r="E14" s="10">
        <v>79</v>
      </c>
      <c r="F14" s="10"/>
      <c r="G14" s="10">
        <f t="shared" si="0"/>
        <v>79</v>
      </c>
      <c r="H14" s="16">
        <f t="shared" si="1"/>
        <v>0.02</v>
      </c>
      <c r="I14" s="15">
        <f t="shared" si="2"/>
        <v>0</v>
      </c>
      <c r="J14" s="15">
        <f>ROUND(G14/86-1,2)</f>
        <v>-0.08</v>
      </c>
    </row>
    <row r="15" spans="1:10" x14ac:dyDescent="0.25">
      <c r="A15" s="1" t="s">
        <v>16</v>
      </c>
      <c r="B15" s="1" t="s">
        <v>19</v>
      </c>
      <c r="C15" s="10">
        <v>106500</v>
      </c>
      <c r="D15" s="10"/>
      <c r="E15" s="10">
        <v>910</v>
      </c>
      <c r="F15" s="10">
        <v>20</v>
      </c>
      <c r="G15" s="10">
        <f t="shared" si="0"/>
        <v>107430</v>
      </c>
      <c r="H15" s="16">
        <f t="shared" si="1"/>
        <v>30.38</v>
      </c>
      <c r="I15" s="15">
        <f t="shared" si="2"/>
        <v>8.6999999999999994E-2</v>
      </c>
      <c r="J15" s="15">
        <f>ROUND(G15/103870-1,2)</f>
        <v>0.03</v>
      </c>
    </row>
    <row r="16" spans="1:10" x14ac:dyDescent="0.25">
      <c r="A16" s="1" t="s">
        <v>16</v>
      </c>
      <c r="B16" s="1" t="s">
        <v>20</v>
      </c>
      <c r="C16" s="10">
        <v>138850</v>
      </c>
      <c r="D16" s="10"/>
      <c r="E16" s="10"/>
      <c r="F16" s="10"/>
      <c r="G16" s="10">
        <f t="shared" si="0"/>
        <v>138850</v>
      </c>
      <c r="H16" s="16">
        <f t="shared" si="1"/>
        <v>39.270000000000003</v>
      </c>
      <c r="I16" s="15">
        <f t="shared" si="2"/>
        <v>0.113</v>
      </c>
      <c r="J16" s="15">
        <f>ROUND(G16/135770-1,2)</f>
        <v>0.02</v>
      </c>
    </row>
    <row r="17" spans="1:10" x14ac:dyDescent="0.25">
      <c r="A17" s="1" t="s">
        <v>16</v>
      </c>
      <c r="B17" s="1" t="s">
        <v>95</v>
      </c>
      <c r="C17" s="10"/>
      <c r="D17" s="10"/>
      <c r="E17" s="10">
        <v>185</v>
      </c>
      <c r="F17" s="10"/>
      <c r="G17" s="10">
        <f t="shared" si="0"/>
        <v>185</v>
      </c>
      <c r="H17" s="16">
        <f t="shared" si="1"/>
        <v>0.05</v>
      </c>
      <c r="I17" s="15">
        <f t="shared" si="2"/>
        <v>0</v>
      </c>
      <c r="J17" s="15">
        <f>ROUND(G17/182-1,2)</f>
        <v>0.02</v>
      </c>
    </row>
    <row r="18" spans="1:10" x14ac:dyDescent="0.25">
      <c r="A18" s="1" t="s">
        <v>16</v>
      </c>
      <c r="B18" s="1" t="s">
        <v>21</v>
      </c>
      <c r="C18" s="10"/>
      <c r="D18" s="10"/>
      <c r="E18" s="10">
        <v>347</v>
      </c>
      <c r="F18" s="10"/>
      <c r="G18" s="10">
        <f t="shared" si="0"/>
        <v>347</v>
      </c>
      <c r="H18" s="16">
        <f t="shared" si="1"/>
        <v>0.1</v>
      </c>
      <c r="I18" s="15">
        <f t="shared" si="2"/>
        <v>0</v>
      </c>
      <c r="J18" s="15">
        <f>ROUND(G18/239-1,2)</f>
        <v>0.45</v>
      </c>
    </row>
    <row r="19" spans="1:10" x14ac:dyDescent="0.25">
      <c r="A19" s="1" t="s">
        <v>16</v>
      </c>
      <c r="B19" s="1" t="s">
        <v>22</v>
      </c>
      <c r="C19" s="10"/>
      <c r="D19" s="10"/>
      <c r="E19" s="10">
        <v>1900</v>
      </c>
      <c r="F19" s="10"/>
      <c r="G19" s="10">
        <f t="shared" si="0"/>
        <v>1900</v>
      </c>
      <c r="H19" s="16">
        <f t="shared" si="1"/>
        <v>0.54</v>
      </c>
      <c r="I19" s="15">
        <f t="shared" si="2"/>
        <v>2E-3</v>
      </c>
      <c r="J19" s="15">
        <f>ROUND(G19/700-1,2)</f>
        <v>1.71</v>
      </c>
    </row>
    <row r="20" spans="1:10" x14ac:dyDescent="0.25">
      <c r="A20" s="1" t="s">
        <v>16</v>
      </c>
      <c r="B20" s="1" t="s">
        <v>96</v>
      </c>
      <c r="C20" s="10"/>
      <c r="D20" s="10"/>
      <c r="E20" s="10"/>
      <c r="F20" s="10">
        <v>69</v>
      </c>
      <c r="G20" s="10">
        <f t="shared" si="0"/>
        <v>69</v>
      </c>
      <c r="H20" s="16">
        <f t="shared" si="1"/>
        <v>0.02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97</v>
      </c>
      <c r="C21" s="10"/>
      <c r="D21" s="10"/>
      <c r="E21" s="10"/>
      <c r="F21" s="10">
        <v>251</v>
      </c>
      <c r="G21" s="10">
        <f t="shared" si="0"/>
        <v>251</v>
      </c>
      <c r="H21" s="16">
        <f t="shared" si="1"/>
        <v>7.0000000000000007E-2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98</v>
      </c>
      <c r="C22" s="10"/>
      <c r="D22" s="10"/>
      <c r="E22" s="10"/>
      <c r="F22" s="10">
        <v>245</v>
      </c>
      <c r="G22" s="10">
        <f t="shared" si="0"/>
        <v>245</v>
      </c>
      <c r="H22" s="16">
        <f t="shared" si="1"/>
        <v>7.0000000000000007E-2</v>
      </c>
      <c r="I22" s="15">
        <f t="shared" si="2"/>
        <v>0</v>
      </c>
      <c r="J22" s="15">
        <f>ROUND(G22/90-1,2)</f>
        <v>1.72</v>
      </c>
    </row>
    <row r="23" spans="1:10" x14ac:dyDescent="0.25">
      <c r="A23" s="1" t="s">
        <v>16</v>
      </c>
      <c r="B23" s="1" t="s">
        <v>23</v>
      </c>
      <c r="C23" s="10"/>
      <c r="D23" s="10"/>
      <c r="E23" s="10">
        <v>35260</v>
      </c>
      <c r="F23" s="10"/>
      <c r="G23" s="10">
        <f t="shared" si="0"/>
        <v>35260</v>
      </c>
      <c r="H23" s="16">
        <f t="shared" si="1"/>
        <v>9.9700000000000006</v>
      </c>
      <c r="I23" s="15">
        <f t="shared" si="2"/>
        <v>2.9000000000000001E-2</v>
      </c>
      <c r="J23" s="15">
        <f>ROUND(G23/32660-1,2)</f>
        <v>0.08</v>
      </c>
    </row>
    <row r="24" spans="1:10" x14ac:dyDescent="0.25">
      <c r="A24" s="1" t="s">
        <v>16</v>
      </c>
      <c r="B24" s="1" t="s">
        <v>24</v>
      </c>
      <c r="C24" s="10">
        <v>207520</v>
      </c>
      <c r="D24" s="10"/>
      <c r="E24" s="10">
        <v>6980</v>
      </c>
      <c r="F24" s="10">
        <v>1660</v>
      </c>
      <c r="G24" s="10">
        <f t="shared" si="0"/>
        <v>216160</v>
      </c>
      <c r="H24" s="16">
        <f t="shared" si="1"/>
        <v>61.13</v>
      </c>
      <c r="I24" s="15">
        <f t="shared" si="2"/>
        <v>0.17599999999999999</v>
      </c>
      <c r="J24" s="15">
        <f>ROUND(G24/219080-1,2)</f>
        <v>-0.01</v>
      </c>
    </row>
    <row r="25" spans="1:10" x14ac:dyDescent="0.25">
      <c r="A25" s="1" t="s">
        <v>16</v>
      </c>
      <c r="B25" s="1" t="s">
        <v>25</v>
      </c>
      <c r="C25" s="10"/>
      <c r="D25" s="10"/>
      <c r="E25" s="10">
        <v>2080</v>
      </c>
      <c r="F25" s="10"/>
      <c r="G25" s="10">
        <f t="shared" si="0"/>
        <v>2080</v>
      </c>
      <c r="H25" s="16">
        <f t="shared" si="1"/>
        <v>0.59</v>
      </c>
      <c r="I25" s="15">
        <f t="shared" si="2"/>
        <v>2E-3</v>
      </c>
      <c r="J25" s="15">
        <f>ROUND(G25/2650-1,2)</f>
        <v>-0.22</v>
      </c>
    </row>
    <row r="26" spans="1:10" x14ac:dyDescent="0.25">
      <c r="A26" s="1" t="s">
        <v>16</v>
      </c>
      <c r="B26" s="1" t="s">
        <v>26</v>
      </c>
      <c r="C26" s="10">
        <v>221775</v>
      </c>
      <c r="D26" s="10"/>
      <c r="E26" s="10"/>
      <c r="F26" s="10">
        <v>745</v>
      </c>
      <c r="G26" s="10">
        <f t="shared" si="0"/>
        <v>222520</v>
      </c>
      <c r="H26" s="16">
        <f t="shared" si="1"/>
        <v>62.93</v>
      </c>
      <c r="I26" s="15">
        <f t="shared" si="2"/>
        <v>0.18099999999999999</v>
      </c>
      <c r="J26" s="15">
        <f>ROUND(G26/223700-1,2)</f>
        <v>-0.01</v>
      </c>
    </row>
    <row r="27" spans="1:10" x14ac:dyDescent="0.25">
      <c r="A27" s="1" t="s">
        <v>16</v>
      </c>
      <c r="B27" s="1" t="s">
        <v>27</v>
      </c>
      <c r="C27" s="10"/>
      <c r="D27" s="10"/>
      <c r="E27" s="10">
        <v>946</v>
      </c>
      <c r="F27" s="10"/>
      <c r="G27" s="10">
        <f t="shared" si="0"/>
        <v>946</v>
      </c>
      <c r="H27" s="16">
        <f t="shared" si="1"/>
        <v>0.27</v>
      </c>
      <c r="I27" s="15">
        <f t="shared" si="2"/>
        <v>1E-3</v>
      </c>
      <c r="J27" s="15">
        <f>ROUND(G27/866-1,2)</f>
        <v>0.09</v>
      </c>
    </row>
    <row r="28" spans="1:10" x14ac:dyDescent="0.25">
      <c r="A28" s="1" t="s">
        <v>16</v>
      </c>
      <c r="B28" s="1" t="s">
        <v>28</v>
      </c>
      <c r="C28" s="10"/>
      <c r="D28" s="10"/>
      <c r="E28" s="10">
        <v>411</v>
      </c>
      <c r="F28" s="10"/>
      <c r="G28" s="10">
        <f t="shared" si="0"/>
        <v>411</v>
      </c>
      <c r="H28" s="16">
        <f t="shared" si="1"/>
        <v>0.12</v>
      </c>
      <c r="I28" s="15">
        <f t="shared" si="2"/>
        <v>0</v>
      </c>
      <c r="J28" s="15">
        <f>ROUND(G28/357-1,2)</f>
        <v>0.15</v>
      </c>
    </row>
    <row r="29" spans="1:10" x14ac:dyDescent="0.25">
      <c r="A29" s="1" t="s">
        <v>16</v>
      </c>
      <c r="B29" s="1" t="s">
        <v>42</v>
      </c>
      <c r="C29" s="10"/>
      <c r="D29" s="10"/>
      <c r="E29" s="10">
        <v>198</v>
      </c>
      <c r="F29" s="10"/>
      <c r="G29" s="10">
        <f t="shared" si="0"/>
        <v>198</v>
      </c>
      <c r="H29" s="16">
        <f t="shared" si="1"/>
        <v>0.06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29</v>
      </c>
      <c r="C30" s="10"/>
      <c r="D30" s="10"/>
      <c r="E30" s="10">
        <v>1290</v>
      </c>
      <c r="F30" s="10"/>
      <c r="G30" s="10">
        <f t="shared" si="0"/>
        <v>1290</v>
      </c>
      <c r="H30" s="16">
        <f t="shared" si="1"/>
        <v>0.36</v>
      </c>
      <c r="I30" s="15">
        <f t="shared" si="2"/>
        <v>1E-3</v>
      </c>
      <c r="J30" s="15">
        <f>ROUND(G30/1970-1,2)</f>
        <v>-0.35</v>
      </c>
    </row>
    <row r="31" spans="1:10" x14ac:dyDescent="0.25">
      <c r="A31" s="1" t="s">
        <v>16</v>
      </c>
      <c r="B31" s="1" t="s">
        <v>30</v>
      </c>
      <c r="C31" s="10"/>
      <c r="D31" s="10"/>
      <c r="E31" s="10">
        <v>1090</v>
      </c>
      <c r="F31" s="10"/>
      <c r="G31" s="10">
        <f t="shared" si="0"/>
        <v>1090</v>
      </c>
      <c r="H31" s="16">
        <f t="shared" si="1"/>
        <v>0.31</v>
      </c>
      <c r="I31" s="15">
        <f t="shared" si="2"/>
        <v>1E-3</v>
      </c>
      <c r="J31" s="15">
        <f>ROUND(G31/890-1,2)</f>
        <v>0.22</v>
      </c>
    </row>
    <row r="32" spans="1:10" x14ac:dyDescent="0.25">
      <c r="A32" s="1" t="s">
        <v>16</v>
      </c>
      <c r="B32" s="1" t="s">
        <v>31</v>
      </c>
      <c r="C32" s="10"/>
      <c r="D32" s="10"/>
      <c r="E32" s="10">
        <v>360</v>
      </c>
      <c r="F32" s="10"/>
      <c r="G32" s="10">
        <f t="shared" si="0"/>
        <v>360</v>
      </c>
      <c r="H32" s="16">
        <f t="shared" si="1"/>
        <v>0.1</v>
      </c>
      <c r="I32" s="15">
        <f t="shared" si="2"/>
        <v>0</v>
      </c>
      <c r="J32" s="15">
        <f>ROUND(G32/350-1,2)</f>
        <v>0.03</v>
      </c>
    </row>
    <row r="33" spans="1:10" x14ac:dyDescent="0.25">
      <c r="A33" s="1" t="s">
        <v>16</v>
      </c>
      <c r="B33" s="1" t="s">
        <v>32</v>
      </c>
      <c r="C33" s="10"/>
      <c r="D33" s="10"/>
      <c r="E33" s="10">
        <v>1930</v>
      </c>
      <c r="F33" s="10"/>
      <c r="G33" s="10">
        <f t="shared" si="0"/>
        <v>1930</v>
      </c>
      <c r="H33" s="16">
        <f t="shared" si="1"/>
        <v>0.55000000000000004</v>
      </c>
      <c r="I33" s="15">
        <f t="shared" si="2"/>
        <v>2E-3</v>
      </c>
      <c r="J33" s="15">
        <f>ROUND(G33/1295-1,2)</f>
        <v>0.49</v>
      </c>
    </row>
    <row r="34" spans="1:10" x14ac:dyDescent="0.25">
      <c r="A34" s="1" t="s">
        <v>16</v>
      </c>
      <c r="B34" s="1" t="s">
        <v>33</v>
      </c>
      <c r="C34" s="10"/>
      <c r="D34" s="10">
        <v>230</v>
      </c>
      <c r="E34" s="10">
        <v>75</v>
      </c>
      <c r="F34" s="10"/>
      <c r="G34" s="10">
        <f t="shared" si="0"/>
        <v>305</v>
      </c>
      <c r="H34" s="16">
        <f t="shared" si="1"/>
        <v>0.09</v>
      </c>
      <c r="I34" s="15">
        <f t="shared" si="2"/>
        <v>0</v>
      </c>
      <c r="J34" s="15">
        <f>ROUND(G34/469-1,2)</f>
        <v>-0.35</v>
      </c>
    </row>
    <row r="35" spans="1:10" x14ac:dyDescent="0.25">
      <c r="A35" s="1" t="s">
        <v>16</v>
      </c>
      <c r="B35" s="1" t="s">
        <v>35</v>
      </c>
      <c r="C35" s="10"/>
      <c r="D35" s="10">
        <v>300</v>
      </c>
      <c r="E35" s="10"/>
      <c r="F35" s="10"/>
      <c r="G35" s="10">
        <f t="shared" si="0"/>
        <v>300</v>
      </c>
      <c r="H35" s="16">
        <f t="shared" si="1"/>
        <v>0.08</v>
      </c>
      <c r="I35" s="15">
        <f t="shared" si="2"/>
        <v>0</v>
      </c>
      <c r="J35" s="15">
        <f>ROUND(G35/1020-1,2)</f>
        <v>-0.71</v>
      </c>
    </row>
    <row r="36" spans="1:10" x14ac:dyDescent="0.25">
      <c r="A36" s="1" t="s">
        <v>16</v>
      </c>
      <c r="B36" s="1" t="s">
        <v>37</v>
      </c>
      <c r="C36" s="10"/>
      <c r="D36" s="10"/>
      <c r="E36" s="10">
        <v>2150</v>
      </c>
      <c r="F36" s="10"/>
      <c r="G36" s="10">
        <f t="shared" si="0"/>
        <v>2150</v>
      </c>
      <c r="H36" s="16">
        <f t="shared" si="1"/>
        <v>0.61</v>
      </c>
      <c r="I36" s="15">
        <f t="shared" si="2"/>
        <v>2E-3</v>
      </c>
      <c r="J36" s="15">
        <f>ROUND(G36/4450-1,2)</f>
        <v>-0.52</v>
      </c>
    </row>
    <row r="37" spans="1:10" x14ac:dyDescent="0.25">
      <c r="A37" s="1" t="s">
        <v>16</v>
      </c>
      <c r="B37" s="1" t="s">
        <v>38</v>
      </c>
      <c r="C37" s="10"/>
      <c r="D37" s="10"/>
      <c r="E37" s="10">
        <v>55740</v>
      </c>
      <c r="F37" s="10"/>
      <c r="G37" s="10">
        <f t="shared" si="0"/>
        <v>55740</v>
      </c>
      <c r="H37" s="16">
        <f t="shared" si="1"/>
        <v>15.76</v>
      </c>
      <c r="I37" s="15">
        <f t="shared" si="2"/>
        <v>4.4999999999999998E-2</v>
      </c>
      <c r="J37" s="15">
        <f>ROUND(G37/47080-1,2)</f>
        <v>0.18</v>
      </c>
    </row>
    <row r="38" spans="1:10" x14ac:dyDescent="0.25">
      <c r="A38" s="1" t="s">
        <v>16</v>
      </c>
      <c r="B38" s="1" t="s">
        <v>39</v>
      </c>
      <c r="C38" s="10"/>
      <c r="D38" s="10"/>
      <c r="E38" s="10">
        <v>4825</v>
      </c>
      <c r="F38" s="10"/>
      <c r="G38" s="10">
        <f t="shared" si="0"/>
        <v>4825</v>
      </c>
      <c r="H38" s="16">
        <f t="shared" si="1"/>
        <v>1.36</v>
      </c>
      <c r="I38" s="15">
        <f t="shared" si="2"/>
        <v>4.0000000000000001E-3</v>
      </c>
      <c r="J38" s="15">
        <f>ROUND(G38/2775-1,2)</f>
        <v>0.74</v>
      </c>
    </row>
    <row r="39" spans="1:10" x14ac:dyDescent="0.25">
      <c r="A39" s="1" t="s">
        <v>16</v>
      </c>
      <c r="B39" s="1" t="s">
        <v>40</v>
      </c>
      <c r="C39" s="10"/>
      <c r="D39" s="10"/>
      <c r="E39" s="10">
        <v>13450</v>
      </c>
      <c r="F39" s="10"/>
      <c r="G39" s="10">
        <f t="shared" si="0"/>
        <v>13450</v>
      </c>
      <c r="H39" s="16">
        <f t="shared" si="1"/>
        <v>3.8</v>
      </c>
      <c r="I39" s="15">
        <f t="shared" si="2"/>
        <v>1.0999999999999999E-2</v>
      </c>
      <c r="J39" s="15">
        <f>ROUND(G39/14400-1,2)</f>
        <v>-7.0000000000000007E-2</v>
      </c>
    </row>
    <row r="40" spans="1:10" x14ac:dyDescent="0.25">
      <c r="A40" s="1" t="s">
        <v>16</v>
      </c>
      <c r="B40" s="1" t="s">
        <v>41</v>
      </c>
      <c r="C40" s="10"/>
      <c r="D40" s="10"/>
      <c r="E40" s="10">
        <v>104920</v>
      </c>
      <c r="F40" s="10">
        <v>3860</v>
      </c>
      <c r="G40" s="10">
        <f t="shared" si="0"/>
        <v>108780</v>
      </c>
      <c r="H40" s="16">
        <f t="shared" si="1"/>
        <v>30.76</v>
      </c>
      <c r="I40" s="15">
        <f t="shared" si="2"/>
        <v>8.7999999999999995E-2</v>
      </c>
      <c r="J40" s="15">
        <f>ROUND(G40/80510-1,2)</f>
        <v>0.35</v>
      </c>
    </row>
    <row r="41" spans="1:10" x14ac:dyDescent="0.25">
      <c r="A41" s="1" t="s">
        <v>16</v>
      </c>
      <c r="B41" s="1" t="s">
        <v>34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ROUND(G41/910-1,2)</f>
        <v>-1</v>
      </c>
    </row>
    <row r="42" spans="1:10" x14ac:dyDescent="0.25">
      <c r="A42" s="1" t="s">
        <v>16</v>
      </c>
      <c r="B42" s="1" t="s">
        <v>36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ROUND(G42/1800-1,2)</f>
        <v>-1</v>
      </c>
    </row>
    <row r="43" spans="1:10" x14ac:dyDescent="0.25">
      <c r="A43" s="1" t="s">
        <v>16</v>
      </c>
      <c r="B43" s="1" t="s">
        <v>43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ROUND(G43/7250-1,2)</f>
        <v>-1</v>
      </c>
    </row>
    <row r="44" spans="1:10" x14ac:dyDescent="0.25">
      <c r="A44" s="1" t="s">
        <v>16</v>
      </c>
      <c r="B44" s="1" t="s">
        <v>145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250290</v>
      </c>
      <c r="D45" s="10"/>
      <c r="E45" s="10"/>
      <c r="F45" s="10">
        <v>520</v>
      </c>
      <c r="G45" s="10">
        <f t="shared" si="0"/>
        <v>250810</v>
      </c>
      <c r="H45" s="16">
        <f t="shared" si="1"/>
        <v>70.930000000000007</v>
      </c>
      <c r="I45" s="15">
        <f t="shared" si="2"/>
        <v>0.20399999999999999</v>
      </c>
      <c r="J45" s="15">
        <f>ROUND(G45/249650-1,2)</f>
        <v>0</v>
      </c>
    </row>
    <row r="46" spans="1:10" x14ac:dyDescent="0.25">
      <c r="A46" s="1" t="s">
        <v>44</v>
      </c>
      <c r="B46" s="1" t="s">
        <v>47</v>
      </c>
      <c r="C46" s="10"/>
      <c r="D46" s="10"/>
      <c r="E46" s="10"/>
      <c r="F46" s="10">
        <v>21920</v>
      </c>
      <c r="G46" s="10">
        <f t="shared" si="0"/>
        <v>21920</v>
      </c>
      <c r="H46" s="16">
        <f t="shared" si="1"/>
        <v>6.2</v>
      </c>
      <c r="I46" s="15">
        <f t="shared" si="2"/>
        <v>1.7999999999999999E-2</v>
      </c>
      <c r="J46" s="15">
        <f>ROUND(G46/28940-1,2)</f>
        <v>-0.24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40860</v>
      </c>
      <c r="F47" s="10"/>
      <c r="G47" s="10">
        <f t="shared" si="0"/>
        <v>40860</v>
      </c>
      <c r="H47" s="16">
        <f t="shared" si="1"/>
        <v>11.56</v>
      </c>
      <c r="I47" s="15">
        <f t="shared" si="2"/>
        <v>3.3000000000000002E-2</v>
      </c>
      <c r="J47" s="15">
        <f>ROUND(G47/35020-1,2)</f>
        <v>0.17</v>
      </c>
    </row>
    <row r="48" spans="1:10" x14ac:dyDescent="0.25">
      <c r="A48" s="25" t="s">
        <v>12</v>
      </c>
      <c r="B48" s="25"/>
      <c r="C48" s="11">
        <f t="shared" ref="C48:H48" si="3">SUM(C8:C47)</f>
        <v>924935</v>
      </c>
      <c r="D48" s="11">
        <f t="shared" si="3"/>
        <v>530</v>
      </c>
      <c r="E48" s="11">
        <f t="shared" si="3"/>
        <v>275986</v>
      </c>
      <c r="F48" s="11">
        <f t="shared" si="3"/>
        <v>29890</v>
      </c>
      <c r="G48" s="11">
        <f t="shared" si="3"/>
        <v>1231341</v>
      </c>
      <c r="H48" s="14">
        <f t="shared" si="3"/>
        <v>348.23000000000008</v>
      </c>
      <c r="I48" s="17"/>
      <c r="J48" s="17"/>
    </row>
    <row r="49" spans="1:10" x14ac:dyDescent="0.25">
      <c r="A49" s="25" t="s">
        <v>14</v>
      </c>
      <c r="B49" s="25"/>
      <c r="C49" s="12">
        <f>ROUND(C48/G48,2)</f>
        <v>0.75</v>
      </c>
      <c r="D49" s="12">
        <f>ROUND(D48/G48,2)</f>
        <v>0</v>
      </c>
      <c r="E49" s="12">
        <f>ROUND(E48/G48,2)</f>
        <v>0.22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53</v>
      </c>
      <c r="B54" s="25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0" t="s">
        <v>54</v>
      </c>
      <c r="B55" s="20"/>
      <c r="C55" s="10">
        <v>674645</v>
      </c>
      <c r="D55" s="10">
        <v>530</v>
      </c>
      <c r="E55" s="10">
        <v>235126</v>
      </c>
      <c r="F55" s="10">
        <v>6850</v>
      </c>
      <c r="G55" s="10">
        <f>SUM(C55:F55)</f>
        <v>917151</v>
      </c>
      <c r="H55" s="16">
        <f>ROUND(G55/3536,2)</f>
        <v>259.38</v>
      </c>
      <c r="I55" s="9"/>
      <c r="J55" s="9"/>
    </row>
    <row r="56" spans="1:10" x14ac:dyDescent="0.25">
      <c r="A56" s="20" t="s">
        <v>55</v>
      </c>
      <c r="B56" s="20"/>
      <c r="C56" s="10">
        <v>250290</v>
      </c>
      <c r="D56" s="10">
        <v>0</v>
      </c>
      <c r="E56" s="10">
        <v>40860</v>
      </c>
      <c r="F56" s="10">
        <v>22440</v>
      </c>
      <c r="G56" s="10">
        <f>SUM(C56:F56)</f>
        <v>313590</v>
      </c>
      <c r="H56" s="16">
        <f>ROUND(G56/3536,2)</f>
        <v>88.68</v>
      </c>
      <c r="I56" s="9"/>
      <c r="J56" s="9"/>
    </row>
    <row r="57" spans="1:10" x14ac:dyDescent="0.25">
      <c r="A57" s="20" t="s">
        <v>56</v>
      </c>
      <c r="B57" s="20"/>
      <c r="C57" s="10">
        <v>0</v>
      </c>
      <c r="D57" s="10">
        <v>0</v>
      </c>
      <c r="E57" s="10">
        <v>0</v>
      </c>
      <c r="F57" s="10">
        <v>600</v>
      </c>
      <c r="G57" s="10">
        <f>SUM(C57:F57)</f>
        <v>600</v>
      </c>
      <c r="H57" s="16">
        <f>ROUND(G57/3536,2)</f>
        <v>0.17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57</v>
      </c>
      <c r="B62" s="25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0" t="s">
        <v>58</v>
      </c>
      <c r="B63" s="20"/>
      <c r="C63" s="15">
        <f>ROUND(0.7841, 4)</f>
        <v>0.78410000000000002</v>
      </c>
      <c r="D63" s="15">
        <f>ROUND(0.7769, 4)</f>
        <v>0.77690000000000003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3" t="s">
        <v>64</v>
      </c>
      <c r="J63" s="23" t="s">
        <v>65</v>
      </c>
    </row>
    <row r="64" spans="1:10" x14ac:dyDescent="0.25">
      <c r="A64" s="20" t="s">
        <v>66</v>
      </c>
      <c r="B64" s="20"/>
      <c r="C64" s="15">
        <f>ROUND(0.7725, 4)</f>
        <v>0.77249999999999996</v>
      </c>
      <c r="D64" s="15">
        <f>ROUND(0.7651, 4)</f>
        <v>0.7651</v>
      </c>
      <c r="E64" s="15">
        <f>ROUND(0.7608, 4)</f>
        <v>0.76080000000000003</v>
      </c>
      <c r="F64" s="8"/>
      <c r="G64" s="14" t="s">
        <v>67</v>
      </c>
      <c r="H64" s="27"/>
      <c r="I64" s="24"/>
      <c r="J64" s="24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5" t="s">
        <v>68</v>
      </c>
      <c r="B68" s="25"/>
      <c r="C68" s="14" t="s">
        <v>2</v>
      </c>
      <c r="D68" s="14" t="s">
        <v>256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0" t="s">
        <v>73</v>
      </c>
      <c r="B69" s="20"/>
      <c r="C69" s="16">
        <v>70.930000000000007</v>
      </c>
      <c r="D69" s="16">
        <v>78.41</v>
      </c>
      <c r="E69" s="16">
        <v>91.13</v>
      </c>
      <c r="F69" s="16">
        <v>54.95</v>
      </c>
      <c r="G69" s="16">
        <f>12/10*C69</f>
        <v>85.116</v>
      </c>
      <c r="H69" s="8"/>
      <c r="I69" s="9"/>
      <c r="J69" s="9"/>
    </row>
    <row r="70" spans="1:10" x14ac:dyDescent="0.25">
      <c r="A70" s="20" t="s">
        <v>74</v>
      </c>
      <c r="B70" s="20"/>
      <c r="C70" s="16">
        <v>62.93</v>
      </c>
      <c r="D70" s="16">
        <v>72.78</v>
      </c>
      <c r="E70" s="16">
        <v>61.18</v>
      </c>
      <c r="F70" s="16">
        <v>62.89</v>
      </c>
      <c r="G70" s="16">
        <f>12/10*C70</f>
        <v>75.515999999999991</v>
      </c>
      <c r="H70" s="8"/>
      <c r="I70" s="9"/>
      <c r="J70" s="9"/>
    </row>
    <row r="71" spans="1:10" x14ac:dyDescent="0.25">
      <c r="A71" s="20" t="s">
        <v>75</v>
      </c>
      <c r="B71" s="20"/>
      <c r="C71" s="16">
        <v>259.38</v>
      </c>
      <c r="D71" s="16">
        <v>308.66000000000003</v>
      </c>
      <c r="E71" s="16">
        <v>287.25</v>
      </c>
      <c r="F71" s="16">
        <v>278.91000000000003</v>
      </c>
      <c r="G71" s="16">
        <f>12/10*C71</f>
        <v>311.25599999999997</v>
      </c>
      <c r="H71" s="8"/>
      <c r="I71" s="9"/>
      <c r="J71" s="9"/>
    </row>
    <row r="72" spans="1:10" x14ac:dyDescent="0.25">
      <c r="A72" s="20" t="s">
        <v>76</v>
      </c>
      <c r="B72" s="20"/>
      <c r="C72" s="1">
        <v>88.68</v>
      </c>
      <c r="D72" s="1">
        <v>101.09</v>
      </c>
      <c r="E72" s="1">
        <v>114.69</v>
      </c>
      <c r="F72" s="1">
        <v>78.319999999999993</v>
      </c>
      <c r="G72" s="1">
        <f>12/10*C72</f>
        <v>106.41600000000001</v>
      </c>
    </row>
    <row r="75" spans="1:10" x14ac:dyDescent="0.25">
      <c r="A75" s="21" t="s">
        <v>60</v>
      </c>
      <c r="B75" s="22"/>
    </row>
    <row r="76" spans="1:10" x14ac:dyDescent="0.25">
      <c r="A76" s="3" t="s">
        <v>77</v>
      </c>
      <c r="B76" s="1" t="s">
        <v>257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9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825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18</v>
      </c>
      <c r="F9" s="10"/>
      <c r="G9" s="10">
        <f t="shared" ref="G9:G39" si="0">SUM(C9:F9)</f>
        <v>18</v>
      </c>
      <c r="H9" s="16">
        <f t="shared" ref="H9:H39" si="1">ROUND(G9/825,2)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23935</v>
      </c>
      <c r="D10" s="10"/>
      <c r="E10" s="10">
        <v>2375</v>
      </c>
      <c r="F10" s="10">
        <v>105</v>
      </c>
      <c r="G10" s="10">
        <f t="shared" si="0"/>
        <v>26415</v>
      </c>
      <c r="H10" s="16">
        <f t="shared" si="1"/>
        <v>32.020000000000003</v>
      </c>
      <c r="I10" s="15">
        <f t="shared" si="2"/>
        <v>8.3000000000000004E-2</v>
      </c>
      <c r="J10" s="15">
        <f>ROUND(G10/25243.46-1,2)</f>
        <v>0.05</v>
      </c>
    </row>
    <row r="11" spans="1:10" x14ac:dyDescent="0.25">
      <c r="A11" s="1" t="s">
        <v>16</v>
      </c>
      <c r="B11" s="1" t="s">
        <v>20</v>
      </c>
      <c r="C11" s="10">
        <v>35515</v>
      </c>
      <c r="D11" s="10"/>
      <c r="E11" s="10"/>
      <c r="F11" s="10"/>
      <c r="G11" s="10">
        <f t="shared" si="0"/>
        <v>35515</v>
      </c>
      <c r="H11" s="16">
        <f t="shared" si="1"/>
        <v>43.05</v>
      </c>
      <c r="I11" s="15">
        <f t="shared" si="2"/>
        <v>0.112</v>
      </c>
      <c r="J11" s="15">
        <f>ROUND(G11/39070-1,2)</f>
        <v>-0.09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87</v>
      </c>
      <c r="F12" s="10"/>
      <c r="G12" s="10">
        <f t="shared" si="0"/>
        <v>87</v>
      </c>
      <c r="H12" s="16">
        <f t="shared" si="1"/>
        <v>0.11</v>
      </c>
      <c r="I12" s="15">
        <f t="shared" si="2"/>
        <v>0</v>
      </c>
      <c r="J12" s="15">
        <f>ROUND(G12/38.75-1,2)</f>
        <v>1.25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300</v>
      </c>
      <c r="F13" s="10"/>
      <c r="G13" s="10">
        <f t="shared" si="0"/>
        <v>300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39534</v>
      </c>
      <c r="F14" s="10"/>
      <c r="G14" s="10">
        <f t="shared" si="0"/>
        <v>39534</v>
      </c>
      <c r="H14" s="16">
        <f t="shared" si="1"/>
        <v>47.92</v>
      </c>
      <c r="I14" s="15">
        <f t="shared" si="2"/>
        <v>0.124</v>
      </c>
      <c r="J14" s="15">
        <f>ROUND(G14/8840.82-1,2)</f>
        <v>3.47</v>
      </c>
    </row>
    <row r="15" spans="1:10" x14ac:dyDescent="0.25">
      <c r="A15" s="1" t="s">
        <v>16</v>
      </c>
      <c r="B15" s="1" t="s">
        <v>24</v>
      </c>
      <c r="C15" s="10">
        <v>31870</v>
      </c>
      <c r="D15" s="10"/>
      <c r="E15" s="10">
        <v>6544</v>
      </c>
      <c r="F15" s="10">
        <v>40</v>
      </c>
      <c r="G15" s="10">
        <f t="shared" si="0"/>
        <v>38454</v>
      </c>
      <c r="H15" s="16">
        <f t="shared" si="1"/>
        <v>46.61</v>
      </c>
      <c r="I15" s="15">
        <f t="shared" si="2"/>
        <v>0.121</v>
      </c>
      <c r="J15" s="15">
        <f>ROUND(G15/32792.94-1,2)</f>
        <v>0.17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1483</v>
      </c>
      <c r="F16" s="10"/>
      <c r="G16" s="10">
        <f t="shared" si="0"/>
        <v>1483</v>
      </c>
      <c r="H16" s="16">
        <f t="shared" si="1"/>
        <v>1.8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37280</v>
      </c>
      <c r="D17" s="10"/>
      <c r="E17" s="10"/>
      <c r="F17" s="10">
        <v>240</v>
      </c>
      <c r="G17" s="10">
        <f t="shared" si="0"/>
        <v>37520</v>
      </c>
      <c r="H17" s="16">
        <f t="shared" si="1"/>
        <v>45.48</v>
      </c>
      <c r="I17" s="15">
        <f t="shared" si="2"/>
        <v>0.11799999999999999</v>
      </c>
      <c r="J17" s="15">
        <f>ROUND(G17/33760-1,2)</f>
        <v>0.11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404</v>
      </c>
      <c r="F18" s="10"/>
      <c r="G18" s="10">
        <f t="shared" si="0"/>
        <v>404</v>
      </c>
      <c r="H18" s="16">
        <f t="shared" si="1"/>
        <v>0.49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215</v>
      </c>
      <c r="F19" s="10"/>
      <c r="G19" s="10">
        <f t="shared" si="0"/>
        <v>215</v>
      </c>
      <c r="H19" s="16">
        <f t="shared" si="1"/>
        <v>0.26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852</v>
      </c>
      <c r="F20" s="10"/>
      <c r="G20" s="10">
        <f t="shared" si="0"/>
        <v>852</v>
      </c>
      <c r="H20" s="16">
        <f t="shared" si="1"/>
        <v>1.03</v>
      </c>
      <c r="I20" s="15">
        <f t="shared" si="2"/>
        <v>3.0000000000000001E-3</v>
      </c>
      <c r="J20" s="15">
        <f>ROUND(G20/202.5-1,2)</f>
        <v>3.21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210</v>
      </c>
      <c r="F21" s="10"/>
      <c r="G21" s="10">
        <f t="shared" si="0"/>
        <v>210</v>
      </c>
      <c r="H21" s="16">
        <f t="shared" si="1"/>
        <v>0.25</v>
      </c>
      <c r="I21" s="15">
        <f t="shared" si="2"/>
        <v>1E-3</v>
      </c>
      <c r="J21" s="15">
        <f>ROUND(G21/61.55-1,2)</f>
        <v>2.41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901</v>
      </c>
      <c r="F22" s="10"/>
      <c r="G22" s="10">
        <f t="shared" si="0"/>
        <v>901</v>
      </c>
      <c r="H22" s="16">
        <f t="shared" si="1"/>
        <v>1.0900000000000001</v>
      </c>
      <c r="I22" s="15">
        <f t="shared" si="2"/>
        <v>3.0000000000000001E-3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102</v>
      </c>
      <c r="F23" s="10"/>
      <c r="G23" s="10">
        <f t="shared" si="0"/>
        <v>102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120</v>
      </c>
      <c r="F24" s="10"/>
      <c r="G24" s="10">
        <f t="shared" si="0"/>
        <v>120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1307</v>
      </c>
      <c r="F25" s="10"/>
      <c r="G25" s="10">
        <f t="shared" si="0"/>
        <v>1307</v>
      </c>
      <c r="H25" s="16">
        <f t="shared" si="1"/>
        <v>1.58</v>
      </c>
      <c r="I25" s="15">
        <f t="shared" si="2"/>
        <v>4.0000000000000001E-3</v>
      </c>
      <c r="J25" s="15">
        <f>ROUND(G25/70.97-1,2)</f>
        <v>17.420000000000002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1091</v>
      </c>
      <c r="F26" s="10"/>
      <c r="G26" s="10">
        <f t="shared" si="0"/>
        <v>1091</v>
      </c>
      <c r="H26" s="16">
        <f t="shared" si="1"/>
        <v>1.32</v>
      </c>
      <c r="I26" s="15">
        <f t="shared" si="2"/>
        <v>3.0000000000000001E-3</v>
      </c>
      <c r="J26" s="15"/>
    </row>
    <row r="27" spans="1:10" x14ac:dyDescent="0.25">
      <c r="A27" s="1" t="s">
        <v>16</v>
      </c>
      <c r="B27" s="1" t="s">
        <v>38</v>
      </c>
      <c r="C27" s="10"/>
      <c r="D27" s="10"/>
      <c r="E27" s="10">
        <v>25725</v>
      </c>
      <c r="F27" s="10"/>
      <c r="G27" s="10">
        <f t="shared" si="0"/>
        <v>25725</v>
      </c>
      <c r="H27" s="16">
        <f t="shared" si="1"/>
        <v>31.18</v>
      </c>
      <c r="I27" s="15">
        <f t="shared" si="2"/>
        <v>8.1000000000000003E-2</v>
      </c>
      <c r="J27" s="15">
        <f>ROUND(G27/9172.73-1,2)</f>
        <v>1.8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9400</v>
      </c>
      <c r="F28" s="10"/>
      <c r="G28" s="10">
        <f t="shared" si="0"/>
        <v>9400</v>
      </c>
      <c r="H28" s="16">
        <f t="shared" si="1"/>
        <v>11.39</v>
      </c>
      <c r="I28" s="15">
        <f t="shared" si="2"/>
        <v>0.03</v>
      </c>
      <c r="J28" s="15">
        <f>ROUND(G28/4348.57-1,2)</f>
        <v>1.1599999999999999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4453</v>
      </c>
      <c r="F29" s="10"/>
      <c r="G29" s="10">
        <f t="shared" si="0"/>
        <v>4453</v>
      </c>
      <c r="H29" s="16">
        <f t="shared" si="1"/>
        <v>5.4</v>
      </c>
      <c r="I29" s="15">
        <f t="shared" si="2"/>
        <v>1.4E-2</v>
      </c>
      <c r="J29" s="15">
        <f>ROUND(G29/974.29-1,2)</f>
        <v>3.57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ROUND(G30/340.21-1,2)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ROUND(G31/37.67-1,2)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120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79440</v>
      </c>
      <c r="D36" s="10"/>
      <c r="E36" s="10"/>
      <c r="F36" s="10">
        <v>280</v>
      </c>
      <c r="G36" s="10">
        <f t="shared" si="0"/>
        <v>79720</v>
      </c>
      <c r="H36" s="16">
        <f t="shared" si="1"/>
        <v>96.63</v>
      </c>
      <c r="I36" s="15">
        <f t="shared" si="2"/>
        <v>0.251</v>
      </c>
      <c r="J36" s="15">
        <f>ROUND(G36/84310-1,2)</f>
        <v>-0.05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14167</v>
      </c>
      <c r="F37" s="10"/>
      <c r="G37" s="10">
        <f t="shared" si="0"/>
        <v>14167</v>
      </c>
      <c r="H37" s="16">
        <f t="shared" si="1"/>
        <v>17.170000000000002</v>
      </c>
      <c r="I37" s="15">
        <f t="shared" si="2"/>
        <v>4.4999999999999998E-2</v>
      </c>
      <c r="J37" s="15">
        <f>ROUND(G37/6217.94-1,2)</f>
        <v>1.28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5" t="s">
        <v>12</v>
      </c>
      <c r="B40" s="25"/>
      <c r="C40" s="11">
        <f t="shared" ref="C40:H40" si="3">SUM(C8:C39)</f>
        <v>208040</v>
      </c>
      <c r="D40" s="11">
        <f t="shared" si="3"/>
        <v>0</v>
      </c>
      <c r="E40" s="11">
        <f t="shared" si="3"/>
        <v>109288</v>
      </c>
      <c r="F40" s="11">
        <f t="shared" si="3"/>
        <v>665</v>
      </c>
      <c r="G40" s="11">
        <f t="shared" si="3"/>
        <v>317993</v>
      </c>
      <c r="H40" s="14">
        <f t="shared" si="3"/>
        <v>385.43</v>
      </c>
      <c r="I40" s="17"/>
      <c r="J40" s="17"/>
    </row>
    <row r="41" spans="1:10" x14ac:dyDescent="0.25">
      <c r="A41" s="25" t="s">
        <v>14</v>
      </c>
      <c r="B41" s="25"/>
      <c r="C41" s="12">
        <f>ROUND(C40/G40,2)</f>
        <v>0.65</v>
      </c>
      <c r="D41" s="12">
        <f>ROUND(D40/G40,2)</f>
        <v>0</v>
      </c>
      <c r="E41" s="12">
        <f>ROUND(E40/G40,2)</f>
        <v>0.34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5" t="s">
        <v>53</v>
      </c>
      <c r="B46" s="25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0" t="s">
        <v>54</v>
      </c>
      <c r="B47" s="20"/>
      <c r="C47" s="10">
        <v>128600</v>
      </c>
      <c r="D47" s="10">
        <v>0</v>
      </c>
      <c r="E47" s="10">
        <v>95121</v>
      </c>
      <c r="F47" s="10">
        <v>385</v>
      </c>
      <c r="G47" s="10">
        <f>SUM(C47:F47)</f>
        <v>224106</v>
      </c>
      <c r="H47" s="16">
        <f>ROUND(G47/825,2)</f>
        <v>271.64</v>
      </c>
      <c r="I47" s="9"/>
      <c r="J47" s="9"/>
    </row>
    <row r="48" spans="1:10" x14ac:dyDescent="0.25">
      <c r="A48" s="20" t="s">
        <v>55</v>
      </c>
      <c r="B48" s="20"/>
      <c r="C48" s="10">
        <v>79440</v>
      </c>
      <c r="D48" s="10">
        <v>0</v>
      </c>
      <c r="E48" s="10">
        <v>14167</v>
      </c>
      <c r="F48" s="10">
        <v>280</v>
      </c>
      <c r="G48" s="10">
        <f>SUM(C48:F48)</f>
        <v>93887</v>
      </c>
      <c r="H48" s="16">
        <f>ROUND(G48/825,2)</f>
        <v>113.8</v>
      </c>
      <c r="I48" s="9"/>
      <c r="J48" s="9"/>
    </row>
    <row r="49" spans="1:10" x14ac:dyDescent="0.25">
      <c r="A49" s="20" t="s">
        <v>56</v>
      </c>
      <c r="B49" s="20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ROUND(G49/825,2)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57</v>
      </c>
      <c r="B54" s="25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0" t="s">
        <v>58</v>
      </c>
      <c r="B55" s="20"/>
      <c r="C55" s="15">
        <f>ROUND(0.7122, 4)</f>
        <v>0.71220000000000006</v>
      </c>
      <c r="D55" s="15">
        <f>ROUND(0.6227, 4)</f>
        <v>0.62270000000000003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3" t="s">
        <v>64</v>
      </c>
      <c r="J55" s="23" t="s">
        <v>65</v>
      </c>
    </row>
    <row r="56" spans="1:10" x14ac:dyDescent="0.25">
      <c r="A56" s="20" t="s">
        <v>66</v>
      </c>
      <c r="B56" s="20"/>
      <c r="C56" s="15">
        <f>ROUND(0.6769, 4)</f>
        <v>0.67689999999999995</v>
      </c>
      <c r="D56" s="15">
        <f>ROUND(0.5833, 4)</f>
        <v>0.58330000000000004</v>
      </c>
      <c r="E56" s="15">
        <f>ROUND(0.7608, 4)</f>
        <v>0.76080000000000003</v>
      </c>
      <c r="F56" s="8"/>
      <c r="G56" s="14" t="s">
        <v>67</v>
      </c>
      <c r="H56" s="27"/>
      <c r="I56" s="24"/>
      <c r="J56" s="24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68</v>
      </c>
      <c r="B60" s="25"/>
      <c r="C60" s="14" t="s">
        <v>2</v>
      </c>
      <c r="D60" s="14" t="s">
        <v>259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0" t="s">
        <v>73</v>
      </c>
      <c r="B61" s="20"/>
      <c r="C61" s="16">
        <v>96.63</v>
      </c>
      <c r="D61" s="16">
        <v>98.69</v>
      </c>
      <c r="E61" s="16">
        <v>91.13</v>
      </c>
      <c r="F61" s="16">
        <v>54.95</v>
      </c>
      <c r="G61" s="16">
        <f>12/10*C61</f>
        <v>115.95599999999999</v>
      </c>
      <c r="H61" s="8"/>
      <c r="I61" s="9"/>
      <c r="J61" s="9"/>
    </row>
    <row r="62" spans="1:10" x14ac:dyDescent="0.25">
      <c r="A62" s="20" t="s">
        <v>74</v>
      </c>
      <c r="B62" s="20"/>
      <c r="C62" s="16">
        <v>45.48</v>
      </c>
      <c r="D62" s="16">
        <v>48.73</v>
      </c>
      <c r="E62" s="16">
        <v>61.18</v>
      </c>
      <c r="F62" s="16">
        <v>62.89</v>
      </c>
      <c r="G62" s="16">
        <f>12/10*C62</f>
        <v>54.575999999999993</v>
      </c>
      <c r="H62" s="8"/>
      <c r="I62" s="9"/>
      <c r="J62" s="9"/>
    </row>
    <row r="63" spans="1:10" x14ac:dyDescent="0.25">
      <c r="A63" s="20" t="s">
        <v>75</v>
      </c>
      <c r="B63" s="20"/>
      <c r="C63" s="16">
        <v>271.64</v>
      </c>
      <c r="D63" s="16">
        <v>258.52999999999997</v>
      </c>
      <c r="E63" s="16">
        <v>287.25</v>
      </c>
      <c r="F63" s="16">
        <v>278.91000000000003</v>
      </c>
      <c r="G63" s="16">
        <f>12/10*C63</f>
        <v>325.96799999999996</v>
      </c>
      <c r="H63" s="8"/>
      <c r="I63" s="9"/>
      <c r="J63" s="9"/>
    </row>
    <row r="64" spans="1:10" x14ac:dyDescent="0.25">
      <c r="A64" s="20" t="s">
        <v>76</v>
      </c>
      <c r="B64" s="20"/>
      <c r="C64" s="16">
        <v>113.8</v>
      </c>
      <c r="D64" s="16">
        <v>115.11</v>
      </c>
      <c r="E64" s="16">
        <v>114.69</v>
      </c>
      <c r="F64" s="16">
        <v>78.319999999999993</v>
      </c>
      <c r="G64" s="16">
        <f>12/10*C64</f>
        <v>136.56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2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260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7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3916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200</v>
      </c>
      <c r="G9" s="10">
        <f t="shared" ref="G9:G43" si="0">SUM(C9:F9)</f>
        <v>200</v>
      </c>
      <c r="H9" s="16">
        <f t="shared" ref="H9:H43" si="1">ROUND(G9/3916,2)</f>
        <v>0.05</v>
      </c>
      <c r="I9" s="15">
        <f t="shared" ref="I9:I43" si="2">ROUND(G9/$G$44,3)</f>
        <v>0</v>
      </c>
      <c r="J9" s="15"/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17</v>
      </c>
      <c r="C12" s="10"/>
      <c r="D12" s="10"/>
      <c r="E12" s="10">
        <v>60</v>
      </c>
      <c r="F12" s="10"/>
      <c r="G12" s="10">
        <f t="shared" si="0"/>
        <v>60</v>
      </c>
      <c r="H12" s="16">
        <f t="shared" si="1"/>
        <v>0.02</v>
      </c>
      <c r="I12" s="15">
        <f t="shared" si="2"/>
        <v>0</v>
      </c>
      <c r="J12" s="15">
        <f>ROUND(G12/55-1,2)</f>
        <v>0.09</v>
      </c>
    </row>
    <row r="13" spans="1:10" x14ac:dyDescent="0.25">
      <c r="A13" s="1" t="s">
        <v>16</v>
      </c>
      <c r="B13" s="1" t="s">
        <v>19</v>
      </c>
      <c r="C13" s="10">
        <v>113600</v>
      </c>
      <c r="D13" s="10"/>
      <c r="E13" s="10">
        <v>6640</v>
      </c>
      <c r="F13" s="10">
        <v>60</v>
      </c>
      <c r="G13" s="10">
        <f t="shared" si="0"/>
        <v>120300</v>
      </c>
      <c r="H13" s="16">
        <f t="shared" si="1"/>
        <v>30.72</v>
      </c>
      <c r="I13" s="15">
        <f t="shared" si="2"/>
        <v>0.108</v>
      </c>
      <c r="J13" s="15">
        <f>ROUND(G13/107260-1,2)</f>
        <v>0.12</v>
      </c>
    </row>
    <row r="14" spans="1:10" x14ac:dyDescent="0.25">
      <c r="A14" s="1" t="s">
        <v>16</v>
      </c>
      <c r="B14" s="1" t="s">
        <v>20</v>
      </c>
      <c r="C14" s="10">
        <v>142440</v>
      </c>
      <c r="D14" s="10"/>
      <c r="E14" s="10"/>
      <c r="F14" s="10"/>
      <c r="G14" s="10">
        <f t="shared" si="0"/>
        <v>142440</v>
      </c>
      <c r="H14" s="16">
        <f t="shared" si="1"/>
        <v>36.369999999999997</v>
      </c>
      <c r="I14" s="15">
        <f t="shared" si="2"/>
        <v>0.128</v>
      </c>
      <c r="J14" s="15">
        <f>ROUND(G14/123840-1,2)</f>
        <v>0.15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233</v>
      </c>
      <c r="F15" s="10"/>
      <c r="G15" s="10">
        <f t="shared" si="0"/>
        <v>233</v>
      </c>
      <c r="H15" s="16">
        <f t="shared" si="1"/>
        <v>0.06</v>
      </c>
      <c r="I15" s="15">
        <f t="shared" si="2"/>
        <v>0</v>
      </c>
      <c r="J15" s="15">
        <f>ROUND(G15/208-1,2)</f>
        <v>0.12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416</v>
      </c>
      <c r="F16" s="10"/>
      <c r="G16" s="10">
        <f t="shared" si="0"/>
        <v>416</v>
      </c>
      <c r="H16" s="16">
        <f t="shared" si="1"/>
        <v>0.11</v>
      </c>
      <c r="I16" s="15">
        <f t="shared" si="2"/>
        <v>0</v>
      </c>
      <c r="J16" s="15">
        <f>ROUND(G16/271-1,2)</f>
        <v>0.54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2400</v>
      </c>
      <c r="F17" s="10"/>
      <c r="G17" s="10">
        <f t="shared" si="0"/>
        <v>2400</v>
      </c>
      <c r="H17" s="16">
        <f t="shared" si="1"/>
        <v>0.61</v>
      </c>
      <c r="I17" s="15">
        <f t="shared" si="2"/>
        <v>2E-3</v>
      </c>
      <c r="J17" s="15">
        <f>ROUND(G17/2900-1,2)</f>
        <v>-0.17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142</v>
      </c>
      <c r="G18" s="10">
        <f t="shared" si="0"/>
        <v>142</v>
      </c>
      <c r="H18" s="16">
        <f t="shared" si="1"/>
        <v>0.04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65980</v>
      </c>
      <c r="F19" s="10"/>
      <c r="G19" s="10">
        <f t="shared" si="0"/>
        <v>65980</v>
      </c>
      <c r="H19" s="16">
        <f t="shared" si="1"/>
        <v>16.850000000000001</v>
      </c>
      <c r="I19" s="15">
        <f t="shared" si="2"/>
        <v>5.8999999999999997E-2</v>
      </c>
      <c r="J19" s="15">
        <f>ROUND(G19/54140-1,2)</f>
        <v>0.22</v>
      </c>
    </row>
    <row r="20" spans="1:10" x14ac:dyDescent="0.25">
      <c r="A20" s="1" t="s">
        <v>16</v>
      </c>
      <c r="B20" s="1" t="s">
        <v>24</v>
      </c>
      <c r="C20" s="10">
        <v>139060</v>
      </c>
      <c r="D20" s="10"/>
      <c r="E20" s="10">
        <v>20920</v>
      </c>
      <c r="F20" s="10">
        <v>150</v>
      </c>
      <c r="G20" s="10">
        <f t="shared" si="0"/>
        <v>160130</v>
      </c>
      <c r="H20" s="16">
        <f t="shared" si="1"/>
        <v>40.89</v>
      </c>
      <c r="I20" s="15">
        <f t="shared" si="2"/>
        <v>0.14299999999999999</v>
      </c>
      <c r="J20" s="15">
        <f>ROUND(G20/152620-1,2)</f>
        <v>0.05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5695</v>
      </c>
      <c r="F21" s="10"/>
      <c r="G21" s="10">
        <f t="shared" si="0"/>
        <v>5695</v>
      </c>
      <c r="H21" s="16">
        <f t="shared" si="1"/>
        <v>1.45</v>
      </c>
      <c r="I21" s="15">
        <f t="shared" si="2"/>
        <v>5.0000000000000001E-3</v>
      </c>
      <c r="J21" s="15">
        <f>ROUND(G21/2980-1,2)</f>
        <v>0.91</v>
      </c>
    </row>
    <row r="22" spans="1:10" x14ac:dyDescent="0.25">
      <c r="A22" s="1" t="s">
        <v>16</v>
      </c>
      <c r="B22" s="1" t="s">
        <v>26</v>
      </c>
      <c r="C22" s="10">
        <v>109720</v>
      </c>
      <c r="D22" s="10"/>
      <c r="E22" s="10"/>
      <c r="F22" s="10">
        <v>100</v>
      </c>
      <c r="G22" s="10">
        <f t="shared" si="0"/>
        <v>109820</v>
      </c>
      <c r="H22" s="16">
        <f t="shared" si="1"/>
        <v>28.04</v>
      </c>
      <c r="I22" s="15">
        <f t="shared" si="2"/>
        <v>9.8000000000000004E-2</v>
      </c>
      <c r="J22" s="15">
        <f>ROUND(G22/110880-1,2)</f>
        <v>-0.01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1561</v>
      </c>
      <c r="F23" s="10"/>
      <c r="G23" s="10">
        <f t="shared" si="0"/>
        <v>1561</v>
      </c>
      <c r="H23" s="16">
        <f t="shared" si="1"/>
        <v>0.4</v>
      </c>
      <c r="I23" s="15">
        <f t="shared" si="2"/>
        <v>1E-3</v>
      </c>
      <c r="J23" s="15">
        <f>ROUND(G23/1328-1,2)</f>
        <v>0.18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1128</v>
      </c>
      <c r="F24" s="10"/>
      <c r="G24" s="10">
        <f t="shared" si="0"/>
        <v>1128</v>
      </c>
      <c r="H24" s="16">
        <f t="shared" si="1"/>
        <v>0.28999999999999998</v>
      </c>
      <c r="I24" s="15">
        <f t="shared" si="2"/>
        <v>1E-3</v>
      </c>
      <c r="J24" s="15">
        <f>ROUND(G24/685-1,2)</f>
        <v>0.65</v>
      </c>
    </row>
    <row r="25" spans="1:10" x14ac:dyDescent="0.25">
      <c r="A25" s="1" t="s">
        <v>16</v>
      </c>
      <c r="B25" s="1" t="s">
        <v>29</v>
      </c>
      <c r="C25" s="10"/>
      <c r="D25" s="10"/>
      <c r="E25" s="10">
        <v>3090</v>
      </c>
      <c r="F25" s="10"/>
      <c r="G25" s="10">
        <f t="shared" si="0"/>
        <v>3090</v>
      </c>
      <c r="H25" s="16">
        <f t="shared" si="1"/>
        <v>0.79</v>
      </c>
      <c r="I25" s="15">
        <f t="shared" si="2"/>
        <v>3.0000000000000001E-3</v>
      </c>
      <c r="J25" s="15">
        <f>ROUND(G25/5530-1,2)</f>
        <v>-0.44</v>
      </c>
    </row>
    <row r="26" spans="1:10" x14ac:dyDescent="0.25">
      <c r="A26" s="1" t="s">
        <v>16</v>
      </c>
      <c r="B26" s="1" t="s">
        <v>30</v>
      </c>
      <c r="C26" s="10"/>
      <c r="D26" s="10"/>
      <c r="E26" s="10">
        <v>1080</v>
      </c>
      <c r="F26" s="10"/>
      <c r="G26" s="10">
        <f t="shared" si="0"/>
        <v>1080</v>
      </c>
      <c r="H26" s="16">
        <f t="shared" si="1"/>
        <v>0.28000000000000003</v>
      </c>
      <c r="I26" s="15">
        <f t="shared" si="2"/>
        <v>1E-3</v>
      </c>
      <c r="J26" s="15">
        <f>ROUND(G26/1030-1,2)</f>
        <v>0.05</v>
      </c>
    </row>
    <row r="27" spans="1:10" x14ac:dyDescent="0.25">
      <c r="A27" s="1" t="s">
        <v>16</v>
      </c>
      <c r="B27" s="1" t="s">
        <v>31</v>
      </c>
      <c r="C27" s="10"/>
      <c r="D27" s="10"/>
      <c r="E27" s="10">
        <v>770</v>
      </c>
      <c r="F27" s="10"/>
      <c r="G27" s="10">
        <f t="shared" si="0"/>
        <v>770</v>
      </c>
      <c r="H27" s="16">
        <f t="shared" si="1"/>
        <v>0.2</v>
      </c>
      <c r="I27" s="15">
        <f t="shared" si="2"/>
        <v>1E-3</v>
      </c>
      <c r="J27" s="15">
        <f>ROUND(G27/850-1,2)</f>
        <v>-0.09</v>
      </c>
    </row>
    <row r="28" spans="1:10" x14ac:dyDescent="0.25">
      <c r="A28" s="1" t="s">
        <v>16</v>
      </c>
      <c r="B28" s="1" t="s">
        <v>32</v>
      </c>
      <c r="C28" s="10"/>
      <c r="D28" s="10"/>
      <c r="E28" s="10">
        <v>2340</v>
      </c>
      <c r="F28" s="10"/>
      <c r="G28" s="10">
        <f t="shared" si="0"/>
        <v>2340</v>
      </c>
      <c r="H28" s="16">
        <f t="shared" si="1"/>
        <v>0.6</v>
      </c>
      <c r="I28" s="15">
        <f t="shared" si="2"/>
        <v>2E-3</v>
      </c>
      <c r="J28" s="15">
        <f>ROUND(G28/1300-1,2)</f>
        <v>0.8</v>
      </c>
    </row>
    <row r="29" spans="1:10" x14ac:dyDescent="0.25">
      <c r="A29" s="1" t="s">
        <v>16</v>
      </c>
      <c r="B29" s="1" t="s">
        <v>33</v>
      </c>
      <c r="C29" s="10"/>
      <c r="D29" s="10">
        <v>279</v>
      </c>
      <c r="E29" s="10">
        <v>186</v>
      </c>
      <c r="F29" s="10"/>
      <c r="G29" s="10">
        <f t="shared" si="0"/>
        <v>465</v>
      </c>
      <c r="H29" s="16">
        <f t="shared" si="1"/>
        <v>0.12</v>
      </c>
      <c r="I29" s="15">
        <f t="shared" si="2"/>
        <v>0</v>
      </c>
      <c r="J29" s="15">
        <f>ROUND(G29/384-1,2)</f>
        <v>0.21</v>
      </c>
    </row>
    <row r="30" spans="1:10" x14ac:dyDescent="0.25">
      <c r="A30" s="1" t="s">
        <v>16</v>
      </c>
      <c r="B30" s="1" t="s">
        <v>35</v>
      </c>
      <c r="C30" s="10"/>
      <c r="D30" s="10"/>
      <c r="E30" s="10">
        <v>240</v>
      </c>
      <c r="F30" s="10"/>
      <c r="G30" s="10">
        <f t="shared" si="0"/>
        <v>240</v>
      </c>
      <c r="H30" s="16">
        <f t="shared" si="1"/>
        <v>0.06</v>
      </c>
      <c r="I30" s="15">
        <f t="shared" si="2"/>
        <v>0</v>
      </c>
      <c r="J30" s="15">
        <f>ROUND(G30/336-1,2)</f>
        <v>-0.28999999999999998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1020</v>
      </c>
      <c r="F31" s="10"/>
      <c r="G31" s="10">
        <f t="shared" si="0"/>
        <v>1020</v>
      </c>
      <c r="H31" s="16">
        <f t="shared" si="1"/>
        <v>0.26</v>
      </c>
      <c r="I31" s="15">
        <f t="shared" si="2"/>
        <v>1E-3</v>
      </c>
      <c r="J31" s="15">
        <f>ROUND(G31/1230-1,2)</f>
        <v>-0.17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5380</v>
      </c>
      <c r="F32" s="10"/>
      <c r="G32" s="10">
        <f t="shared" si="0"/>
        <v>5380</v>
      </c>
      <c r="H32" s="16">
        <f t="shared" si="1"/>
        <v>1.37</v>
      </c>
      <c r="I32" s="15">
        <f t="shared" si="2"/>
        <v>5.0000000000000001E-3</v>
      </c>
      <c r="J32" s="15">
        <f>ROUND(G32/4120-1,2)</f>
        <v>0.31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5313</v>
      </c>
      <c r="F33" s="10"/>
      <c r="G33" s="10">
        <f t="shared" si="0"/>
        <v>5313</v>
      </c>
      <c r="H33" s="16">
        <f t="shared" si="1"/>
        <v>1.36</v>
      </c>
      <c r="I33" s="15">
        <f t="shared" si="2"/>
        <v>5.0000000000000001E-3</v>
      </c>
      <c r="J33" s="15">
        <f>ROUND(G33/11921-1,2)</f>
        <v>-0.55000000000000004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98195</v>
      </c>
      <c r="F34" s="10"/>
      <c r="G34" s="10">
        <f t="shared" si="0"/>
        <v>98195</v>
      </c>
      <c r="H34" s="16">
        <f t="shared" si="1"/>
        <v>25.08</v>
      </c>
      <c r="I34" s="15">
        <f t="shared" si="2"/>
        <v>8.7999999999999995E-2</v>
      </c>
      <c r="J34" s="15">
        <f>ROUND(G34/67630-1,2)</f>
        <v>0.45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5130</v>
      </c>
      <c r="F35" s="10"/>
      <c r="G35" s="10">
        <f t="shared" si="0"/>
        <v>5130</v>
      </c>
      <c r="H35" s="16">
        <f t="shared" si="1"/>
        <v>1.31</v>
      </c>
      <c r="I35" s="15">
        <f t="shared" si="2"/>
        <v>5.0000000000000001E-3</v>
      </c>
      <c r="J35" s="15">
        <f>ROUND(G35/5190-1,2)</f>
        <v>-0.01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20060</v>
      </c>
      <c r="F36" s="10"/>
      <c r="G36" s="10">
        <f t="shared" si="0"/>
        <v>20060</v>
      </c>
      <c r="H36" s="16">
        <f t="shared" si="1"/>
        <v>5.12</v>
      </c>
      <c r="I36" s="15">
        <f t="shared" si="2"/>
        <v>1.7999999999999999E-2</v>
      </c>
      <c r="J36" s="15">
        <f>ROUND(G36/15620-1,2)</f>
        <v>0.28000000000000003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102910</v>
      </c>
      <c r="F37" s="10"/>
      <c r="G37" s="10">
        <f t="shared" si="0"/>
        <v>102910</v>
      </c>
      <c r="H37" s="16">
        <f t="shared" si="1"/>
        <v>26.28</v>
      </c>
      <c r="I37" s="15">
        <f t="shared" si="2"/>
        <v>9.1999999999999998E-2</v>
      </c>
      <c r="J37" s="15">
        <f>ROUND(G37/85960-1,2)</f>
        <v>0.2</v>
      </c>
    </row>
    <row r="38" spans="1:10" x14ac:dyDescent="0.25">
      <c r="A38" s="1" t="s">
        <v>16</v>
      </c>
      <c r="B38" s="1" t="s">
        <v>36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ROUND(G38/2088-1,2)</f>
        <v>-1</v>
      </c>
    </row>
    <row r="39" spans="1:10" x14ac:dyDescent="0.25">
      <c r="A39" s="1" t="s">
        <v>16</v>
      </c>
      <c r="B39" s="1" t="s">
        <v>262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42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ROUND(G40/110-1,2)</f>
        <v>-1</v>
      </c>
    </row>
    <row r="41" spans="1:10" x14ac:dyDescent="0.25">
      <c r="A41" s="1" t="s">
        <v>44</v>
      </c>
      <c r="B41" s="1" t="s">
        <v>45</v>
      </c>
      <c r="C41" s="10">
        <v>156770</v>
      </c>
      <c r="D41" s="10"/>
      <c r="E41" s="10"/>
      <c r="F41" s="10">
        <v>1250</v>
      </c>
      <c r="G41" s="10">
        <f t="shared" si="0"/>
        <v>158020</v>
      </c>
      <c r="H41" s="16">
        <f t="shared" si="1"/>
        <v>40.35</v>
      </c>
      <c r="I41" s="15">
        <f t="shared" si="2"/>
        <v>0.14099999999999999</v>
      </c>
      <c r="J41" s="15">
        <f>ROUND(G41/168710-1,2)</f>
        <v>-0.06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33620</v>
      </c>
      <c r="G42" s="10">
        <f t="shared" si="0"/>
        <v>33620</v>
      </c>
      <c r="H42" s="16">
        <f t="shared" si="1"/>
        <v>8.59</v>
      </c>
      <c r="I42" s="15">
        <f t="shared" si="2"/>
        <v>0.03</v>
      </c>
      <c r="J42" s="15">
        <f>ROUND(G42/35940-1,2)</f>
        <v>-0.06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69030</v>
      </c>
      <c r="F43" s="10"/>
      <c r="G43" s="10">
        <f t="shared" si="0"/>
        <v>69030</v>
      </c>
      <c r="H43" s="16">
        <f t="shared" si="1"/>
        <v>17.63</v>
      </c>
      <c r="I43" s="15">
        <f t="shared" si="2"/>
        <v>6.2E-2</v>
      </c>
      <c r="J43" s="15">
        <f>ROUND(G43/42910-1,2)</f>
        <v>0.61</v>
      </c>
    </row>
    <row r="44" spans="1:10" x14ac:dyDescent="0.25">
      <c r="A44" s="25" t="s">
        <v>12</v>
      </c>
      <c r="B44" s="25"/>
      <c r="C44" s="11">
        <f t="shared" ref="C44:H44" si="3">SUM(C8:C43)</f>
        <v>661590</v>
      </c>
      <c r="D44" s="11">
        <f t="shared" si="3"/>
        <v>279</v>
      </c>
      <c r="E44" s="11">
        <f t="shared" si="3"/>
        <v>419777</v>
      </c>
      <c r="F44" s="11">
        <f t="shared" si="3"/>
        <v>35522</v>
      </c>
      <c r="G44" s="11">
        <f t="shared" si="3"/>
        <v>1117168</v>
      </c>
      <c r="H44" s="14">
        <f t="shared" si="3"/>
        <v>285.29999999999995</v>
      </c>
      <c r="I44" s="17"/>
      <c r="J44" s="17"/>
    </row>
    <row r="45" spans="1:10" x14ac:dyDescent="0.25">
      <c r="A45" s="25" t="s">
        <v>14</v>
      </c>
      <c r="B45" s="25"/>
      <c r="C45" s="12">
        <f>ROUND(C44/G44,2)</f>
        <v>0.59</v>
      </c>
      <c r="D45" s="12">
        <f>ROUND(D44/G44,2)</f>
        <v>0</v>
      </c>
      <c r="E45" s="12">
        <f>ROUND(E44/G44,2)</f>
        <v>0.38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53</v>
      </c>
      <c r="B50" s="25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0" t="s">
        <v>54</v>
      </c>
      <c r="B51" s="20"/>
      <c r="C51" s="10">
        <v>504820</v>
      </c>
      <c r="D51" s="10">
        <v>279</v>
      </c>
      <c r="E51" s="10">
        <v>350747</v>
      </c>
      <c r="F51" s="10">
        <v>452</v>
      </c>
      <c r="G51" s="10">
        <f>SUM(C51:F51)</f>
        <v>856298</v>
      </c>
      <c r="H51" s="16">
        <f>ROUND(G51/3916,2)</f>
        <v>218.67</v>
      </c>
      <c r="I51" s="9"/>
      <c r="J51" s="9"/>
    </row>
    <row r="52" spans="1:10" x14ac:dyDescent="0.25">
      <c r="A52" s="20" t="s">
        <v>55</v>
      </c>
      <c r="B52" s="20"/>
      <c r="C52" s="10">
        <v>156770</v>
      </c>
      <c r="D52" s="10">
        <v>0</v>
      </c>
      <c r="E52" s="10">
        <v>69030</v>
      </c>
      <c r="F52" s="10">
        <v>34870</v>
      </c>
      <c r="G52" s="10">
        <f>SUM(C52:F52)</f>
        <v>260670</v>
      </c>
      <c r="H52" s="16">
        <f>ROUND(G52/3916,2)</f>
        <v>66.569999999999993</v>
      </c>
      <c r="I52" s="9"/>
      <c r="J52" s="9"/>
    </row>
    <row r="53" spans="1:10" x14ac:dyDescent="0.25">
      <c r="A53" s="20" t="s">
        <v>56</v>
      </c>
      <c r="B53" s="20"/>
      <c r="C53" s="10">
        <v>0</v>
      </c>
      <c r="D53" s="10">
        <v>0</v>
      </c>
      <c r="E53" s="10">
        <v>0</v>
      </c>
      <c r="F53" s="10">
        <v>200</v>
      </c>
      <c r="G53" s="10">
        <f>SUM(C53:F53)</f>
        <v>200</v>
      </c>
      <c r="H53" s="16">
        <f>ROUND(G53/3916,2)</f>
        <v>0.05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57</v>
      </c>
      <c r="B58" s="25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0" t="s">
        <v>58</v>
      </c>
      <c r="B59" s="20"/>
      <c r="C59" s="15">
        <f>ROUND(0.8385, 4)</f>
        <v>0.83850000000000002</v>
      </c>
      <c r="D59" s="15">
        <f>ROUND(0.8082, 4)</f>
        <v>0.80820000000000003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3" t="s">
        <v>64</v>
      </c>
      <c r="J59" s="23" t="s">
        <v>65</v>
      </c>
    </row>
    <row r="60" spans="1:10" x14ac:dyDescent="0.25">
      <c r="A60" s="20" t="s">
        <v>66</v>
      </c>
      <c r="B60" s="20"/>
      <c r="C60" s="15">
        <f>ROUND(0.8238, 4)</f>
        <v>0.82379999999999998</v>
      </c>
      <c r="D60" s="15">
        <f>ROUND(0.7937, 4)</f>
        <v>0.79369999999999996</v>
      </c>
      <c r="E60" s="15">
        <f>ROUND(0.7608, 4)</f>
        <v>0.76080000000000003</v>
      </c>
      <c r="F60" s="8"/>
      <c r="G60" s="14" t="s">
        <v>67</v>
      </c>
      <c r="H60" s="27"/>
      <c r="I60" s="24"/>
      <c r="J60" s="24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5" t="s">
        <v>68</v>
      </c>
      <c r="B64" s="25"/>
      <c r="C64" s="14" t="s">
        <v>2</v>
      </c>
      <c r="D64" s="14" t="s">
        <v>263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0" t="s">
        <v>73</v>
      </c>
      <c r="B65" s="20"/>
      <c r="C65" s="16">
        <v>40.35</v>
      </c>
      <c r="D65" s="16">
        <v>49.13</v>
      </c>
      <c r="E65" s="16">
        <v>91.13</v>
      </c>
      <c r="F65" s="16">
        <v>54.95</v>
      </c>
      <c r="G65" s="16">
        <f>12/10*C65</f>
        <v>48.42</v>
      </c>
      <c r="H65" s="8"/>
      <c r="I65" s="9"/>
      <c r="J65" s="9"/>
    </row>
    <row r="66" spans="1:10" x14ac:dyDescent="0.25">
      <c r="A66" s="20" t="s">
        <v>74</v>
      </c>
      <c r="B66" s="20"/>
      <c r="C66" s="16">
        <v>28.04</v>
      </c>
      <c r="D66" s="16">
        <v>32.119999999999997</v>
      </c>
      <c r="E66" s="16">
        <v>61.18</v>
      </c>
      <c r="F66" s="16">
        <v>62.89</v>
      </c>
      <c r="G66" s="16">
        <f>12/10*C66</f>
        <v>33.647999999999996</v>
      </c>
      <c r="H66" s="8"/>
      <c r="I66" s="9"/>
      <c r="J66" s="9"/>
    </row>
    <row r="67" spans="1:10" x14ac:dyDescent="0.25">
      <c r="A67" s="20" t="s">
        <v>75</v>
      </c>
      <c r="B67" s="20"/>
      <c r="C67" s="16">
        <v>218.67</v>
      </c>
      <c r="D67" s="16">
        <v>221.89</v>
      </c>
      <c r="E67" s="16">
        <v>287.25</v>
      </c>
      <c r="F67" s="16">
        <v>278.91000000000003</v>
      </c>
      <c r="G67" s="16">
        <f>12/10*C67</f>
        <v>262.404</v>
      </c>
      <c r="H67" s="8"/>
      <c r="I67" s="9"/>
      <c r="J67" s="9"/>
    </row>
    <row r="68" spans="1:10" x14ac:dyDescent="0.25">
      <c r="A68" s="20" t="s">
        <v>76</v>
      </c>
      <c r="B68" s="20"/>
      <c r="C68" s="16">
        <v>66.569999999999993</v>
      </c>
      <c r="D68" s="16">
        <v>72.239999999999995</v>
      </c>
      <c r="E68" s="16">
        <v>114.69</v>
      </c>
      <c r="F68" s="16">
        <v>78.319999999999993</v>
      </c>
      <c r="G68" s="16">
        <f>12/10*C68</f>
        <v>79.883999999999986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1" t="s">
        <v>60</v>
      </c>
      <c r="B71" s="22"/>
    </row>
    <row r="72" spans="1:10" x14ac:dyDescent="0.25">
      <c r="A72" s="3" t="s">
        <v>77</v>
      </c>
      <c r="B72" s="1" t="s">
        <v>264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1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254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</v>
      </c>
      <c r="F9" s="10"/>
      <c r="G9" s="10">
        <f t="shared" ref="G9:G37" si="0">SUM(C9:F9)</f>
        <v>5</v>
      </c>
      <c r="H9" s="16">
        <f t="shared" ref="H9:H37" si="1">ROUND(G9/254,2)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8200</v>
      </c>
      <c r="D10" s="10"/>
      <c r="E10" s="10">
        <v>1016</v>
      </c>
      <c r="F10" s="10"/>
      <c r="G10" s="10">
        <f t="shared" si="0"/>
        <v>9216</v>
      </c>
      <c r="H10" s="16">
        <f t="shared" si="1"/>
        <v>36.28</v>
      </c>
      <c r="I10" s="15">
        <f t="shared" si="2"/>
        <v>9.9000000000000005E-2</v>
      </c>
      <c r="J10" s="15">
        <f>ROUND(G10/6925.13-1,2)</f>
        <v>0.33</v>
      </c>
    </row>
    <row r="11" spans="1:10" x14ac:dyDescent="0.25">
      <c r="A11" s="1" t="s">
        <v>16</v>
      </c>
      <c r="B11" s="1" t="s">
        <v>20</v>
      </c>
      <c r="C11" s="10">
        <v>11690</v>
      </c>
      <c r="D11" s="10"/>
      <c r="E11" s="10"/>
      <c r="F11" s="10"/>
      <c r="G11" s="10">
        <f t="shared" si="0"/>
        <v>11690</v>
      </c>
      <c r="H11" s="16">
        <f t="shared" si="1"/>
        <v>46.02</v>
      </c>
      <c r="I11" s="15">
        <f t="shared" si="2"/>
        <v>0.125</v>
      </c>
      <c r="J11" s="15">
        <f>ROUND(G11/10070-1,2)</f>
        <v>0.16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23</v>
      </c>
      <c r="F12" s="10"/>
      <c r="G12" s="10">
        <f t="shared" si="0"/>
        <v>23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282</v>
      </c>
      <c r="F13" s="10"/>
      <c r="G13" s="10">
        <f t="shared" si="0"/>
        <v>282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6400</v>
      </c>
      <c r="F14" s="10"/>
      <c r="G14" s="10">
        <f t="shared" si="0"/>
        <v>6400</v>
      </c>
      <c r="H14" s="16">
        <f t="shared" si="1"/>
        <v>25.2</v>
      </c>
      <c r="I14" s="15">
        <f t="shared" si="2"/>
        <v>6.9000000000000006E-2</v>
      </c>
      <c r="J14" s="15">
        <f>ROUND(G14/2949.76-1,2)</f>
        <v>1.17</v>
      </c>
    </row>
    <row r="15" spans="1:10" x14ac:dyDescent="0.25">
      <c r="A15" s="1" t="s">
        <v>16</v>
      </c>
      <c r="B15" s="1" t="s">
        <v>24</v>
      </c>
      <c r="C15" s="10">
        <v>7840</v>
      </c>
      <c r="D15" s="10"/>
      <c r="E15" s="10">
        <v>2495</v>
      </c>
      <c r="F15" s="10"/>
      <c r="G15" s="10">
        <f t="shared" si="0"/>
        <v>10335</v>
      </c>
      <c r="H15" s="16">
        <f t="shared" si="1"/>
        <v>40.69</v>
      </c>
      <c r="I15" s="15">
        <f t="shared" si="2"/>
        <v>0.111</v>
      </c>
      <c r="J15" s="15">
        <f>ROUND(G15/9874.76-1,2)</f>
        <v>0.05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412</v>
      </c>
      <c r="F16" s="10"/>
      <c r="G16" s="10">
        <f t="shared" si="0"/>
        <v>412</v>
      </c>
      <c r="H16" s="16">
        <f t="shared" si="1"/>
        <v>1.62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12540</v>
      </c>
      <c r="D17" s="10"/>
      <c r="E17" s="10"/>
      <c r="F17" s="10"/>
      <c r="G17" s="10">
        <f t="shared" si="0"/>
        <v>12540</v>
      </c>
      <c r="H17" s="16">
        <f t="shared" si="1"/>
        <v>49.37</v>
      </c>
      <c r="I17" s="15">
        <f t="shared" si="2"/>
        <v>0.13400000000000001</v>
      </c>
      <c r="J17" s="15">
        <f>ROUND(G17/10820-1,2)</f>
        <v>0.16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76</v>
      </c>
      <c r="F18" s="10"/>
      <c r="G18" s="10">
        <f t="shared" si="0"/>
        <v>76</v>
      </c>
      <c r="H18" s="16">
        <f t="shared" si="1"/>
        <v>0.3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50</v>
      </c>
      <c r="F19" s="10"/>
      <c r="G19" s="10">
        <f t="shared" si="0"/>
        <v>50</v>
      </c>
      <c r="H19" s="16">
        <f t="shared" si="1"/>
        <v>0.2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8</v>
      </c>
      <c r="F20" s="10"/>
      <c r="G20" s="10">
        <f t="shared" si="0"/>
        <v>8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194</v>
      </c>
      <c r="F21" s="10"/>
      <c r="G21" s="10">
        <f t="shared" si="0"/>
        <v>194</v>
      </c>
      <c r="H21" s="16">
        <f t="shared" si="1"/>
        <v>0.76</v>
      </c>
      <c r="I21" s="15">
        <f t="shared" si="2"/>
        <v>2E-3</v>
      </c>
      <c r="J21" s="15">
        <f>ROUND(G21/425-1,2)</f>
        <v>-0.54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45</v>
      </c>
      <c r="F22" s="10"/>
      <c r="G22" s="10">
        <f t="shared" si="0"/>
        <v>45</v>
      </c>
      <c r="H22" s="16">
        <f t="shared" si="1"/>
        <v>0.18</v>
      </c>
      <c r="I22" s="15">
        <f t="shared" si="2"/>
        <v>0</v>
      </c>
      <c r="J22" s="15">
        <f>ROUND(G22/26.83-1,2)</f>
        <v>0.68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53</v>
      </c>
      <c r="F23" s="10"/>
      <c r="G23" s="10">
        <f t="shared" si="0"/>
        <v>53</v>
      </c>
      <c r="H23" s="16">
        <f t="shared" si="1"/>
        <v>0.21</v>
      </c>
      <c r="I23" s="15">
        <f t="shared" si="2"/>
        <v>1E-3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153</v>
      </c>
      <c r="F24" s="10"/>
      <c r="G24" s="10">
        <f t="shared" si="0"/>
        <v>153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22</v>
      </c>
      <c r="F25" s="10"/>
      <c r="G25" s="10">
        <f t="shared" si="0"/>
        <v>22</v>
      </c>
      <c r="H25" s="16">
        <f t="shared" si="1"/>
        <v>0.09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43</v>
      </c>
      <c r="C26" s="10"/>
      <c r="D26" s="10"/>
      <c r="E26" s="10">
        <v>344</v>
      </c>
      <c r="F26" s="10"/>
      <c r="G26" s="10">
        <f t="shared" si="0"/>
        <v>344</v>
      </c>
      <c r="H26" s="16">
        <f t="shared" si="1"/>
        <v>1.35</v>
      </c>
      <c r="I26" s="15">
        <f t="shared" si="2"/>
        <v>4.0000000000000001E-3</v>
      </c>
      <c r="J26" s="15"/>
    </row>
    <row r="27" spans="1:10" x14ac:dyDescent="0.25">
      <c r="A27" s="1" t="s">
        <v>16</v>
      </c>
      <c r="B27" s="1" t="s">
        <v>37</v>
      </c>
      <c r="C27" s="10"/>
      <c r="D27" s="10"/>
      <c r="E27" s="10">
        <v>348</v>
      </c>
      <c r="F27" s="10"/>
      <c r="G27" s="10">
        <f t="shared" si="0"/>
        <v>348</v>
      </c>
      <c r="H27" s="16">
        <f t="shared" si="1"/>
        <v>1.37</v>
      </c>
      <c r="I27" s="15">
        <f t="shared" si="2"/>
        <v>4.0000000000000001E-3</v>
      </c>
      <c r="J27" s="15">
        <f>ROUND(G27/58.02-1,2)</f>
        <v>5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6139</v>
      </c>
      <c r="F28" s="10"/>
      <c r="G28" s="10">
        <f t="shared" si="0"/>
        <v>6139</v>
      </c>
      <c r="H28" s="16">
        <f t="shared" si="1"/>
        <v>24.17</v>
      </c>
      <c r="I28" s="15">
        <f t="shared" si="2"/>
        <v>6.6000000000000003E-2</v>
      </c>
      <c r="J28" s="15">
        <f>ROUND(G28/3846.28-1,2)</f>
        <v>0.6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2274</v>
      </c>
      <c r="F29" s="10"/>
      <c r="G29" s="10">
        <f t="shared" si="0"/>
        <v>2274</v>
      </c>
      <c r="H29" s="16">
        <f t="shared" si="1"/>
        <v>8.9499999999999993</v>
      </c>
      <c r="I29" s="15">
        <f t="shared" si="2"/>
        <v>2.4E-2</v>
      </c>
      <c r="J29" s="15">
        <f>ROUND(G29/1368.72-1,2)</f>
        <v>0.66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4333</v>
      </c>
      <c r="F30" s="10"/>
      <c r="G30" s="10">
        <f t="shared" si="0"/>
        <v>4333</v>
      </c>
      <c r="H30" s="16">
        <f t="shared" si="1"/>
        <v>17.059999999999999</v>
      </c>
      <c r="I30" s="15">
        <f t="shared" si="2"/>
        <v>4.5999999999999999E-2</v>
      </c>
      <c r="J30" s="15">
        <f>ROUND(G30/235.95-1,2)</f>
        <v>17.36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ROUND(G31/328.12-1,2)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24680</v>
      </c>
      <c r="D34" s="10"/>
      <c r="E34" s="10"/>
      <c r="F34" s="10"/>
      <c r="G34" s="10">
        <f t="shared" si="0"/>
        <v>24680</v>
      </c>
      <c r="H34" s="16">
        <f t="shared" si="1"/>
        <v>97.17</v>
      </c>
      <c r="I34" s="15">
        <f t="shared" si="2"/>
        <v>0.26400000000000001</v>
      </c>
      <c r="J34" s="15">
        <f>ROUND(G34/22260-1,2)</f>
        <v>0.11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3744</v>
      </c>
      <c r="F35" s="10"/>
      <c r="G35" s="10">
        <f t="shared" si="0"/>
        <v>3744</v>
      </c>
      <c r="H35" s="16">
        <f t="shared" si="1"/>
        <v>14.74</v>
      </c>
      <c r="I35" s="15">
        <f t="shared" si="2"/>
        <v>0.04</v>
      </c>
      <c r="J35" s="15">
        <f>ROUND(G35/2038.72-1,2)</f>
        <v>0.84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5" t="s">
        <v>12</v>
      </c>
      <c r="B38" s="25"/>
      <c r="C38" s="11">
        <f t="shared" ref="C38:H38" si="3">SUM(C8:C37)</f>
        <v>64950</v>
      </c>
      <c r="D38" s="11">
        <f t="shared" si="3"/>
        <v>0</v>
      </c>
      <c r="E38" s="11">
        <f t="shared" si="3"/>
        <v>28416</v>
      </c>
      <c r="F38" s="11">
        <f t="shared" si="3"/>
        <v>0</v>
      </c>
      <c r="G38" s="11">
        <f t="shared" si="3"/>
        <v>93366</v>
      </c>
      <c r="H38" s="14">
        <f t="shared" si="3"/>
        <v>367.58000000000004</v>
      </c>
      <c r="I38" s="17"/>
      <c r="J38" s="17"/>
    </row>
    <row r="39" spans="1:10" x14ac:dyDescent="0.25">
      <c r="A39" s="25" t="s">
        <v>14</v>
      </c>
      <c r="B39" s="25"/>
      <c r="C39" s="12">
        <f>ROUND(C38/G38,2)</f>
        <v>0.7</v>
      </c>
      <c r="D39" s="12">
        <f>ROUND(D38/G38,2)</f>
        <v>0</v>
      </c>
      <c r="E39" s="12">
        <f>ROUND(E38/G38,2)</f>
        <v>0.3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53</v>
      </c>
      <c r="B44" s="25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0" t="s">
        <v>54</v>
      </c>
      <c r="B45" s="20"/>
      <c r="C45" s="10">
        <v>40270</v>
      </c>
      <c r="D45" s="10">
        <v>0</v>
      </c>
      <c r="E45" s="10">
        <v>24672</v>
      </c>
      <c r="F45" s="10">
        <v>0</v>
      </c>
      <c r="G45" s="10">
        <f>SUM(C45:F45)</f>
        <v>64942</v>
      </c>
      <c r="H45" s="16">
        <f>ROUND(G45/254,2)</f>
        <v>255.68</v>
      </c>
      <c r="I45" s="9"/>
      <c r="J45" s="9"/>
    </row>
    <row r="46" spans="1:10" x14ac:dyDescent="0.25">
      <c r="A46" s="20" t="s">
        <v>55</v>
      </c>
      <c r="B46" s="20"/>
      <c r="C46" s="10">
        <v>24680</v>
      </c>
      <c r="D46" s="10">
        <v>0</v>
      </c>
      <c r="E46" s="10">
        <v>3744</v>
      </c>
      <c r="F46" s="10">
        <v>0</v>
      </c>
      <c r="G46" s="10">
        <f>SUM(C46:F46)</f>
        <v>28424</v>
      </c>
      <c r="H46" s="16">
        <f>ROUND(G46/254,2)</f>
        <v>111.91</v>
      </c>
      <c r="I46" s="9"/>
      <c r="J46" s="9"/>
    </row>
    <row r="47" spans="1:10" x14ac:dyDescent="0.25">
      <c r="A47" s="20" t="s">
        <v>56</v>
      </c>
      <c r="B47" s="20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ROUND(G47/254,2)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57</v>
      </c>
      <c r="B52" s="25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0" t="s">
        <v>58</v>
      </c>
      <c r="B53" s="20"/>
      <c r="C53" s="15">
        <f>ROUND(0.7127, 4)</f>
        <v>0.7127</v>
      </c>
      <c r="D53" s="15">
        <f>ROUND(0.6531, 4)</f>
        <v>0.65310000000000001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3" t="s">
        <v>64</v>
      </c>
      <c r="J53" s="23" t="s">
        <v>65</v>
      </c>
    </row>
    <row r="54" spans="1:10" x14ac:dyDescent="0.25">
      <c r="A54" s="20" t="s">
        <v>66</v>
      </c>
      <c r="B54" s="20"/>
      <c r="C54" s="15">
        <f>ROUND(0.6732, 4)</f>
        <v>0.67320000000000002</v>
      </c>
      <c r="D54" s="15">
        <f>ROUND(0.6157, 4)</f>
        <v>0.61570000000000003</v>
      </c>
      <c r="E54" s="15">
        <f>ROUND(0.7608, 4)</f>
        <v>0.76080000000000003</v>
      </c>
      <c r="F54" s="8"/>
      <c r="G54" s="14" t="s">
        <v>67</v>
      </c>
      <c r="H54" s="27"/>
      <c r="I54" s="24"/>
      <c r="J54" s="24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68</v>
      </c>
      <c r="B58" s="25"/>
      <c r="C58" s="14" t="s">
        <v>2</v>
      </c>
      <c r="D58" s="14" t="s">
        <v>266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0" t="s">
        <v>73</v>
      </c>
      <c r="B59" s="20"/>
      <c r="C59" s="16">
        <v>97.17</v>
      </c>
      <c r="D59" s="16">
        <v>110.34</v>
      </c>
      <c r="E59" s="16">
        <v>91.13</v>
      </c>
      <c r="F59" s="16">
        <v>54.95</v>
      </c>
      <c r="G59" s="16">
        <f>12/10*C59</f>
        <v>116.604</v>
      </c>
      <c r="H59" s="8"/>
      <c r="I59" s="9"/>
      <c r="J59" s="9"/>
    </row>
    <row r="60" spans="1:10" x14ac:dyDescent="0.25">
      <c r="A60" s="20" t="s">
        <v>74</v>
      </c>
      <c r="B60" s="20"/>
      <c r="C60" s="16">
        <v>49.37</v>
      </c>
      <c r="D60" s="16">
        <v>70.430000000000007</v>
      </c>
      <c r="E60" s="16">
        <v>61.18</v>
      </c>
      <c r="F60" s="16">
        <v>62.89</v>
      </c>
      <c r="G60" s="16">
        <f>12/10*C60</f>
        <v>59.243999999999993</v>
      </c>
      <c r="H60" s="8"/>
      <c r="I60" s="9"/>
      <c r="J60" s="9"/>
    </row>
    <row r="61" spans="1:10" x14ac:dyDescent="0.25">
      <c r="A61" s="20" t="s">
        <v>75</v>
      </c>
      <c r="B61" s="20"/>
      <c r="C61" s="16">
        <v>255.68</v>
      </c>
      <c r="D61" s="16">
        <v>280.48</v>
      </c>
      <c r="E61" s="16">
        <v>287.25</v>
      </c>
      <c r="F61" s="16">
        <v>278.91000000000003</v>
      </c>
      <c r="G61" s="16">
        <f>12/10*C61</f>
        <v>306.81599999999997</v>
      </c>
      <c r="H61" s="8"/>
      <c r="I61" s="9"/>
      <c r="J61" s="9"/>
    </row>
    <row r="62" spans="1:10" x14ac:dyDescent="0.25">
      <c r="A62" s="20" t="s">
        <v>76</v>
      </c>
      <c r="B62" s="20"/>
      <c r="C62" s="16">
        <v>111.91</v>
      </c>
      <c r="D62" s="16">
        <v>125.54</v>
      </c>
      <c r="E62" s="16">
        <v>114.69</v>
      </c>
      <c r="F62" s="16">
        <v>78.319999999999993</v>
      </c>
      <c r="G62" s="16">
        <f>12/10*C62</f>
        <v>134.292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2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267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2820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94</v>
      </c>
      <c r="F9" s="10"/>
      <c r="G9" s="10">
        <f t="shared" ref="G9:G38" si="0">SUM(C9:F9)</f>
        <v>94</v>
      </c>
      <c r="H9" s="16">
        <f t="shared" ref="H9:H38" si="1">ROUND(G9/2820,2)</f>
        <v>0.03</v>
      </c>
      <c r="I9" s="15">
        <f t="shared" ref="I9:I38" si="2">ROUND(G9/$G$39,3)</f>
        <v>0</v>
      </c>
      <c r="J9" s="15">
        <f>ROUND(G9/20-1,2)</f>
        <v>3.7</v>
      </c>
    </row>
    <row r="10" spans="1:10" x14ac:dyDescent="0.25">
      <c r="A10" s="1" t="s">
        <v>16</v>
      </c>
      <c r="B10" s="1" t="s">
        <v>19</v>
      </c>
      <c r="C10" s="10">
        <v>74770</v>
      </c>
      <c r="D10" s="10"/>
      <c r="E10" s="10"/>
      <c r="F10" s="10"/>
      <c r="G10" s="10">
        <f t="shared" si="0"/>
        <v>74770</v>
      </c>
      <c r="H10" s="16">
        <f t="shared" si="1"/>
        <v>26.51</v>
      </c>
      <c r="I10" s="15">
        <f t="shared" si="2"/>
        <v>0.08</v>
      </c>
      <c r="J10" s="15">
        <f>ROUND(G10/69080-1,2)</f>
        <v>0.08</v>
      </c>
    </row>
    <row r="11" spans="1:10" x14ac:dyDescent="0.25">
      <c r="A11" s="1" t="s">
        <v>16</v>
      </c>
      <c r="B11" s="1" t="s">
        <v>20</v>
      </c>
      <c r="C11" s="10">
        <v>92310</v>
      </c>
      <c r="D11" s="10"/>
      <c r="E11" s="10"/>
      <c r="F11" s="10"/>
      <c r="G11" s="10">
        <f t="shared" si="0"/>
        <v>92310</v>
      </c>
      <c r="H11" s="16">
        <f t="shared" si="1"/>
        <v>32.729999999999997</v>
      </c>
      <c r="I11" s="15">
        <f t="shared" si="2"/>
        <v>9.8000000000000004E-2</v>
      </c>
      <c r="J11" s="15">
        <f>ROUND(G11/93150-1,2)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12</v>
      </c>
      <c r="F12" s="10"/>
      <c r="G12" s="10">
        <f t="shared" si="0"/>
        <v>12</v>
      </c>
      <c r="H12" s="16">
        <f t="shared" si="1"/>
        <v>0</v>
      </c>
      <c r="I12" s="15">
        <f t="shared" si="2"/>
        <v>0</v>
      </c>
      <c r="J12" s="15">
        <f>ROUND(G12/24-1,2)</f>
        <v>-0.5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120</v>
      </c>
      <c r="F13" s="10"/>
      <c r="G13" s="10">
        <f t="shared" si="0"/>
        <v>120</v>
      </c>
      <c r="H13" s="16">
        <f t="shared" si="1"/>
        <v>0.04</v>
      </c>
      <c r="I13" s="15">
        <f t="shared" si="2"/>
        <v>0</v>
      </c>
      <c r="J13" s="15">
        <f>ROUND(G13/135-1,2)</f>
        <v>-0.11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0.32</v>
      </c>
      <c r="I14" s="15">
        <f t="shared" si="2"/>
        <v>1E-3</v>
      </c>
      <c r="J14" s="15">
        <f>ROUND(G14/800-1,2)</f>
        <v>0.13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51440</v>
      </c>
      <c r="F15" s="10"/>
      <c r="G15" s="10">
        <f t="shared" si="0"/>
        <v>51440</v>
      </c>
      <c r="H15" s="16">
        <f t="shared" si="1"/>
        <v>18.239999999999998</v>
      </c>
      <c r="I15" s="15">
        <f t="shared" si="2"/>
        <v>5.5E-2</v>
      </c>
      <c r="J15" s="15">
        <f>ROUND(G15/54390-1,2)</f>
        <v>-0.05</v>
      </c>
    </row>
    <row r="16" spans="1:10" x14ac:dyDescent="0.25">
      <c r="A16" s="1" t="s">
        <v>16</v>
      </c>
      <c r="B16" s="1" t="s">
        <v>24</v>
      </c>
      <c r="C16" s="10">
        <v>95940</v>
      </c>
      <c r="D16" s="10"/>
      <c r="E16" s="10"/>
      <c r="F16" s="10"/>
      <c r="G16" s="10">
        <f t="shared" si="0"/>
        <v>95940</v>
      </c>
      <c r="H16" s="16">
        <f t="shared" si="1"/>
        <v>34.020000000000003</v>
      </c>
      <c r="I16" s="15">
        <f t="shared" si="2"/>
        <v>0.10199999999999999</v>
      </c>
      <c r="J16" s="15">
        <f>ROUND(G16/93830-1,2)</f>
        <v>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4175</v>
      </c>
      <c r="F17" s="10"/>
      <c r="G17" s="10">
        <f t="shared" si="0"/>
        <v>4175</v>
      </c>
      <c r="H17" s="16">
        <f t="shared" si="1"/>
        <v>1.48</v>
      </c>
      <c r="I17" s="15">
        <f t="shared" si="2"/>
        <v>4.0000000000000001E-3</v>
      </c>
      <c r="J17" s="15">
        <f>ROUND(G17/3415-1,2)</f>
        <v>0.22</v>
      </c>
    </row>
    <row r="18" spans="1:10" x14ac:dyDescent="0.25">
      <c r="A18" s="1" t="s">
        <v>16</v>
      </c>
      <c r="B18" s="1" t="s">
        <v>26</v>
      </c>
      <c r="C18" s="10">
        <v>174360</v>
      </c>
      <c r="D18" s="10"/>
      <c r="E18" s="10"/>
      <c r="F18" s="10">
        <v>1360</v>
      </c>
      <c r="G18" s="10">
        <f t="shared" si="0"/>
        <v>175720</v>
      </c>
      <c r="H18" s="16">
        <f t="shared" si="1"/>
        <v>62.31</v>
      </c>
      <c r="I18" s="15">
        <f t="shared" si="2"/>
        <v>0.187</v>
      </c>
      <c r="J18" s="15">
        <f>ROUND(G18/177100-1,2)</f>
        <v>-0.01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238</v>
      </c>
      <c r="F19" s="10"/>
      <c r="G19" s="10">
        <f t="shared" si="0"/>
        <v>238</v>
      </c>
      <c r="H19" s="16">
        <f t="shared" si="1"/>
        <v>0.08</v>
      </c>
      <c r="I19" s="15">
        <f t="shared" si="2"/>
        <v>0</v>
      </c>
      <c r="J19" s="15">
        <f>ROUND(G19/639-1,2)</f>
        <v>-0.63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90</v>
      </c>
      <c r="F20" s="10"/>
      <c r="G20" s="10">
        <f t="shared" si="0"/>
        <v>90</v>
      </c>
      <c r="H20" s="16">
        <f t="shared" si="1"/>
        <v>0.03</v>
      </c>
      <c r="I20" s="15">
        <f t="shared" si="2"/>
        <v>0</v>
      </c>
      <c r="J20" s="15">
        <f>ROUND(G20/229-1,2)</f>
        <v>-0.61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4400</v>
      </c>
      <c r="F21" s="10"/>
      <c r="G21" s="10">
        <f t="shared" si="0"/>
        <v>4400</v>
      </c>
      <c r="H21" s="16">
        <f t="shared" si="1"/>
        <v>1.56</v>
      </c>
      <c r="I21" s="15">
        <f t="shared" si="2"/>
        <v>5.0000000000000001E-3</v>
      </c>
      <c r="J21" s="15">
        <f>ROUND(G21/4690-1,2)</f>
        <v>-0.06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580</v>
      </c>
      <c r="F22" s="10"/>
      <c r="G22" s="10">
        <f t="shared" si="0"/>
        <v>580</v>
      </c>
      <c r="H22" s="16">
        <f t="shared" si="1"/>
        <v>0.21</v>
      </c>
      <c r="I22" s="15">
        <f t="shared" si="2"/>
        <v>1E-3</v>
      </c>
      <c r="J22" s="15">
        <f>ROUND(G22/630-1,2)</f>
        <v>-0.08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1165</v>
      </c>
      <c r="F23" s="10"/>
      <c r="G23" s="10">
        <f t="shared" si="0"/>
        <v>1165</v>
      </c>
      <c r="H23" s="16">
        <f t="shared" si="1"/>
        <v>0.41</v>
      </c>
      <c r="I23" s="15">
        <f t="shared" si="2"/>
        <v>1E-3</v>
      </c>
      <c r="J23" s="15">
        <f>ROUND(G23/1465-1,2)</f>
        <v>-0.2</v>
      </c>
    </row>
    <row r="24" spans="1:10" x14ac:dyDescent="0.25">
      <c r="A24" s="1" t="s">
        <v>16</v>
      </c>
      <c r="B24" s="1" t="s">
        <v>33</v>
      </c>
      <c r="C24" s="10"/>
      <c r="D24" s="10">
        <v>112</v>
      </c>
      <c r="E24" s="10">
        <v>52</v>
      </c>
      <c r="F24" s="10"/>
      <c r="G24" s="10">
        <f t="shared" si="0"/>
        <v>164</v>
      </c>
      <c r="H24" s="16">
        <f t="shared" si="1"/>
        <v>0.06</v>
      </c>
      <c r="I24" s="15">
        <f t="shared" si="2"/>
        <v>0</v>
      </c>
      <c r="J24" s="15">
        <f>ROUND(G24/175-1,2)</f>
        <v>-0.06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585</v>
      </c>
      <c r="F25" s="10"/>
      <c r="G25" s="10">
        <f t="shared" si="0"/>
        <v>585</v>
      </c>
      <c r="H25" s="16">
        <f t="shared" si="1"/>
        <v>0.21</v>
      </c>
      <c r="I25" s="15">
        <f t="shared" si="2"/>
        <v>1E-3</v>
      </c>
      <c r="J25" s="15">
        <f>ROUND(G25/705-1,2)</f>
        <v>-0.17</v>
      </c>
    </row>
    <row r="26" spans="1:10" x14ac:dyDescent="0.25">
      <c r="A26" s="1" t="s">
        <v>16</v>
      </c>
      <c r="B26" s="1" t="s">
        <v>35</v>
      </c>
      <c r="C26" s="10"/>
      <c r="D26" s="10">
        <v>50</v>
      </c>
      <c r="E26" s="10"/>
      <c r="F26" s="10"/>
      <c r="G26" s="10">
        <f t="shared" si="0"/>
        <v>50</v>
      </c>
      <c r="H26" s="16">
        <f t="shared" si="1"/>
        <v>0.02</v>
      </c>
      <c r="I26" s="15">
        <f t="shared" si="2"/>
        <v>0</v>
      </c>
      <c r="J26" s="15">
        <f>ROUND(G26/240-1,2)</f>
        <v>-0.79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1100</v>
      </c>
      <c r="F27" s="10"/>
      <c r="G27" s="10">
        <f t="shared" si="0"/>
        <v>1100</v>
      </c>
      <c r="H27" s="16">
        <f t="shared" si="1"/>
        <v>0.39</v>
      </c>
      <c r="I27" s="15">
        <f t="shared" si="2"/>
        <v>1E-3</v>
      </c>
      <c r="J27" s="15">
        <f>ROUND(G27/3184-1,2)</f>
        <v>-0.65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4540</v>
      </c>
      <c r="F28" s="10"/>
      <c r="G28" s="10">
        <f t="shared" si="0"/>
        <v>4540</v>
      </c>
      <c r="H28" s="16">
        <f t="shared" si="1"/>
        <v>1.61</v>
      </c>
      <c r="I28" s="15">
        <f t="shared" si="2"/>
        <v>5.0000000000000001E-3</v>
      </c>
      <c r="J28" s="15">
        <f>ROUND(G28/9485-1,2)</f>
        <v>-0.52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2960</v>
      </c>
      <c r="F29" s="10"/>
      <c r="G29" s="10">
        <f t="shared" si="0"/>
        <v>2960</v>
      </c>
      <c r="H29" s="16">
        <f t="shared" si="1"/>
        <v>1.05</v>
      </c>
      <c r="I29" s="15">
        <f t="shared" si="2"/>
        <v>3.0000000000000001E-3</v>
      </c>
      <c r="J29" s="15">
        <f>ROUND(G29/2380-1,2)</f>
        <v>0.24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67385</v>
      </c>
      <c r="F30" s="10"/>
      <c r="G30" s="10">
        <f t="shared" si="0"/>
        <v>67385</v>
      </c>
      <c r="H30" s="16">
        <f t="shared" si="1"/>
        <v>23.9</v>
      </c>
      <c r="I30" s="15">
        <f t="shared" si="2"/>
        <v>7.1999999999999995E-2</v>
      </c>
      <c r="J30" s="15">
        <f>ROUND(G30/63910-1,2)</f>
        <v>0.05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25350</v>
      </c>
      <c r="F31" s="10"/>
      <c r="G31" s="10">
        <f t="shared" si="0"/>
        <v>25350</v>
      </c>
      <c r="H31" s="16">
        <f t="shared" si="1"/>
        <v>8.99</v>
      </c>
      <c r="I31" s="15">
        <f t="shared" si="2"/>
        <v>2.7E-2</v>
      </c>
      <c r="J31" s="15">
        <f>ROUND(G31/20990-1,2)</f>
        <v>0.21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75090</v>
      </c>
      <c r="F32" s="10"/>
      <c r="G32" s="10">
        <f t="shared" si="0"/>
        <v>75090</v>
      </c>
      <c r="H32" s="16">
        <f t="shared" si="1"/>
        <v>26.63</v>
      </c>
      <c r="I32" s="15">
        <f t="shared" si="2"/>
        <v>0.08</v>
      </c>
      <c r="J32" s="15">
        <f>ROUND(G32/76730-1,2)</f>
        <v>-0.02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ROUND(G33/110-1,2)</f>
        <v>-1</v>
      </c>
    </row>
    <row r="34" spans="1:10" x14ac:dyDescent="0.25">
      <c r="A34" s="1" t="s">
        <v>44</v>
      </c>
      <c r="B34" s="1" t="s">
        <v>45</v>
      </c>
      <c r="C34" s="10">
        <v>195420</v>
      </c>
      <c r="D34" s="10"/>
      <c r="E34" s="10"/>
      <c r="F34" s="10"/>
      <c r="G34" s="10">
        <f t="shared" si="0"/>
        <v>195420</v>
      </c>
      <c r="H34" s="16">
        <f t="shared" si="1"/>
        <v>69.3</v>
      </c>
      <c r="I34" s="15">
        <f t="shared" si="2"/>
        <v>0.20799999999999999</v>
      </c>
      <c r="J34" s="15">
        <f>ROUND(G34/183940-1,2)</f>
        <v>0.06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63700</v>
      </c>
      <c r="F35" s="10"/>
      <c r="G35" s="10">
        <f t="shared" si="0"/>
        <v>63700</v>
      </c>
      <c r="H35" s="16">
        <f t="shared" si="1"/>
        <v>22.59</v>
      </c>
      <c r="I35" s="15">
        <f t="shared" si="2"/>
        <v>6.8000000000000005E-2</v>
      </c>
      <c r="J35" s="15">
        <f>ROUND(G35/59420-1,2)</f>
        <v>7.0000000000000007E-2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159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5" t="s">
        <v>12</v>
      </c>
      <c r="B39" s="25"/>
      <c r="C39" s="11">
        <f t="shared" ref="C39:H39" si="3">SUM(C8:C38)</f>
        <v>632800</v>
      </c>
      <c r="D39" s="11">
        <f t="shared" si="3"/>
        <v>162</v>
      </c>
      <c r="E39" s="11">
        <f t="shared" si="3"/>
        <v>303976</v>
      </c>
      <c r="F39" s="11">
        <f t="shared" si="3"/>
        <v>1360</v>
      </c>
      <c r="G39" s="11">
        <f t="shared" si="3"/>
        <v>938298</v>
      </c>
      <c r="H39" s="14">
        <f t="shared" si="3"/>
        <v>332.72</v>
      </c>
      <c r="I39" s="17"/>
      <c r="J39" s="17"/>
    </row>
    <row r="40" spans="1:10" x14ac:dyDescent="0.25">
      <c r="A40" s="25" t="s">
        <v>14</v>
      </c>
      <c r="B40" s="25"/>
      <c r="C40" s="12">
        <f>ROUND(C39/G39,2)</f>
        <v>0.67</v>
      </c>
      <c r="D40" s="12">
        <f>ROUND(D39/G39,2)</f>
        <v>0</v>
      </c>
      <c r="E40" s="12">
        <f>ROUND(E39/G39,2)</f>
        <v>0.32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5" t="s">
        <v>53</v>
      </c>
      <c r="B45" s="25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0" t="s">
        <v>54</v>
      </c>
      <c r="B46" s="20"/>
      <c r="C46" s="10">
        <v>437380</v>
      </c>
      <c r="D46" s="10">
        <v>162</v>
      </c>
      <c r="E46" s="10">
        <v>240276</v>
      </c>
      <c r="F46" s="10">
        <v>1360</v>
      </c>
      <c r="G46" s="10">
        <f>SUM(C46:F46)</f>
        <v>679178</v>
      </c>
      <c r="H46" s="16">
        <f>ROUND(G46/2820,2)</f>
        <v>240.84</v>
      </c>
      <c r="I46" s="9"/>
      <c r="J46" s="9"/>
    </row>
    <row r="47" spans="1:10" x14ac:dyDescent="0.25">
      <c r="A47" s="20" t="s">
        <v>55</v>
      </c>
      <c r="B47" s="20"/>
      <c r="C47" s="10">
        <v>195420</v>
      </c>
      <c r="D47" s="10">
        <v>0</v>
      </c>
      <c r="E47" s="10">
        <v>63700</v>
      </c>
      <c r="F47" s="10">
        <v>0</v>
      </c>
      <c r="G47" s="10">
        <f>SUM(C47:F47)</f>
        <v>259120</v>
      </c>
      <c r="H47" s="16">
        <f>ROUND(G47/2820,2)</f>
        <v>91.89</v>
      </c>
      <c r="I47" s="9"/>
      <c r="J47" s="9"/>
    </row>
    <row r="48" spans="1:10" x14ac:dyDescent="0.25">
      <c r="A48" s="20" t="s">
        <v>56</v>
      </c>
      <c r="B48" s="20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ROUND(G48/2820,2)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57</v>
      </c>
      <c r="B53" s="25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0" t="s">
        <v>58</v>
      </c>
      <c r="B54" s="20"/>
      <c r="C54" s="15">
        <f>ROUND(0.7787, 4)</f>
        <v>0.77869999999999995</v>
      </c>
      <c r="D54" s="15">
        <f>ROUND(0.782, 4)</f>
        <v>0.78200000000000003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3" t="s">
        <v>64</v>
      </c>
      <c r="J54" s="23" t="s">
        <v>65</v>
      </c>
    </row>
    <row r="55" spans="1:10" x14ac:dyDescent="0.25">
      <c r="A55" s="20" t="s">
        <v>66</v>
      </c>
      <c r="B55" s="20"/>
      <c r="C55" s="15">
        <f>ROUND(0.7679, 4)</f>
        <v>0.76790000000000003</v>
      </c>
      <c r="D55" s="15">
        <f>ROUND(0.7714, 4)</f>
        <v>0.77139999999999997</v>
      </c>
      <c r="E55" s="15">
        <f>ROUND(0.7608, 4)</f>
        <v>0.76080000000000003</v>
      </c>
      <c r="F55" s="8"/>
      <c r="G55" s="14" t="s">
        <v>67</v>
      </c>
      <c r="H55" s="27"/>
      <c r="I55" s="24"/>
      <c r="J55" s="24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68</v>
      </c>
      <c r="B59" s="25"/>
      <c r="C59" s="14" t="s">
        <v>2</v>
      </c>
      <c r="D59" s="14" t="s">
        <v>269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0" t="s">
        <v>73</v>
      </c>
      <c r="B60" s="20"/>
      <c r="C60" s="16">
        <v>69.3</v>
      </c>
      <c r="D60" s="16">
        <v>74.39</v>
      </c>
      <c r="E60" s="16">
        <v>91.13</v>
      </c>
      <c r="F60" s="16">
        <v>54.95</v>
      </c>
      <c r="G60" s="16">
        <f>12/10*C60</f>
        <v>83.16</v>
      </c>
      <c r="H60" s="8"/>
      <c r="I60" s="9"/>
      <c r="J60" s="9"/>
    </row>
    <row r="61" spans="1:10" x14ac:dyDescent="0.25">
      <c r="A61" s="20" t="s">
        <v>74</v>
      </c>
      <c r="B61" s="20"/>
      <c r="C61" s="16">
        <v>62.31</v>
      </c>
      <c r="D61" s="16">
        <v>72.72</v>
      </c>
      <c r="E61" s="16">
        <v>61.18</v>
      </c>
      <c r="F61" s="16">
        <v>62.89</v>
      </c>
      <c r="G61" s="16">
        <f>12/10*C61</f>
        <v>74.772000000000006</v>
      </c>
      <c r="H61" s="8"/>
      <c r="I61" s="9"/>
      <c r="J61" s="9"/>
    </row>
    <row r="62" spans="1:10" x14ac:dyDescent="0.25">
      <c r="A62" s="20" t="s">
        <v>75</v>
      </c>
      <c r="B62" s="20"/>
      <c r="C62" s="16">
        <v>240.84</v>
      </c>
      <c r="D62" s="16">
        <v>264.77</v>
      </c>
      <c r="E62" s="16">
        <v>287.25</v>
      </c>
      <c r="F62" s="16">
        <v>278.91000000000003</v>
      </c>
      <c r="G62" s="16">
        <f>12/10*C62</f>
        <v>289.00799999999998</v>
      </c>
      <c r="H62" s="8"/>
      <c r="I62" s="9"/>
      <c r="J62" s="9"/>
    </row>
    <row r="63" spans="1:10" x14ac:dyDescent="0.25">
      <c r="A63" s="20" t="s">
        <v>76</v>
      </c>
      <c r="B63" s="20"/>
      <c r="C63" s="16">
        <v>91.89</v>
      </c>
      <c r="D63" s="16">
        <v>99.06</v>
      </c>
      <c r="E63" s="16">
        <v>114.69</v>
      </c>
      <c r="F63" s="16">
        <v>78.319999999999993</v>
      </c>
      <c r="G63" s="16">
        <f>12/10*C63</f>
        <v>110.268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2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270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7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509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</v>
      </c>
      <c r="F9" s="10"/>
      <c r="G9" s="10">
        <f t="shared" ref="G9:G39" si="0">SUM(C9:F9)</f>
        <v>11</v>
      </c>
      <c r="H9" s="16">
        <f t="shared" ref="H9:H39" si="1">ROUND(G9/509,2)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18230</v>
      </c>
      <c r="D10" s="10"/>
      <c r="E10" s="10">
        <v>1864</v>
      </c>
      <c r="F10" s="10"/>
      <c r="G10" s="10">
        <f t="shared" si="0"/>
        <v>20094</v>
      </c>
      <c r="H10" s="16">
        <f t="shared" si="1"/>
        <v>39.479999999999997</v>
      </c>
      <c r="I10" s="15">
        <f t="shared" si="2"/>
        <v>8.1000000000000003E-2</v>
      </c>
      <c r="J10" s="15">
        <f>ROUND(G10/19799.26-1,2)</f>
        <v>0.01</v>
      </c>
    </row>
    <row r="11" spans="1:10" x14ac:dyDescent="0.25">
      <c r="A11" s="1" t="s">
        <v>16</v>
      </c>
      <c r="B11" s="1" t="s">
        <v>20</v>
      </c>
      <c r="C11" s="10">
        <v>28050</v>
      </c>
      <c r="D11" s="10"/>
      <c r="E11" s="10"/>
      <c r="F11" s="10"/>
      <c r="G11" s="10">
        <f t="shared" si="0"/>
        <v>28050</v>
      </c>
      <c r="H11" s="16">
        <f t="shared" si="1"/>
        <v>55.11</v>
      </c>
      <c r="I11" s="15">
        <f t="shared" si="2"/>
        <v>0.113</v>
      </c>
      <c r="J11" s="15">
        <f>ROUND(G11/27915-1,2)</f>
        <v>0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49</v>
      </c>
      <c r="F12" s="10"/>
      <c r="G12" s="10">
        <f t="shared" si="0"/>
        <v>49</v>
      </c>
      <c r="H12" s="16">
        <f t="shared" si="1"/>
        <v>0.1</v>
      </c>
      <c r="I12" s="15">
        <f t="shared" si="2"/>
        <v>0</v>
      </c>
      <c r="J12" s="15">
        <f>ROUND(G12/26.35-1,2)</f>
        <v>0.86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365</v>
      </c>
      <c r="F13" s="10"/>
      <c r="G13" s="10">
        <f t="shared" si="0"/>
        <v>365</v>
      </c>
      <c r="H13" s="16">
        <f t="shared" si="1"/>
        <v>0.72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17587</v>
      </c>
      <c r="F14" s="10"/>
      <c r="G14" s="10">
        <f t="shared" si="0"/>
        <v>17587</v>
      </c>
      <c r="H14" s="16">
        <f t="shared" si="1"/>
        <v>34.549999999999997</v>
      </c>
      <c r="I14" s="15">
        <f t="shared" si="2"/>
        <v>7.0999999999999994E-2</v>
      </c>
      <c r="J14" s="15">
        <f>ROUND(G14/8129.05-1,2)</f>
        <v>1.1599999999999999</v>
      </c>
    </row>
    <row r="15" spans="1:10" x14ac:dyDescent="0.25">
      <c r="A15" s="1" t="s">
        <v>16</v>
      </c>
      <c r="B15" s="1" t="s">
        <v>24</v>
      </c>
      <c r="C15" s="10">
        <v>25080</v>
      </c>
      <c r="D15" s="10"/>
      <c r="E15" s="10">
        <v>6576</v>
      </c>
      <c r="F15" s="10"/>
      <c r="G15" s="10">
        <f t="shared" si="0"/>
        <v>31656</v>
      </c>
      <c r="H15" s="16">
        <f t="shared" si="1"/>
        <v>62.19</v>
      </c>
      <c r="I15" s="15">
        <f t="shared" si="2"/>
        <v>0.127</v>
      </c>
      <c r="J15" s="15">
        <f>ROUND(G15/27291.26-1,2)</f>
        <v>0.16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1627</v>
      </c>
      <c r="F16" s="10"/>
      <c r="G16" s="10">
        <f t="shared" si="0"/>
        <v>1627</v>
      </c>
      <c r="H16" s="16">
        <f t="shared" si="1"/>
        <v>3.2</v>
      </c>
      <c r="I16" s="15">
        <f t="shared" si="2"/>
        <v>7.0000000000000001E-3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13950</v>
      </c>
      <c r="D17" s="10"/>
      <c r="E17" s="10"/>
      <c r="F17" s="10"/>
      <c r="G17" s="10">
        <f t="shared" si="0"/>
        <v>13950</v>
      </c>
      <c r="H17" s="16">
        <f t="shared" si="1"/>
        <v>27.41</v>
      </c>
      <c r="I17" s="15">
        <f t="shared" si="2"/>
        <v>5.6000000000000001E-2</v>
      </c>
      <c r="J17" s="15">
        <f>ROUND(G17/20400-1,2)</f>
        <v>-0.32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204</v>
      </c>
      <c r="F18" s="10"/>
      <c r="G18" s="10">
        <f t="shared" si="0"/>
        <v>204</v>
      </c>
      <c r="H18" s="16">
        <f t="shared" si="1"/>
        <v>0.4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105</v>
      </c>
      <c r="F19" s="10"/>
      <c r="G19" s="10">
        <f t="shared" si="0"/>
        <v>105</v>
      </c>
      <c r="H19" s="16">
        <f t="shared" si="1"/>
        <v>0.21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27</v>
      </c>
      <c r="F20" s="10"/>
      <c r="G20" s="10">
        <f t="shared" si="0"/>
        <v>27</v>
      </c>
      <c r="H20" s="16">
        <f t="shared" si="1"/>
        <v>0.05</v>
      </c>
      <c r="I20" s="15">
        <f t="shared" si="2"/>
        <v>0</v>
      </c>
      <c r="J20" s="15">
        <f>ROUND(G20/12.25-1,2)</f>
        <v>1.2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329</v>
      </c>
      <c r="F21" s="10"/>
      <c r="G21" s="10">
        <f t="shared" si="0"/>
        <v>329</v>
      </c>
      <c r="H21" s="16">
        <f t="shared" si="1"/>
        <v>0.65</v>
      </c>
      <c r="I21" s="15">
        <f t="shared" si="2"/>
        <v>1E-3</v>
      </c>
      <c r="J21" s="15">
        <f>ROUND(G21/331.98-1,2)</f>
        <v>-0.01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116</v>
      </c>
      <c r="F22" s="10"/>
      <c r="G22" s="10">
        <f t="shared" si="0"/>
        <v>116</v>
      </c>
      <c r="H22" s="16">
        <f t="shared" si="1"/>
        <v>0.23</v>
      </c>
      <c r="I22" s="15">
        <f t="shared" si="2"/>
        <v>0</v>
      </c>
      <c r="J22" s="15">
        <f>ROUND(G22/9.23-1,2)</f>
        <v>11.57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29</v>
      </c>
      <c r="F23" s="10"/>
      <c r="G23" s="10">
        <f t="shared" si="0"/>
        <v>29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434</v>
      </c>
      <c r="F24" s="10"/>
      <c r="G24" s="10">
        <f t="shared" si="0"/>
        <v>434</v>
      </c>
      <c r="H24" s="16">
        <f t="shared" si="1"/>
        <v>0.85</v>
      </c>
      <c r="I24" s="15">
        <f t="shared" si="2"/>
        <v>2E-3</v>
      </c>
      <c r="J24" s="15">
        <f>ROUND(G24/154.02-1,2)</f>
        <v>1.82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37</v>
      </c>
      <c r="F25" s="10"/>
      <c r="G25" s="10">
        <f t="shared" si="0"/>
        <v>37</v>
      </c>
      <c r="H25" s="16">
        <f t="shared" si="1"/>
        <v>7.0000000000000007E-2</v>
      </c>
      <c r="I25" s="15">
        <f t="shared" si="2"/>
        <v>0</v>
      </c>
      <c r="J25" s="15">
        <f>ROUND(G25/21.82-1,2)</f>
        <v>0.7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55</v>
      </c>
      <c r="F26" s="10"/>
      <c r="G26" s="10">
        <f t="shared" si="0"/>
        <v>55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82</v>
      </c>
      <c r="F27" s="10"/>
      <c r="G27" s="10">
        <f t="shared" si="0"/>
        <v>82</v>
      </c>
      <c r="H27" s="16">
        <f t="shared" si="1"/>
        <v>0.16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1022</v>
      </c>
      <c r="F28" s="10"/>
      <c r="G28" s="10">
        <f t="shared" si="0"/>
        <v>1022</v>
      </c>
      <c r="H28" s="16">
        <f t="shared" si="1"/>
        <v>2.0099999999999998</v>
      </c>
      <c r="I28" s="15">
        <f t="shared" si="2"/>
        <v>4.0000000000000001E-3</v>
      </c>
      <c r="J28" s="15">
        <f>ROUND(G28/315.38-1,2)</f>
        <v>2.2400000000000002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574</v>
      </c>
      <c r="F29" s="10"/>
      <c r="G29" s="10">
        <f t="shared" si="0"/>
        <v>574</v>
      </c>
      <c r="H29" s="16">
        <f t="shared" si="1"/>
        <v>1.1299999999999999</v>
      </c>
      <c r="I29" s="15">
        <f t="shared" si="2"/>
        <v>2E-3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16528</v>
      </c>
      <c r="F30" s="10"/>
      <c r="G30" s="10">
        <f t="shared" si="0"/>
        <v>16528</v>
      </c>
      <c r="H30" s="16">
        <f t="shared" si="1"/>
        <v>32.47</v>
      </c>
      <c r="I30" s="15">
        <f t="shared" si="2"/>
        <v>6.6000000000000003E-2</v>
      </c>
      <c r="J30" s="15">
        <f>ROUND(G30/6878.4-1,2)</f>
        <v>1.4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1380</v>
      </c>
      <c r="F31" s="10"/>
      <c r="G31" s="10">
        <f t="shared" si="0"/>
        <v>1380</v>
      </c>
      <c r="H31" s="16">
        <f t="shared" si="1"/>
        <v>2.71</v>
      </c>
      <c r="I31" s="15">
        <f t="shared" si="2"/>
        <v>6.0000000000000001E-3</v>
      </c>
      <c r="J31" s="15">
        <f>ROUND(G31/383.53-1,2)</f>
        <v>2.6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4342</v>
      </c>
      <c r="F32" s="10"/>
      <c r="G32" s="10">
        <f t="shared" si="0"/>
        <v>4342</v>
      </c>
      <c r="H32" s="16">
        <f t="shared" si="1"/>
        <v>8.5299999999999994</v>
      </c>
      <c r="I32" s="15">
        <f t="shared" si="2"/>
        <v>1.7000000000000001E-2</v>
      </c>
      <c r="J32" s="15">
        <f>ROUND(G32/1575.16-1,2)</f>
        <v>1.76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5166</v>
      </c>
      <c r="F33" s="10"/>
      <c r="G33" s="10">
        <f t="shared" si="0"/>
        <v>5166</v>
      </c>
      <c r="H33" s="16">
        <f t="shared" si="1"/>
        <v>10.15</v>
      </c>
      <c r="I33" s="15">
        <f t="shared" si="2"/>
        <v>2.1000000000000001E-2</v>
      </c>
      <c r="J33" s="15">
        <f>ROUND(G33/589.29-1,2)</f>
        <v>7.77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ROUND(G34/347.5-1,2)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96290</v>
      </c>
      <c r="D36" s="10"/>
      <c r="E36" s="10"/>
      <c r="F36" s="10"/>
      <c r="G36" s="10">
        <f t="shared" si="0"/>
        <v>96290</v>
      </c>
      <c r="H36" s="16">
        <f t="shared" si="1"/>
        <v>189.17</v>
      </c>
      <c r="I36" s="15">
        <f t="shared" si="2"/>
        <v>0.38600000000000001</v>
      </c>
      <c r="J36" s="15">
        <f>ROUND(G36/87120-1,2)</f>
        <v>0.11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9064</v>
      </c>
      <c r="F37" s="10"/>
      <c r="G37" s="10">
        <f t="shared" si="0"/>
        <v>9064</v>
      </c>
      <c r="H37" s="16">
        <f t="shared" si="1"/>
        <v>17.809999999999999</v>
      </c>
      <c r="I37" s="15">
        <f t="shared" si="2"/>
        <v>3.5999999999999997E-2</v>
      </c>
      <c r="J37" s="15">
        <f>ROUND(G37/3751.58-1,2)</f>
        <v>1.42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5" t="s">
        <v>12</v>
      </c>
      <c r="B40" s="25"/>
      <c r="C40" s="11">
        <f t="shared" ref="C40:H40" si="3">SUM(C8:C39)</f>
        <v>181600</v>
      </c>
      <c r="D40" s="11">
        <f t="shared" si="3"/>
        <v>0</v>
      </c>
      <c r="E40" s="11">
        <f t="shared" si="3"/>
        <v>67573</v>
      </c>
      <c r="F40" s="11">
        <f t="shared" si="3"/>
        <v>0</v>
      </c>
      <c r="G40" s="11">
        <f t="shared" si="3"/>
        <v>249173</v>
      </c>
      <c r="H40" s="14">
        <f t="shared" si="3"/>
        <v>489.5499999999999</v>
      </c>
      <c r="I40" s="17"/>
      <c r="J40" s="17"/>
    </row>
    <row r="41" spans="1:10" x14ac:dyDescent="0.25">
      <c r="A41" s="25" t="s">
        <v>14</v>
      </c>
      <c r="B41" s="25"/>
      <c r="C41" s="12">
        <f>ROUND(C40/G40,2)</f>
        <v>0.73</v>
      </c>
      <c r="D41" s="12">
        <f>ROUND(D40/G40,2)</f>
        <v>0</v>
      </c>
      <c r="E41" s="12">
        <f>ROUND(E40/G40,2)</f>
        <v>0.27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5" t="s">
        <v>53</v>
      </c>
      <c r="B46" s="25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0" t="s">
        <v>54</v>
      </c>
      <c r="B47" s="20"/>
      <c r="C47" s="10">
        <v>85310</v>
      </c>
      <c r="D47" s="10">
        <v>0</v>
      </c>
      <c r="E47" s="10">
        <v>58509</v>
      </c>
      <c r="F47" s="10">
        <v>0</v>
      </c>
      <c r="G47" s="10">
        <f>SUM(C47:F47)</f>
        <v>143819</v>
      </c>
      <c r="H47" s="16">
        <f>ROUND(G47/509,2)</f>
        <v>282.55</v>
      </c>
      <c r="I47" s="9"/>
      <c r="J47" s="9"/>
    </row>
    <row r="48" spans="1:10" x14ac:dyDescent="0.25">
      <c r="A48" s="20" t="s">
        <v>55</v>
      </c>
      <c r="B48" s="20"/>
      <c r="C48" s="10">
        <v>96290</v>
      </c>
      <c r="D48" s="10">
        <v>0</v>
      </c>
      <c r="E48" s="10">
        <v>9064</v>
      </c>
      <c r="F48" s="10">
        <v>0</v>
      </c>
      <c r="G48" s="10">
        <f>SUM(C48:F48)</f>
        <v>105354</v>
      </c>
      <c r="H48" s="16">
        <f>ROUND(G48/509,2)</f>
        <v>206.98</v>
      </c>
      <c r="I48" s="9"/>
      <c r="J48" s="9"/>
    </row>
    <row r="49" spans="1:10" x14ac:dyDescent="0.25">
      <c r="A49" s="20" t="s">
        <v>56</v>
      </c>
      <c r="B49" s="20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ROUND(G49/509,2)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57</v>
      </c>
      <c r="B54" s="25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0" t="s">
        <v>58</v>
      </c>
      <c r="B55" s="20"/>
      <c r="C55" s="15">
        <f>ROUND(0.5823, 4)</f>
        <v>0.58230000000000004</v>
      </c>
      <c r="D55" s="15">
        <f>ROUND(0.5397, 4)</f>
        <v>0.53969999999999996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3" t="s">
        <v>64</v>
      </c>
      <c r="J55" s="23" t="s">
        <v>65</v>
      </c>
    </row>
    <row r="56" spans="1:10" x14ac:dyDescent="0.25">
      <c r="A56" s="20" t="s">
        <v>66</v>
      </c>
      <c r="B56" s="20"/>
      <c r="C56" s="15">
        <f>ROUND(0.55, 4)</f>
        <v>0.55000000000000004</v>
      </c>
      <c r="D56" s="15">
        <f>ROUND(0.5026, 4)</f>
        <v>0.50260000000000005</v>
      </c>
      <c r="E56" s="15">
        <f>ROUND(0.7608, 4)</f>
        <v>0.76080000000000003</v>
      </c>
      <c r="F56" s="8"/>
      <c r="G56" s="14" t="s">
        <v>67</v>
      </c>
      <c r="H56" s="27"/>
      <c r="I56" s="24"/>
      <c r="J56" s="24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68</v>
      </c>
      <c r="B60" s="25"/>
      <c r="C60" s="14" t="s">
        <v>2</v>
      </c>
      <c r="D60" s="14" t="s">
        <v>272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0" t="s">
        <v>73</v>
      </c>
      <c r="B61" s="20"/>
      <c r="C61" s="16">
        <v>189.17</v>
      </c>
      <c r="D61" s="16">
        <v>160.91</v>
      </c>
      <c r="E61" s="16">
        <v>91.13</v>
      </c>
      <c r="F61" s="16">
        <v>54.95</v>
      </c>
      <c r="G61" s="16">
        <f>12/10*C61</f>
        <v>227.00399999999999</v>
      </c>
      <c r="H61" s="8"/>
      <c r="I61" s="9"/>
      <c r="J61" s="9"/>
    </row>
    <row r="62" spans="1:10" x14ac:dyDescent="0.25">
      <c r="A62" s="20" t="s">
        <v>74</v>
      </c>
      <c r="B62" s="20"/>
      <c r="C62" s="16">
        <v>27.41</v>
      </c>
      <c r="D62" s="16">
        <v>50.72</v>
      </c>
      <c r="E62" s="16">
        <v>61.18</v>
      </c>
      <c r="F62" s="16">
        <v>62.89</v>
      </c>
      <c r="G62" s="16">
        <f>12/10*C62</f>
        <v>32.891999999999996</v>
      </c>
      <c r="H62" s="8"/>
      <c r="I62" s="9"/>
      <c r="J62" s="9"/>
    </row>
    <row r="63" spans="1:10" x14ac:dyDescent="0.25">
      <c r="A63" s="20" t="s">
        <v>75</v>
      </c>
      <c r="B63" s="20"/>
      <c r="C63" s="16">
        <v>282.55</v>
      </c>
      <c r="D63" s="16">
        <v>307.89</v>
      </c>
      <c r="E63" s="16">
        <v>287.25</v>
      </c>
      <c r="F63" s="16">
        <v>278.91000000000003</v>
      </c>
      <c r="G63" s="16">
        <f>12/10*C63</f>
        <v>339.06</v>
      </c>
      <c r="H63" s="8"/>
      <c r="I63" s="9"/>
      <c r="J63" s="9"/>
    </row>
    <row r="64" spans="1:10" x14ac:dyDescent="0.25">
      <c r="A64" s="20" t="s">
        <v>76</v>
      </c>
      <c r="B64" s="20"/>
      <c r="C64" s="16">
        <v>206.98</v>
      </c>
      <c r="D64" s="16">
        <v>177.87</v>
      </c>
      <c r="E64" s="16">
        <v>114.69</v>
      </c>
      <c r="F64" s="16">
        <v>78.319999999999993</v>
      </c>
      <c r="G64" s="16">
        <f>12/10*C64</f>
        <v>248.37599999999998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2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273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0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437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</v>
      </c>
      <c r="F9" s="10"/>
      <c r="G9" s="10">
        <f t="shared" ref="G9:G39" si="0">SUM(C9:F9)</f>
        <v>10</v>
      </c>
      <c r="H9" s="16">
        <f t="shared" ref="H9:H39" si="1">ROUND(G9/437,2)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10960</v>
      </c>
      <c r="D10" s="10"/>
      <c r="E10" s="10">
        <v>1748</v>
      </c>
      <c r="F10" s="10"/>
      <c r="G10" s="10">
        <f t="shared" si="0"/>
        <v>12708</v>
      </c>
      <c r="H10" s="16">
        <f t="shared" si="1"/>
        <v>29.08</v>
      </c>
      <c r="I10" s="15">
        <f t="shared" si="2"/>
        <v>7.1999999999999995E-2</v>
      </c>
      <c r="J10" s="15">
        <f>ROUND(G10/11818.16-1,2)</f>
        <v>0.08</v>
      </c>
    </row>
    <row r="11" spans="1:10" x14ac:dyDescent="0.25">
      <c r="A11" s="1" t="s">
        <v>16</v>
      </c>
      <c r="B11" s="1" t="s">
        <v>20</v>
      </c>
      <c r="C11" s="10">
        <v>14285</v>
      </c>
      <c r="D11" s="10"/>
      <c r="E11" s="10"/>
      <c r="F11" s="10"/>
      <c r="G11" s="10">
        <f t="shared" si="0"/>
        <v>14285</v>
      </c>
      <c r="H11" s="16">
        <f t="shared" si="1"/>
        <v>32.69</v>
      </c>
      <c r="I11" s="15">
        <f t="shared" si="2"/>
        <v>8.1000000000000003E-2</v>
      </c>
      <c r="J11" s="15">
        <f>ROUND(G11/14955-1,2)</f>
        <v>-0.04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38</v>
      </c>
      <c r="F12" s="10"/>
      <c r="G12" s="10">
        <f t="shared" si="0"/>
        <v>38</v>
      </c>
      <c r="H12" s="16">
        <f t="shared" si="1"/>
        <v>0.09</v>
      </c>
      <c r="I12" s="15">
        <f t="shared" si="2"/>
        <v>0</v>
      </c>
      <c r="J12" s="15">
        <f>ROUND(G12/35-1,2)</f>
        <v>0.09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485</v>
      </c>
      <c r="F13" s="10"/>
      <c r="G13" s="10">
        <f t="shared" si="0"/>
        <v>485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32709</v>
      </c>
      <c r="F14" s="10"/>
      <c r="G14" s="10">
        <f t="shared" si="0"/>
        <v>32709</v>
      </c>
      <c r="H14" s="16">
        <f t="shared" si="1"/>
        <v>74.849999999999994</v>
      </c>
      <c r="I14" s="15">
        <f t="shared" si="2"/>
        <v>0.186</v>
      </c>
      <c r="J14" s="15">
        <f>ROUND(G14/32264.54-1,2)</f>
        <v>0.01</v>
      </c>
    </row>
    <row r="15" spans="1:10" x14ac:dyDescent="0.25">
      <c r="A15" s="1" t="s">
        <v>16</v>
      </c>
      <c r="B15" s="1" t="s">
        <v>24</v>
      </c>
      <c r="C15" s="10">
        <v>13060</v>
      </c>
      <c r="D15" s="10"/>
      <c r="E15" s="10">
        <v>4293</v>
      </c>
      <c r="F15" s="10"/>
      <c r="G15" s="10">
        <f t="shared" si="0"/>
        <v>17353</v>
      </c>
      <c r="H15" s="16">
        <f t="shared" si="1"/>
        <v>39.71</v>
      </c>
      <c r="I15" s="15">
        <f t="shared" si="2"/>
        <v>9.9000000000000005E-2</v>
      </c>
      <c r="J15" s="15">
        <f>ROUND(G15/13253.67-1,2)</f>
        <v>0.31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4488</v>
      </c>
      <c r="F16" s="10"/>
      <c r="G16" s="10">
        <f t="shared" si="0"/>
        <v>4488</v>
      </c>
      <c r="H16" s="16">
        <f t="shared" si="1"/>
        <v>10.27</v>
      </c>
      <c r="I16" s="15">
        <f t="shared" si="2"/>
        <v>2.5999999999999999E-2</v>
      </c>
      <c r="J16" s="15">
        <f>ROUND(G16/1860-1,2)</f>
        <v>1.41</v>
      </c>
    </row>
    <row r="17" spans="1:10" x14ac:dyDescent="0.25">
      <c r="A17" s="1" t="s">
        <v>16</v>
      </c>
      <c r="B17" s="1" t="s">
        <v>26</v>
      </c>
      <c r="C17" s="10">
        <v>13920</v>
      </c>
      <c r="D17" s="10"/>
      <c r="E17" s="10"/>
      <c r="F17" s="10"/>
      <c r="G17" s="10">
        <f t="shared" si="0"/>
        <v>13920</v>
      </c>
      <c r="H17" s="16">
        <f t="shared" si="1"/>
        <v>31.85</v>
      </c>
      <c r="I17" s="15">
        <f t="shared" si="2"/>
        <v>7.9000000000000001E-2</v>
      </c>
      <c r="J17" s="15">
        <f>ROUND(G17/15370-1,2)</f>
        <v>-0.09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308</v>
      </c>
      <c r="F18" s="10"/>
      <c r="G18" s="10">
        <f t="shared" si="0"/>
        <v>308</v>
      </c>
      <c r="H18" s="16">
        <f t="shared" si="1"/>
        <v>0.7</v>
      </c>
      <c r="I18" s="15">
        <f t="shared" si="2"/>
        <v>2E-3</v>
      </c>
      <c r="J18" s="15">
        <f>ROUND(G18/476-1,2)</f>
        <v>-0.35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269</v>
      </c>
      <c r="F19" s="10"/>
      <c r="G19" s="10">
        <f t="shared" si="0"/>
        <v>269</v>
      </c>
      <c r="H19" s="16">
        <f t="shared" si="1"/>
        <v>0.62</v>
      </c>
      <c r="I19" s="15">
        <f t="shared" si="2"/>
        <v>2E-3</v>
      </c>
      <c r="J19" s="15">
        <f>ROUND(G19/112-1,2)</f>
        <v>1.4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14</v>
      </c>
      <c r="F20" s="10"/>
      <c r="G20" s="10">
        <f t="shared" si="0"/>
        <v>14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333</v>
      </c>
      <c r="F21" s="10"/>
      <c r="G21" s="10">
        <f t="shared" si="0"/>
        <v>333</v>
      </c>
      <c r="H21" s="16">
        <f t="shared" si="1"/>
        <v>0.76</v>
      </c>
      <c r="I21" s="15">
        <f t="shared" si="2"/>
        <v>2E-3</v>
      </c>
      <c r="J21" s="15">
        <f>ROUND(G21/495-1,2)</f>
        <v>-0.33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79</v>
      </c>
      <c r="F22" s="10"/>
      <c r="G22" s="10">
        <f t="shared" si="0"/>
        <v>79</v>
      </c>
      <c r="H22" s="16">
        <f t="shared" si="1"/>
        <v>0.18</v>
      </c>
      <c r="I22" s="15">
        <f t="shared" si="2"/>
        <v>0</v>
      </c>
      <c r="J22" s="15">
        <f>ROUND(G22/60.65-1,2)</f>
        <v>0.3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91</v>
      </c>
      <c r="F23" s="10"/>
      <c r="G23" s="10">
        <f t="shared" si="0"/>
        <v>91</v>
      </c>
      <c r="H23" s="16">
        <f t="shared" si="1"/>
        <v>0.21</v>
      </c>
      <c r="I23" s="15">
        <f t="shared" si="2"/>
        <v>1E-3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264</v>
      </c>
      <c r="F24" s="10"/>
      <c r="G24" s="10">
        <f t="shared" si="0"/>
        <v>264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37</v>
      </c>
      <c r="F25" s="10"/>
      <c r="G25" s="10">
        <f t="shared" si="0"/>
        <v>37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43</v>
      </c>
      <c r="C26" s="10"/>
      <c r="D26" s="10"/>
      <c r="E26" s="10">
        <v>1395</v>
      </c>
      <c r="F26" s="10"/>
      <c r="G26" s="10">
        <f t="shared" si="0"/>
        <v>1395</v>
      </c>
      <c r="H26" s="16">
        <f t="shared" si="1"/>
        <v>3.19</v>
      </c>
      <c r="I26" s="15">
        <f t="shared" si="2"/>
        <v>8.0000000000000002E-3</v>
      </c>
      <c r="J26" s="15">
        <f>ROUND(G26/630-1,2)</f>
        <v>1.21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991</v>
      </c>
      <c r="F27" s="10"/>
      <c r="G27" s="10">
        <f t="shared" si="0"/>
        <v>991</v>
      </c>
      <c r="H27" s="16">
        <f t="shared" si="1"/>
        <v>2.27</v>
      </c>
      <c r="I27" s="15">
        <f t="shared" si="2"/>
        <v>6.0000000000000001E-3</v>
      </c>
      <c r="J27" s="15">
        <f>ROUND(G27/23.21-1,2)</f>
        <v>41.7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10568</v>
      </c>
      <c r="F28" s="10"/>
      <c r="G28" s="10">
        <f t="shared" si="0"/>
        <v>10568</v>
      </c>
      <c r="H28" s="16">
        <f t="shared" si="1"/>
        <v>24.18</v>
      </c>
      <c r="I28" s="15">
        <f t="shared" si="2"/>
        <v>0.06</v>
      </c>
      <c r="J28" s="15">
        <f>ROUND(G28/1423.95-1,2)</f>
        <v>6.42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8744</v>
      </c>
      <c r="F29" s="10"/>
      <c r="G29" s="10">
        <f t="shared" si="0"/>
        <v>8744</v>
      </c>
      <c r="H29" s="16">
        <f t="shared" si="1"/>
        <v>20.010000000000002</v>
      </c>
      <c r="I29" s="15">
        <f t="shared" si="2"/>
        <v>0.05</v>
      </c>
      <c r="J29" s="15">
        <f>ROUND(G29/6635.93-1,2)</f>
        <v>0.32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7458</v>
      </c>
      <c r="F30" s="10"/>
      <c r="G30" s="10">
        <f t="shared" si="0"/>
        <v>7458</v>
      </c>
      <c r="H30" s="16">
        <f t="shared" si="1"/>
        <v>17.07</v>
      </c>
      <c r="I30" s="15">
        <f t="shared" si="2"/>
        <v>4.2000000000000003E-2</v>
      </c>
      <c r="J30" s="15">
        <f>ROUND(G30/2703.68-1,2)</f>
        <v>1.76</v>
      </c>
    </row>
    <row r="31" spans="1:10" x14ac:dyDescent="0.25">
      <c r="A31" s="1" t="s">
        <v>16</v>
      </c>
      <c r="B31" s="1" t="s">
        <v>34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ROUND(G32/336-1,2)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35320</v>
      </c>
      <c r="D35" s="10"/>
      <c r="E35" s="10"/>
      <c r="F35" s="10"/>
      <c r="G35" s="10">
        <f t="shared" si="0"/>
        <v>35320</v>
      </c>
      <c r="H35" s="16">
        <f t="shared" si="1"/>
        <v>80.819999999999993</v>
      </c>
      <c r="I35" s="15">
        <f t="shared" si="2"/>
        <v>0.20100000000000001</v>
      </c>
      <c r="J35" s="15">
        <f>ROUND(G35/25430-1,2)</f>
        <v>0.39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13980</v>
      </c>
      <c r="F36" s="10"/>
      <c r="G36" s="10">
        <f t="shared" si="0"/>
        <v>13980</v>
      </c>
      <c r="H36" s="16">
        <f t="shared" si="1"/>
        <v>31.99</v>
      </c>
      <c r="I36" s="15">
        <f t="shared" si="2"/>
        <v>0.08</v>
      </c>
      <c r="J36" s="15">
        <f>ROUND(G36/10982.34-1,2)</f>
        <v>0.27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ROUND(G37/10690-1,2)</f>
        <v>-1</v>
      </c>
    </row>
    <row r="38" spans="1:10" x14ac:dyDescent="0.25">
      <c r="A38" s="1" t="s">
        <v>48</v>
      </c>
      <c r="B38" s="1" t="s">
        <v>86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ROUND(G38/494-1,2)</f>
        <v>-1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5" t="s">
        <v>12</v>
      </c>
      <c r="B40" s="25"/>
      <c r="C40" s="11">
        <f t="shared" ref="C40:H40" si="3">SUM(C8:C39)</f>
        <v>87545</v>
      </c>
      <c r="D40" s="11">
        <f t="shared" si="3"/>
        <v>0</v>
      </c>
      <c r="E40" s="11">
        <f t="shared" si="3"/>
        <v>88302</v>
      </c>
      <c r="F40" s="11">
        <f t="shared" si="3"/>
        <v>0</v>
      </c>
      <c r="G40" s="11">
        <f t="shared" si="3"/>
        <v>175847</v>
      </c>
      <c r="H40" s="14">
        <f t="shared" si="3"/>
        <v>402.38</v>
      </c>
      <c r="I40" s="17"/>
      <c r="J40" s="17"/>
    </row>
    <row r="41" spans="1:10" x14ac:dyDescent="0.25">
      <c r="A41" s="25" t="s">
        <v>14</v>
      </c>
      <c r="B41" s="25"/>
      <c r="C41" s="12">
        <f>ROUND(C40/G40,2)</f>
        <v>0.5</v>
      </c>
      <c r="D41" s="12">
        <f>ROUND(D40/G40,2)</f>
        <v>0</v>
      </c>
      <c r="E41" s="12">
        <f>ROUND(E40/G40,2)</f>
        <v>0.5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5" t="s">
        <v>53</v>
      </c>
      <c r="B46" s="25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0" t="s">
        <v>54</v>
      </c>
      <c r="B47" s="20"/>
      <c r="C47" s="10">
        <v>52225</v>
      </c>
      <c r="D47" s="10">
        <v>0</v>
      </c>
      <c r="E47" s="10">
        <v>74322</v>
      </c>
      <c r="F47" s="10">
        <v>0</v>
      </c>
      <c r="G47" s="10">
        <f>SUM(C47:F47)</f>
        <v>126547</v>
      </c>
      <c r="H47" s="16">
        <f>ROUND(G47/437,2)</f>
        <v>289.58</v>
      </c>
      <c r="I47" s="9"/>
      <c r="J47" s="9"/>
    </row>
    <row r="48" spans="1:10" x14ac:dyDescent="0.25">
      <c r="A48" s="20" t="s">
        <v>55</v>
      </c>
      <c r="B48" s="20"/>
      <c r="C48" s="10">
        <v>35320</v>
      </c>
      <c r="D48" s="10">
        <v>0</v>
      </c>
      <c r="E48" s="10">
        <v>13980</v>
      </c>
      <c r="F48" s="10">
        <v>0</v>
      </c>
      <c r="G48" s="10">
        <f>SUM(C48:F48)</f>
        <v>49300</v>
      </c>
      <c r="H48" s="16">
        <f>ROUND(G48/437,2)</f>
        <v>112.81</v>
      </c>
      <c r="I48" s="9"/>
      <c r="J48" s="9"/>
    </row>
    <row r="49" spans="1:10" x14ac:dyDescent="0.25">
      <c r="A49" s="20" t="s">
        <v>56</v>
      </c>
      <c r="B49" s="20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ROUND(G49/437,2)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57</v>
      </c>
      <c r="B54" s="25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0" t="s">
        <v>58</v>
      </c>
      <c r="B55" s="20"/>
      <c r="C55" s="15">
        <f>ROUND(0.744, 4)</f>
        <v>0.74399999999999999</v>
      </c>
      <c r="D55" s="15">
        <f>ROUND(0.7282, 4)</f>
        <v>0.72819999999999996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3" t="s">
        <v>64</v>
      </c>
      <c r="J55" s="23" t="s">
        <v>65</v>
      </c>
    </row>
    <row r="56" spans="1:10" x14ac:dyDescent="0.25">
      <c r="A56" s="20" t="s">
        <v>66</v>
      </c>
      <c r="B56" s="20"/>
      <c r="C56" s="15">
        <f>ROUND(0.7109, 4)</f>
        <v>0.71089999999999998</v>
      </c>
      <c r="D56" s="15">
        <f>ROUND(0.6909, 4)</f>
        <v>0.69089999999999996</v>
      </c>
      <c r="E56" s="15">
        <f>ROUND(0.7608, 4)</f>
        <v>0.76080000000000003</v>
      </c>
      <c r="F56" s="8"/>
      <c r="G56" s="14" t="s">
        <v>67</v>
      </c>
      <c r="H56" s="27"/>
      <c r="I56" s="24"/>
      <c r="J56" s="24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68</v>
      </c>
      <c r="B60" s="25"/>
      <c r="C60" s="14" t="s">
        <v>2</v>
      </c>
      <c r="D60" s="14" t="s">
        <v>275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0" t="s">
        <v>73</v>
      </c>
      <c r="B61" s="20"/>
      <c r="C61" s="16">
        <v>80.819999999999993</v>
      </c>
      <c r="D61" s="16">
        <v>71.94</v>
      </c>
      <c r="E61" s="16">
        <v>91.13</v>
      </c>
      <c r="F61" s="16">
        <v>54.95</v>
      </c>
      <c r="G61" s="16">
        <f>12/10*C61</f>
        <v>96.983999999999995</v>
      </c>
      <c r="H61" s="8"/>
      <c r="I61" s="9"/>
      <c r="J61" s="9"/>
    </row>
    <row r="62" spans="1:10" x14ac:dyDescent="0.25">
      <c r="A62" s="20" t="s">
        <v>74</v>
      </c>
      <c r="B62" s="20"/>
      <c r="C62" s="16">
        <v>31.85</v>
      </c>
      <c r="D62" s="16">
        <v>37.840000000000003</v>
      </c>
      <c r="E62" s="16">
        <v>61.18</v>
      </c>
      <c r="F62" s="16">
        <v>62.89</v>
      </c>
      <c r="G62" s="16">
        <f>12/10*C62</f>
        <v>38.22</v>
      </c>
      <c r="H62" s="8"/>
      <c r="I62" s="9"/>
      <c r="J62" s="9"/>
    </row>
    <row r="63" spans="1:10" x14ac:dyDescent="0.25">
      <c r="A63" s="20" t="s">
        <v>75</v>
      </c>
      <c r="B63" s="20"/>
      <c r="C63" s="16">
        <v>289.58</v>
      </c>
      <c r="D63" s="16">
        <v>255.67</v>
      </c>
      <c r="E63" s="16">
        <v>287.25</v>
      </c>
      <c r="F63" s="16">
        <v>278.91000000000003</v>
      </c>
      <c r="G63" s="16">
        <f>12/10*C63</f>
        <v>347.49599999999998</v>
      </c>
      <c r="H63" s="8"/>
      <c r="I63" s="9"/>
      <c r="J63" s="9"/>
    </row>
    <row r="64" spans="1:10" x14ac:dyDescent="0.25">
      <c r="A64" s="20" t="s">
        <v>76</v>
      </c>
      <c r="B64" s="20"/>
      <c r="C64" s="16">
        <v>112.81</v>
      </c>
      <c r="D64" s="16">
        <v>129.02000000000001</v>
      </c>
      <c r="E64" s="16">
        <v>114.69</v>
      </c>
      <c r="F64" s="16">
        <v>78.319999999999993</v>
      </c>
      <c r="G64" s="16">
        <f>12/10*C64</f>
        <v>135.37199999999999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2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276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1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4638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136</v>
      </c>
      <c r="F9" s="10"/>
      <c r="G9" s="10">
        <f t="shared" ref="G9:G43" si="0">SUM(C9:F9)</f>
        <v>136</v>
      </c>
      <c r="H9" s="16">
        <f t="shared" ref="H9:H43" si="1">ROUND(G9/4638,2)</f>
        <v>0.03</v>
      </c>
      <c r="I9" s="15">
        <f t="shared" ref="I9:I43" si="2">ROUND(G9/$G$44,3)</f>
        <v>0</v>
      </c>
      <c r="J9" s="15">
        <f>ROUND(G9/30-1,2)</f>
        <v>3.53</v>
      </c>
    </row>
    <row r="10" spans="1:10" x14ac:dyDescent="0.25">
      <c r="A10" s="1" t="s">
        <v>16</v>
      </c>
      <c r="B10" s="1" t="s">
        <v>19</v>
      </c>
      <c r="C10" s="10">
        <v>132740</v>
      </c>
      <c r="D10" s="10"/>
      <c r="E10" s="10">
        <v>6840</v>
      </c>
      <c r="F10" s="10"/>
      <c r="G10" s="10">
        <f t="shared" si="0"/>
        <v>139580</v>
      </c>
      <c r="H10" s="16">
        <f t="shared" si="1"/>
        <v>30.09</v>
      </c>
      <c r="I10" s="15">
        <f t="shared" si="2"/>
        <v>9.2999999999999999E-2</v>
      </c>
      <c r="J10" s="15">
        <f>ROUND(G10/130245-1,2)</f>
        <v>7.0000000000000007E-2</v>
      </c>
    </row>
    <row r="11" spans="1:10" x14ac:dyDescent="0.25">
      <c r="A11" s="1" t="s">
        <v>16</v>
      </c>
      <c r="B11" s="1" t="s">
        <v>20</v>
      </c>
      <c r="C11" s="10">
        <v>162550</v>
      </c>
      <c r="D11" s="10"/>
      <c r="E11" s="10"/>
      <c r="F11" s="10"/>
      <c r="G11" s="10">
        <f t="shared" si="0"/>
        <v>162550</v>
      </c>
      <c r="H11" s="16">
        <f t="shared" si="1"/>
        <v>35.049999999999997</v>
      </c>
      <c r="I11" s="15">
        <f t="shared" si="2"/>
        <v>0.109</v>
      </c>
      <c r="J11" s="15">
        <f>ROUND(G11/160120-1,2)</f>
        <v>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80</v>
      </c>
      <c r="F12" s="10"/>
      <c r="G12" s="10">
        <f t="shared" si="0"/>
        <v>80</v>
      </c>
      <c r="H12" s="16">
        <f t="shared" si="1"/>
        <v>0.02</v>
      </c>
      <c r="I12" s="15">
        <f t="shared" si="2"/>
        <v>0</v>
      </c>
      <c r="J12" s="15">
        <f>ROUND(G12/63-1,2)</f>
        <v>0.27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343</v>
      </c>
      <c r="F13" s="10"/>
      <c r="G13" s="10">
        <f t="shared" si="0"/>
        <v>343</v>
      </c>
      <c r="H13" s="16">
        <f t="shared" si="1"/>
        <v>7.0000000000000007E-2</v>
      </c>
      <c r="I13" s="15">
        <f t="shared" si="2"/>
        <v>0</v>
      </c>
      <c r="J13" s="15">
        <f>ROUND(G13/173-1,2)</f>
        <v>0.98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2900</v>
      </c>
      <c r="F14" s="10"/>
      <c r="G14" s="10">
        <f t="shared" si="0"/>
        <v>2900</v>
      </c>
      <c r="H14" s="16">
        <f t="shared" si="1"/>
        <v>0.63</v>
      </c>
      <c r="I14" s="15">
        <f t="shared" si="2"/>
        <v>2E-3</v>
      </c>
      <c r="J14" s="15">
        <f>ROUND(G14/1600-1,2)</f>
        <v>0.81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40460</v>
      </c>
      <c r="F15" s="10"/>
      <c r="G15" s="10">
        <f t="shared" si="0"/>
        <v>40460</v>
      </c>
      <c r="H15" s="16">
        <f t="shared" si="1"/>
        <v>8.7200000000000006</v>
      </c>
      <c r="I15" s="15">
        <f t="shared" si="2"/>
        <v>2.7E-2</v>
      </c>
      <c r="J15" s="15">
        <f>ROUND(G15/42680-1,2)</f>
        <v>-0.05</v>
      </c>
    </row>
    <row r="16" spans="1:10" x14ac:dyDescent="0.25">
      <c r="A16" s="1" t="s">
        <v>16</v>
      </c>
      <c r="B16" s="1" t="s">
        <v>24</v>
      </c>
      <c r="C16" s="10">
        <v>200590</v>
      </c>
      <c r="D16" s="10"/>
      <c r="E16" s="10">
        <v>1200</v>
      </c>
      <c r="F16" s="10">
        <v>1020</v>
      </c>
      <c r="G16" s="10">
        <f t="shared" si="0"/>
        <v>202810</v>
      </c>
      <c r="H16" s="16">
        <f t="shared" si="1"/>
        <v>43.73</v>
      </c>
      <c r="I16" s="15">
        <f t="shared" si="2"/>
        <v>0.13600000000000001</v>
      </c>
      <c r="J16" s="15">
        <f>ROUND(G16/205950-1,2)</f>
        <v>-0.02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8400</v>
      </c>
      <c r="F17" s="10"/>
      <c r="G17" s="10">
        <f t="shared" si="0"/>
        <v>8400</v>
      </c>
      <c r="H17" s="16">
        <f t="shared" si="1"/>
        <v>1.81</v>
      </c>
      <c r="I17" s="15">
        <f t="shared" si="2"/>
        <v>6.0000000000000001E-3</v>
      </c>
      <c r="J17" s="15">
        <f>ROUND(G17/7055-1,2)</f>
        <v>0.19</v>
      </c>
    </row>
    <row r="18" spans="1:10" x14ac:dyDescent="0.25">
      <c r="A18" s="1" t="s">
        <v>16</v>
      </c>
      <c r="B18" s="1" t="s">
        <v>26</v>
      </c>
      <c r="C18" s="10">
        <v>277480</v>
      </c>
      <c r="D18" s="10"/>
      <c r="E18" s="10"/>
      <c r="F18" s="10">
        <v>1890</v>
      </c>
      <c r="G18" s="10">
        <f t="shared" si="0"/>
        <v>279370</v>
      </c>
      <c r="H18" s="16">
        <f t="shared" si="1"/>
        <v>60.24</v>
      </c>
      <c r="I18" s="15">
        <f t="shared" si="2"/>
        <v>0.187</v>
      </c>
      <c r="J18" s="15">
        <f>ROUND(G18/256850-1,2)</f>
        <v>0.09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1210</v>
      </c>
      <c r="F19" s="10"/>
      <c r="G19" s="10">
        <f t="shared" si="0"/>
        <v>1210</v>
      </c>
      <c r="H19" s="16">
        <f t="shared" si="1"/>
        <v>0.26</v>
      </c>
      <c r="I19" s="15">
        <f t="shared" si="2"/>
        <v>1E-3</v>
      </c>
      <c r="J19" s="15">
        <f>ROUND(G19/3641-1,2)</f>
        <v>-0.67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898</v>
      </c>
      <c r="F20" s="10"/>
      <c r="G20" s="10">
        <f t="shared" si="0"/>
        <v>898</v>
      </c>
      <c r="H20" s="16">
        <f t="shared" si="1"/>
        <v>0.19</v>
      </c>
      <c r="I20" s="15">
        <f t="shared" si="2"/>
        <v>1E-3</v>
      </c>
      <c r="J20" s="15">
        <f>ROUND(G20/377-1,2)</f>
        <v>1.38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1020</v>
      </c>
      <c r="F21" s="10"/>
      <c r="G21" s="10">
        <f t="shared" si="0"/>
        <v>1020</v>
      </c>
      <c r="H21" s="16">
        <f t="shared" si="1"/>
        <v>0.22</v>
      </c>
      <c r="I21" s="15">
        <f t="shared" si="2"/>
        <v>1E-3</v>
      </c>
      <c r="J21" s="15">
        <f>ROUND(G21/820-1,2)</f>
        <v>0.24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240</v>
      </c>
      <c r="F22" s="10"/>
      <c r="G22" s="10">
        <f t="shared" si="0"/>
        <v>240</v>
      </c>
      <c r="H22" s="16">
        <f t="shared" si="1"/>
        <v>0.05</v>
      </c>
      <c r="I22" s="15">
        <f t="shared" si="2"/>
        <v>0</v>
      </c>
      <c r="J22" s="15">
        <f>ROUND(G22/440-1,2)</f>
        <v>-0.45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2565</v>
      </c>
      <c r="F23" s="10"/>
      <c r="G23" s="10">
        <f t="shared" si="0"/>
        <v>2565</v>
      </c>
      <c r="H23" s="16">
        <f t="shared" si="1"/>
        <v>0.55000000000000004</v>
      </c>
      <c r="I23" s="15">
        <f t="shared" si="2"/>
        <v>2E-3</v>
      </c>
      <c r="J23" s="15">
        <f>ROUND(G23/2210-1,2)</f>
        <v>0.16</v>
      </c>
    </row>
    <row r="24" spans="1:10" x14ac:dyDescent="0.25">
      <c r="A24" s="1" t="s">
        <v>16</v>
      </c>
      <c r="B24" s="1" t="s">
        <v>33</v>
      </c>
      <c r="C24" s="10"/>
      <c r="D24" s="10">
        <v>218</v>
      </c>
      <c r="E24" s="10">
        <v>162</v>
      </c>
      <c r="F24" s="10"/>
      <c r="G24" s="10">
        <f t="shared" si="0"/>
        <v>380</v>
      </c>
      <c r="H24" s="16">
        <f t="shared" si="1"/>
        <v>0.08</v>
      </c>
      <c r="I24" s="15">
        <f t="shared" si="2"/>
        <v>0</v>
      </c>
      <c r="J24" s="15">
        <f>ROUND(G24/417-1,2)</f>
        <v>-0.09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305</v>
      </c>
      <c r="F25" s="10"/>
      <c r="G25" s="10">
        <f t="shared" si="0"/>
        <v>305</v>
      </c>
      <c r="H25" s="16">
        <f t="shared" si="1"/>
        <v>7.0000000000000007E-2</v>
      </c>
      <c r="I25" s="15">
        <f t="shared" si="2"/>
        <v>0</v>
      </c>
      <c r="J25" s="15">
        <f>ROUND(G25/728-1,2)</f>
        <v>-0.57999999999999996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2040</v>
      </c>
      <c r="F26" s="10"/>
      <c r="G26" s="10">
        <f t="shared" si="0"/>
        <v>2040</v>
      </c>
      <c r="H26" s="16">
        <f t="shared" si="1"/>
        <v>0.44</v>
      </c>
      <c r="I26" s="15">
        <f t="shared" si="2"/>
        <v>1E-3</v>
      </c>
      <c r="J26" s="15">
        <f>ROUND(G26/2110-1,2)</f>
        <v>-0.03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3000</v>
      </c>
      <c r="F27" s="10"/>
      <c r="G27" s="10">
        <f t="shared" si="0"/>
        <v>3000</v>
      </c>
      <c r="H27" s="16">
        <f t="shared" si="1"/>
        <v>0.65</v>
      </c>
      <c r="I27" s="15">
        <f t="shared" si="2"/>
        <v>2E-3</v>
      </c>
      <c r="J27" s="15">
        <f>ROUND(G27/3728-1,2)</f>
        <v>-0.2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3100</v>
      </c>
      <c r="F28" s="10"/>
      <c r="G28" s="10">
        <f t="shared" si="0"/>
        <v>3100</v>
      </c>
      <c r="H28" s="16">
        <f t="shared" si="1"/>
        <v>0.67</v>
      </c>
      <c r="I28" s="15">
        <f t="shared" si="2"/>
        <v>2E-3</v>
      </c>
      <c r="J28" s="15">
        <f>ROUND(G28/6699-1,2)</f>
        <v>-0.54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87760</v>
      </c>
      <c r="F29" s="10"/>
      <c r="G29" s="10">
        <f t="shared" si="0"/>
        <v>87760</v>
      </c>
      <c r="H29" s="16">
        <f t="shared" si="1"/>
        <v>18.920000000000002</v>
      </c>
      <c r="I29" s="15">
        <f t="shared" si="2"/>
        <v>5.8999999999999997E-2</v>
      </c>
      <c r="J29" s="15">
        <f>ROUND(G29/76045-1,2)</f>
        <v>0.15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5520</v>
      </c>
      <c r="F30" s="10"/>
      <c r="G30" s="10">
        <f t="shared" si="0"/>
        <v>5520</v>
      </c>
      <c r="H30" s="16">
        <f t="shared" si="1"/>
        <v>1.19</v>
      </c>
      <c r="I30" s="15">
        <f t="shared" si="2"/>
        <v>4.0000000000000001E-3</v>
      </c>
      <c r="J30" s="15">
        <f>ROUND(G30/7720-1,2)</f>
        <v>-0.28000000000000003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18750</v>
      </c>
      <c r="F31" s="10"/>
      <c r="G31" s="10">
        <f t="shared" si="0"/>
        <v>18750</v>
      </c>
      <c r="H31" s="16">
        <f t="shared" si="1"/>
        <v>4.04</v>
      </c>
      <c r="I31" s="15">
        <f t="shared" si="2"/>
        <v>1.2999999999999999E-2</v>
      </c>
      <c r="J31" s="15">
        <f>ROUND(G31/22820-1,2)</f>
        <v>-0.18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184750</v>
      </c>
      <c r="F32" s="10">
        <v>1500</v>
      </c>
      <c r="G32" s="10">
        <f t="shared" si="0"/>
        <v>186250</v>
      </c>
      <c r="H32" s="16">
        <f t="shared" si="1"/>
        <v>40.159999999999997</v>
      </c>
      <c r="I32" s="15">
        <f t="shared" si="2"/>
        <v>0.125</v>
      </c>
      <c r="J32" s="15">
        <f>ROUND(G32/221690-1,2)</f>
        <v>-0.16</v>
      </c>
    </row>
    <row r="33" spans="1:10" x14ac:dyDescent="0.25">
      <c r="A33" s="1" t="s">
        <v>16</v>
      </c>
      <c r="B33" s="1" t="s">
        <v>29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ROUND(G33/5080-1,2)</f>
        <v>-1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ROUND(G34/3780-1,2)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ROUND(G36/400-1,2)</f>
        <v>-1</v>
      </c>
    </row>
    <row r="37" spans="1:10" x14ac:dyDescent="0.25">
      <c r="A37" s="1" t="s">
        <v>44</v>
      </c>
      <c r="B37" s="1" t="s">
        <v>45</v>
      </c>
      <c r="C37" s="10">
        <v>237620</v>
      </c>
      <c r="D37" s="10"/>
      <c r="E37" s="10"/>
      <c r="F37" s="10"/>
      <c r="G37" s="10">
        <f t="shared" si="0"/>
        <v>237620</v>
      </c>
      <c r="H37" s="16">
        <f t="shared" si="1"/>
        <v>51.23</v>
      </c>
      <c r="I37" s="15">
        <f t="shared" si="2"/>
        <v>0.159</v>
      </c>
      <c r="J37" s="15">
        <f>ROUND(G37/215200-1,2)</f>
        <v>0.1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>
        <v>45220</v>
      </c>
      <c r="G38" s="10">
        <f t="shared" si="0"/>
        <v>45220</v>
      </c>
      <c r="H38" s="16">
        <f t="shared" si="1"/>
        <v>9.75</v>
      </c>
      <c r="I38" s="15">
        <f t="shared" si="2"/>
        <v>0.03</v>
      </c>
      <c r="J38" s="15">
        <f>ROUND(G38/76460-1,2)</f>
        <v>-0.41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62760</v>
      </c>
      <c r="F39" s="10"/>
      <c r="G39" s="10">
        <f t="shared" si="0"/>
        <v>62760</v>
      </c>
      <c r="H39" s="16">
        <f t="shared" si="1"/>
        <v>13.53</v>
      </c>
      <c r="I39" s="15">
        <f t="shared" si="2"/>
        <v>4.2000000000000003E-2</v>
      </c>
      <c r="J39" s="15">
        <f>ROUND(G39/55180-1,2)</f>
        <v>0.14000000000000001</v>
      </c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ROUND(G40/200-1,2)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ROUND(G41/160-1,2)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86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5" t="s">
        <v>12</v>
      </c>
      <c r="B44" s="25"/>
      <c r="C44" s="11">
        <f t="shared" ref="C44:H44" si="3">SUM(C8:C43)</f>
        <v>1010980</v>
      </c>
      <c r="D44" s="11">
        <f t="shared" si="3"/>
        <v>218</v>
      </c>
      <c r="E44" s="11">
        <f t="shared" si="3"/>
        <v>434439</v>
      </c>
      <c r="F44" s="11">
        <f t="shared" si="3"/>
        <v>49630</v>
      </c>
      <c r="G44" s="11">
        <f t="shared" si="3"/>
        <v>1495267</v>
      </c>
      <c r="H44" s="14">
        <f t="shared" si="3"/>
        <v>322.39</v>
      </c>
      <c r="I44" s="17"/>
      <c r="J44" s="17"/>
    </row>
    <row r="45" spans="1:10" x14ac:dyDescent="0.25">
      <c r="A45" s="25" t="s">
        <v>14</v>
      </c>
      <c r="B45" s="25"/>
      <c r="C45" s="12">
        <f>ROUND(C44/G44,2)</f>
        <v>0.68</v>
      </c>
      <c r="D45" s="12">
        <f>ROUND(D44/G44,2)</f>
        <v>0</v>
      </c>
      <c r="E45" s="12">
        <f>ROUND(E44/G44,2)</f>
        <v>0.28999999999999998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53</v>
      </c>
      <c r="B50" s="25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0" t="s">
        <v>54</v>
      </c>
      <c r="B51" s="20"/>
      <c r="C51" s="10">
        <v>773360</v>
      </c>
      <c r="D51" s="10">
        <v>218</v>
      </c>
      <c r="E51" s="10">
        <v>371679</v>
      </c>
      <c r="F51" s="10">
        <v>4410</v>
      </c>
      <c r="G51" s="10">
        <f>SUM(C51:F51)</f>
        <v>1149667</v>
      </c>
      <c r="H51" s="16">
        <f>ROUND(G51/4638,2)</f>
        <v>247.88</v>
      </c>
      <c r="I51" s="9"/>
      <c r="J51" s="9"/>
    </row>
    <row r="52" spans="1:10" x14ac:dyDescent="0.25">
      <c r="A52" s="20" t="s">
        <v>55</v>
      </c>
      <c r="B52" s="20"/>
      <c r="C52" s="10">
        <v>237620</v>
      </c>
      <c r="D52" s="10">
        <v>0</v>
      </c>
      <c r="E52" s="10">
        <v>62760</v>
      </c>
      <c r="F52" s="10">
        <v>45220</v>
      </c>
      <c r="G52" s="10">
        <f>SUM(C52:F52)</f>
        <v>345600</v>
      </c>
      <c r="H52" s="16">
        <f>ROUND(G52/4638,2)</f>
        <v>74.510000000000005</v>
      </c>
      <c r="I52" s="9"/>
      <c r="J52" s="9"/>
    </row>
    <row r="53" spans="1:10" x14ac:dyDescent="0.25">
      <c r="A53" s="20" t="s">
        <v>56</v>
      </c>
      <c r="B53" s="20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ROUND(G53/4638,2)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57</v>
      </c>
      <c r="B58" s="25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0" t="s">
        <v>58</v>
      </c>
      <c r="B59" s="20"/>
      <c r="C59" s="15">
        <f>ROUND(0.8276, 4)</f>
        <v>0.8276</v>
      </c>
      <c r="D59" s="15">
        <f>ROUND(0.8355, 4)</f>
        <v>0.83550000000000002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3" t="s">
        <v>64</v>
      </c>
      <c r="J59" s="23" t="s">
        <v>65</v>
      </c>
    </row>
    <row r="60" spans="1:10" x14ac:dyDescent="0.25">
      <c r="A60" s="20" t="s">
        <v>66</v>
      </c>
      <c r="B60" s="20"/>
      <c r="C60" s="15">
        <f>ROUND(0.8152, 4)</f>
        <v>0.81520000000000004</v>
      </c>
      <c r="D60" s="15">
        <f>ROUND(0.8233, 4)</f>
        <v>0.82330000000000003</v>
      </c>
      <c r="E60" s="15">
        <f>ROUND(0.7608, 4)</f>
        <v>0.76080000000000003</v>
      </c>
      <c r="F60" s="8"/>
      <c r="G60" s="14" t="s">
        <v>67</v>
      </c>
      <c r="H60" s="27"/>
      <c r="I60" s="24"/>
      <c r="J60" s="24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5" t="s">
        <v>68</v>
      </c>
      <c r="B64" s="25"/>
      <c r="C64" s="14" t="s">
        <v>2</v>
      </c>
      <c r="D64" s="14" t="s">
        <v>278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0" t="s">
        <v>73</v>
      </c>
      <c r="B65" s="20"/>
      <c r="C65" s="16">
        <v>51.23</v>
      </c>
      <c r="D65" s="16">
        <v>78.849999999999994</v>
      </c>
      <c r="E65" s="16">
        <v>91.13</v>
      </c>
      <c r="F65" s="16">
        <v>54.95</v>
      </c>
      <c r="G65" s="16">
        <f>12/10*C65</f>
        <v>61.475999999999992</v>
      </c>
      <c r="H65" s="8"/>
      <c r="I65" s="9"/>
      <c r="J65" s="9"/>
    </row>
    <row r="66" spans="1:10" x14ac:dyDescent="0.25">
      <c r="A66" s="20" t="s">
        <v>74</v>
      </c>
      <c r="B66" s="20"/>
      <c r="C66" s="16">
        <v>60.24</v>
      </c>
      <c r="D66" s="16">
        <v>63.83</v>
      </c>
      <c r="E66" s="16">
        <v>61.18</v>
      </c>
      <c r="F66" s="16">
        <v>62.89</v>
      </c>
      <c r="G66" s="16">
        <f>12/10*C66</f>
        <v>72.287999999999997</v>
      </c>
      <c r="H66" s="8"/>
      <c r="I66" s="9"/>
      <c r="J66" s="9"/>
    </row>
    <row r="67" spans="1:10" x14ac:dyDescent="0.25">
      <c r="A67" s="20" t="s">
        <v>75</v>
      </c>
      <c r="B67" s="20"/>
      <c r="C67" s="16">
        <v>247.88</v>
      </c>
      <c r="D67" s="16">
        <v>299.79000000000002</v>
      </c>
      <c r="E67" s="16">
        <v>287.25</v>
      </c>
      <c r="F67" s="16">
        <v>278.91000000000003</v>
      </c>
      <c r="G67" s="16">
        <f>12/10*C67</f>
        <v>297.45599999999996</v>
      </c>
      <c r="H67" s="8"/>
      <c r="I67" s="9"/>
      <c r="J67" s="9"/>
    </row>
    <row r="68" spans="1:10" x14ac:dyDescent="0.25">
      <c r="A68" s="20" t="s">
        <v>76</v>
      </c>
      <c r="B68" s="20"/>
      <c r="C68" s="16">
        <v>74.510000000000005</v>
      </c>
      <c r="D68" s="16">
        <v>107.41</v>
      </c>
      <c r="E68" s="16">
        <v>114.69</v>
      </c>
      <c r="F68" s="16">
        <v>78.319999999999993</v>
      </c>
      <c r="G68" s="16">
        <f>12/10*C68</f>
        <v>89.412000000000006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1" t="s">
        <v>60</v>
      </c>
      <c r="B71" s="22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7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6015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6</v>
      </c>
      <c r="G9" s="10">
        <f t="shared" ref="G9:G44" si="0">SUM(C9:F9)</f>
        <v>6</v>
      </c>
      <c r="H9" s="16">
        <f t="shared" ref="H9:H44" si="1">ROUND(G9/6015,2)</f>
        <v>0</v>
      </c>
      <c r="I9" s="15">
        <f t="shared" ref="I9:I44" si="2">ROUND(G9/$G$45,3)</f>
        <v>0</v>
      </c>
      <c r="J9" s="15"/>
    </row>
    <row r="10" spans="1:10" x14ac:dyDescent="0.25">
      <c r="A10" s="1" t="s">
        <v>48</v>
      </c>
      <c r="B10" s="1" t="s">
        <v>86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50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ROUND(G11/635-1,2)</f>
        <v>-1</v>
      </c>
    </row>
    <row r="12" spans="1:10" x14ac:dyDescent="0.25">
      <c r="A12" s="1" t="s">
        <v>48</v>
      </c>
      <c r="B12" s="1" t="s">
        <v>51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40</v>
      </c>
      <c r="F13" s="10"/>
      <c r="G13" s="10">
        <f t="shared" si="0"/>
        <v>40</v>
      </c>
      <c r="H13" s="16">
        <f t="shared" si="1"/>
        <v>0.01</v>
      </c>
      <c r="I13" s="15">
        <f t="shared" si="2"/>
        <v>0</v>
      </c>
      <c r="J13" s="15">
        <f>ROUND(G13/71-1,2)</f>
        <v>-0.44</v>
      </c>
    </row>
    <row r="14" spans="1:10" x14ac:dyDescent="0.25">
      <c r="A14" s="1" t="s">
        <v>16</v>
      </c>
      <c r="B14" s="1" t="s">
        <v>19</v>
      </c>
      <c r="C14" s="10">
        <v>176665</v>
      </c>
      <c r="D14" s="10"/>
      <c r="E14" s="10">
        <v>6060</v>
      </c>
      <c r="F14" s="10">
        <v>1365</v>
      </c>
      <c r="G14" s="10">
        <f t="shared" si="0"/>
        <v>184090</v>
      </c>
      <c r="H14" s="16">
        <f t="shared" si="1"/>
        <v>30.61</v>
      </c>
      <c r="I14" s="15">
        <f t="shared" si="2"/>
        <v>9.5000000000000001E-2</v>
      </c>
      <c r="J14" s="15">
        <f>ROUND(G14/178170-1,2)</f>
        <v>0.03</v>
      </c>
    </row>
    <row r="15" spans="1:10" x14ac:dyDescent="0.25">
      <c r="A15" s="1" t="s">
        <v>16</v>
      </c>
      <c r="B15" s="1" t="s">
        <v>20</v>
      </c>
      <c r="C15" s="10">
        <v>199210</v>
      </c>
      <c r="D15" s="10"/>
      <c r="E15" s="10"/>
      <c r="F15" s="10"/>
      <c r="G15" s="10">
        <f t="shared" si="0"/>
        <v>199210</v>
      </c>
      <c r="H15" s="16">
        <f t="shared" si="1"/>
        <v>33.119999999999997</v>
      </c>
      <c r="I15" s="15">
        <f t="shared" si="2"/>
        <v>0.10299999999999999</v>
      </c>
      <c r="J15" s="15">
        <f>ROUND(G15/205250-1,2)</f>
        <v>-0.03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323</v>
      </c>
      <c r="F16" s="10"/>
      <c r="G16" s="10">
        <f t="shared" si="0"/>
        <v>323</v>
      </c>
      <c r="H16" s="16">
        <f t="shared" si="1"/>
        <v>0.05</v>
      </c>
      <c r="I16" s="15">
        <f t="shared" si="2"/>
        <v>0</v>
      </c>
      <c r="J16" s="15">
        <f>ROUND(G16/177-1,2)</f>
        <v>0.82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304</v>
      </c>
      <c r="F17" s="10"/>
      <c r="G17" s="10">
        <f t="shared" si="0"/>
        <v>304</v>
      </c>
      <c r="H17" s="16">
        <f t="shared" si="1"/>
        <v>0.05</v>
      </c>
      <c r="I17" s="15">
        <f t="shared" si="2"/>
        <v>0</v>
      </c>
      <c r="J17" s="15">
        <f>ROUND(G17/235-1,2)</f>
        <v>0.28999999999999998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2580</v>
      </c>
      <c r="F18" s="10"/>
      <c r="G18" s="10">
        <f t="shared" si="0"/>
        <v>2580</v>
      </c>
      <c r="H18" s="16">
        <f t="shared" si="1"/>
        <v>0.43</v>
      </c>
      <c r="I18" s="15">
        <f t="shared" si="2"/>
        <v>1E-3</v>
      </c>
      <c r="J18" s="15">
        <f>ROUND(G18/4400-1,2)</f>
        <v>-0.41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47120</v>
      </c>
      <c r="F19" s="10"/>
      <c r="G19" s="10">
        <f t="shared" si="0"/>
        <v>47120</v>
      </c>
      <c r="H19" s="16">
        <f t="shared" si="1"/>
        <v>7.83</v>
      </c>
      <c r="I19" s="15">
        <f t="shared" si="2"/>
        <v>2.4E-2</v>
      </c>
      <c r="J19" s="15">
        <f>ROUND(G19/57700-1,2)</f>
        <v>-0.18</v>
      </c>
    </row>
    <row r="20" spans="1:10" x14ac:dyDescent="0.25">
      <c r="A20" s="1" t="s">
        <v>16</v>
      </c>
      <c r="B20" s="1" t="s">
        <v>24</v>
      </c>
      <c r="C20" s="10">
        <v>300350</v>
      </c>
      <c r="D20" s="10"/>
      <c r="E20" s="10">
        <v>29820</v>
      </c>
      <c r="F20" s="10">
        <v>4340</v>
      </c>
      <c r="G20" s="10">
        <f t="shared" si="0"/>
        <v>334510</v>
      </c>
      <c r="H20" s="16">
        <f t="shared" si="1"/>
        <v>55.61</v>
      </c>
      <c r="I20" s="15">
        <f t="shared" si="2"/>
        <v>0.17299999999999999</v>
      </c>
      <c r="J20" s="15">
        <f>ROUND(G20/322200-1,2)</f>
        <v>0.04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7790</v>
      </c>
      <c r="F21" s="10"/>
      <c r="G21" s="10">
        <f t="shared" si="0"/>
        <v>7790</v>
      </c>
      <c r="H21" s="16">
        <f t="shared" si="1"/>
        <v>1.3</v>
      </c>
      <c r="I21" s="15">
        <f t="shared" si="2"/>
        <v>4.0000000000000001E-3</v>
      </c>
      <c r="J21" s="15">
        <f>ROUND(G21/9875-1,2)</f>
        <v>-0.21</v>
      </c>
    </row>
    <row r="22" spans="1:10" x14ac:dyDescent="0.25">
      <c r="A22" s="1" t="s">
        <v>16</v>
      </c>
      <c r="B22" s="1" t="s">
        <v>26</v>
      </c>
      <c r="C22" s="10">
        <v>371370</v>
      </c>
      <c r="D22" s="10"/>
      <c r="E22" s="10"/>
      <c r="F22" s="10">
        <v>1510</v>
      </c>
      <c r="G22" s="10">
        <f t="shared" si="0"/>
        <v>372880</v>
      </c>
      <c r="H22" s="16">
        <f t="shared" si="1"/>
        <v>61.99</v>
      </c>
      <c r="I22" s="15">
        <f t="shared" si="2"/>
        <v>0.193</v>
      </c>
      <c r="J22" s="15">
        <f>ROUND(G22/349080-1,2)</f>
        <v>7.0000000000000007E-2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2270</v>
      </c>
      <c r="F23" s="10"/>
      <c r="G23" s="10">
        <f t="shared" si="0"/>
        <v>2270</v>
      </c>
      <c r="H23" s="16">
        <f t="shared" si="1"/>
        <v>0.38</v>
      </c>
      <c r="I23" s="15">
        <f t="shared" si="2"/>
        <v>1E-3</v>
      </c>
      <c r="J23" s="15">
        <f>ROUND(G23/2647-1,2)</f>
        <v>-0.14000000000000001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1734</v>
      </c>
      <c r="F24" s="10"/>
      <c r="G24" s="10">
        <f t="shared" si="0"/>
        <v>1734</v>
      </c>
      <c r="H24" s="16">
        <f t="shared" si="1"/>
        <v>0.28999999999999998</v>
      </c>
      <c r="I24" s="15">
        <f t="shared" si="2"/>
        <v>1E-3</v>
      </c>
      <c r="J24" s="15">
        <f>ROUND(G24/1645-1,2)</f>
        <v>0.05</v>
      </c>
    </row>
    <row r="25" spans="1:10" x14ac:dyDescent="0.25">
      <c r="A25" s="1" t="s">
        <v>16</v>
      </c>
      <c r="B25" s="1" t="s">
        <v>42</v>
      </c>
      <c r="C25" s="10"/>
      <c r="D25" s="10"/>
      <c r="E25" s="10">
        <v>180</v>
      </c>
      <c r="F25" s="10"/>
      <c r="G25" s="10">
        <f t="shared" si="0"/>
        <v>180</v>
      </c>
      <c r="H25" s="16">
        <f t="shared" si="1"/>
        <v>0.03</v>
      </c>
      <c r="I25" s="15">
        <f t="shared" si="2"/>
        <v>0</v>
      </c>
      <c r="J25" s="15">
        <f>ROUND(G25/373-1,2)</f>
        <v>-0.52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3300</v>
      </c>
      <c r="F26" s="10"/>
      <c r="G26" s="10">
        <f t="shared" si="0"/>
        <v>3300</v>
      </c>
      <c r="H26" s="16">
        <f t="shared" si="1"/>
        <v>0.55000000000000004</v>
      </c>
      <c r="I26" s="15">
        <f t="shared" si="2"/>
        <v>2E-3</v>
      </c>
      <c r="J26" s="15">
        <f>ROUND(G26/7230-1,2)</f>
        <v>-0.54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1560</v>
      </c>
      <c r="F27" s="10"/>
      <c r="G27" s="10">
        <f t="shared" si="0"/>
        <v>1560</v>
      </c>
      <c r="H27" s="16">
        <f t="shared" si="1"/>
        <v>0.26</v>
      </c>
      <c r="I27" s="15">
        <f t="shared" si="2"/>
        <v>1E-3</v>
      </c>
      <c r="J27" s="15">
        <f>ROUND(G27/1500-1,2)</f>
        <v>0.04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490</v>
      </c>
      <c r="F28" s="10"/>
      <c r="G28" s="10">
        <f t="shared" si="0"/>
        <v>490</v>
      </c>
      <c r="H28" s="16">
        <f t="shared" si="1"/>
        <v>0.08</v>
      </c>
      <c r="I28" s="15">
        <f t="shared" si="2"/>
        <v>0</v>
      </c>
      <c r="J28" s="15">
        <f>ROUND(G28/580-1,2)</f>
        <v>-0.16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2050</v>
      </c>
      <c r="F29" s="10"/>
      <c r="G29" s="10">
        <f t="shared" si="0"/>
        <v>2050</v>
      </c>
      <c r="H29" s="16">
        <f t="shared" si="1"/>
        <v>0.34</v>
      </c>
      <c r="I29" s="15">
        <f t="shared" si="2"/>
        <v>1E-3</v>
      </c>
      <c r="J29" s="15">
        <f>ROUND(G29/2805-1,2)</f>
        <v>-0.27</v>
      </c>
    </row>
    <row r="30" spans="1:10" x14ac:dyDescent="0.25">
      <c r="A30" s="1" t="s">
        <v>16</v>
      </c>
      <c r="B30" s="1" t="s">
        <v>33</v>
      </c>
      <c r="C30" s="10"/>
      <c r="D30" s="10">
        <v>421</v>
      </c>
      <c r="E30" s="10">
        <v>92</v>
      </c>
      <c r="F30" s="10"/>
      <c r="G30" s="10">
        <f t="shared" si="0"/>
        <v>513</v>
      </c>
      <c r="H30" s="16">
        <f t="shared" si="1"/>
        <v>0.09</v>
      </c>
      <c r="I30" s="15">
        <f t="shared" si="2"/>
        <v>0</v>
      </c>
      <c r="J30" s="15">
        <f>ROUND(G30/416-1,2)</f>
        <v>0.23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740</v>
      </c>
      <c r="F31" s="10"/>
      <c r="G31" s="10">
        <f t="shared" si="0"/>
        <v>740</v>
      </c>
      <c r="H31" s="16">
        <f t="shared" si="1"/>
        <v>0.12</v>
      </c>
      <c r="I31" s="15">
        <f t="shared" si="2"/>
        <v>0</v>
      </c>
      <c r="J31" s="15">
        <f>ROUND(G31/2050-1,2)</f>
        <v>-0.64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7720</v>
      </c>
      <c r="F32" s="10"/>
      <c r="G32" s="10">
        <f t="shared" si="0"/>
        <v>7720</v>
      </c>
      <c r="H32" s="16">
        <f t="shared" si="1"/>
        <v>1.28</v>
      </c>
      <c r="I32" s="15">
        <f t="shared" si="2"/>
        <v>4.0000000000000001E-3</v>
      </c>
      <c r="J32" s="15">
        <f>ROUND(G32/16085-1,2)</f>
        <v>-0.52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4210</v>
      </c>
      <c r="F33" s="10"/>
      <c r="G33" s="10">
        <f t="shared" si="0"/>
        <v>4210</v>
      </c>
      <c r="H33" s="16">
        <f t="shared" si="1"/>
        <v>0.7</v>
      </c>
      <c r="I33" s="15">
        <f t="shared" si="2"/>
        <v>2E-3</v>
      </c>
      <c r="J33" s="15">
        <f>ROUND(G33/5470-1,2)</f>
        <v>-0.23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137535</v>
      </c>
      <c r="F34" s="10"/>
      <c r="G34" s="10">
        <f t="shared" si="0"/>
        <v>137535</v>
      </c>
      <c r="H34" s="16">
        <f t="shared" si="1"/>
        <v>22.87</v>
      </c>
      <c r="I34" s="15">
        <f t="shared" si="2"/>
        <v>7.0999999999999994E-2</v>
      </c>
      <c r="J34" s="15">
        <f>ROUND(G34/133060-1,2)</f>
        <v>0.03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7230</v>
      </c>
      <c r="F35" s="10"/>
      <c r="G35" s="10">
        <f t="shared" si="0"/>
        <v>7230</v>
      </c>
      <c r="H35" s="16">
        <f t="shared" si="1"/>
        <v>1.2</v>
      </c>
      <c r="I35" s="15">
        <f t="shared" si="2"/>
        <v>4.0000000000000001E-3</v>
      </c>
      <c r="J35" s="15">
        <f>ROUND(G35/5880-1,2)</f>
        <v>0.23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28080</v>
      </c>
      <c r="F36" s="10"/>
      <c r="G36" s="10">
        <f t="shared" si="0"/>
        <v>28080</v>
      </c>
      <c r="H36" s="16">
        <f t="shared" si="1"/>
        <v>4.67</v>
      </c>
      <c r="I36" s="15">
        <f t="shared" si="2"/>
        <v>1.4E-2</v>
      </c>
      <c r="J36" s="15">
        <f>ROUND(G36/28600-1,2)</f>
        <v>-0.02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198770</v>
      </c>
      <c r="F37" s="10"/>
      <c r="G37" s="10">
        <f t="shared" si="0"/>
        <v>198770</v>
      </c>
      <c r="H37" s="16">
        <f t="shared" si="1"/>
        <v>33.049999999999997</v>
      </c>
      <c r="I37" s="15">
        <f t="shared" si="2"/>
        <v>0.10299999999999999</v>
      </c>
      <c r="J37" s="15">
        <f>ROUND(G37/176190-1,2)</f>
        <v>0.13</v>
      </c>
    </row>
    <row r="38" spans="1:10" x14ac:dyDescent="0.25">
      <c r="A38" s="1" t="s">
        <v>16</v>
      </c>
      <c r="B38" s="1" t="s">
        <v>98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ROUND(G38/380-1,2)</f>
        <v>-1</v>
      </c>
    </row>
    <row r="39" spans="1:10" x14ac:dyDescent="0.25">
      <c r="A39" s="1" t="s">
        <v>16</v>
      </c>
      <c r="B39" s="1" t="s">
        <v>35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ROUND(G39/569-1,2)</f>
        <v>-1</v>
      </c>
    </row>
    <row r="40" spans="1:10" x14ac:dyDescent="0.25">
      <c r="A40" s="1" t="s">
        <v>16</v>
      </c>
      <c r="B40" s="1" t="s">
        <v>36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ROUND(G40/4972-1,2)</f>
        <v>-1</v>
      </c>
    </row>
    <row r="41" spans="1:10" x14ac:dyDescent="0.25">
      <c r="A41" s="1" t="s">
        <v>16</v>
      </c>
      <c r="B41" s="1" t="s">
        <v>120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44</v>
      </c>
      <c r="B42" s="1" t="s">
        <v>45</v>
      </c>
      <c r="C42" s="10">
        <v>271955</v>
      </c>
      <c r="D42" s="10"/>
      <c r="E42" s="10"/>
      <c r="F42" s="10"/>
      <c r="G42" s="10">
        <f t="shared" si="0"/>
        <v>271955</v>
      </c>
      <c r="H42" s="16">
        <f t="shared" si="1"/>
        <v>45.21</v>
      </c>
      <c r="I42" s="15">
        <f t="shared" si="2"/>
        <v>0.14000000000000001</v>
      </c>
      <c r="J42" s="15">
        <f>ROUND(G42/294310-1,2)</f>
        <v>-0.08</v>
      </c>
    </row>
    <row r="43" spans="1:10" x14ac:dyDescent="0.25">
      <c r="A43" s="1" t="s">
        <v>44</v>
      </c>
      <c r="B43" s="1" t="s">
        <v>47</v>
      </c>
      <c r="C43" s="10"/>
      <c r="D43" s="10"/>
      <c r="E43" s="10"/>
      <c r="F43" s="10">
        <v>29000</v>
      </c>
      <c r="G43" s="10">
        <f t="shared" si="0"/>
        <v>29000</v>
      </c>
      <c r="H43" s="16">
        <f t="shared" si="1"/>
        <v>4.82</v>
      </c>
      <c r="I43" s="15">
        <f t="shared" si="2"/>
        <v>1.4999999999999999E-2</v>
      </c>
      <c r="J43" s="15">
        <f>ROUND(G43/34320-1,2)</f>
        <v>-0.16</v>
      </c>
    </row>
    <row r="44" spans="1:10" x14ac:dyDescent="0.25">
      <c r="A44" s="1" t="s">
        <v>44</v>
      </c>
      <c r="B44" s="1" t="s">
        <v>46</v>
      </c>
      <c r="C44" s="10"/>
      <c r="D44" s="10"/>
      <c r="E44" s="10">
        <v>90385</v>
      </c>
      <c r="F44" s="10"/>
      <c r="G44" s="10">
        <f t="shared" si="0"/>
        <v>90385</v>
      </c>
      <c r="H44" s="16">
        <f t="shared" si="1"/>
        <v>15.03</v>
      </c>
      <c r="I44" s="15">
        <f t="shared" si="2"/>
        <v>4.7E-2</v>
      </c>
      <c r="J44" s="15">
        <f>ROUND(G44/79650-1,2)</f>
        <v>0.13</v>
      </c>
    </row>
    <row r="45" spans="1:10" x14ac:dyDescent="0.25">
      <c r="A45" s="25" t="s">
        <v>12</v>
      </c>
      <c r="B45" s="25"/>
      <c r="C45" s="11">
        <f t="shared" ref="C45:H45" si="3">SUM(C8:C44)</f>
        <v>1319550</v>
      </c>
      <c r="D45" s="11">
        <f t="shared" si="3"/>
        <v>421</v>
      </c>
      <c r="E45" s="11">
        <f t="shared" si="3"/>
        <v>580383</v>
      </c>
      <c r="F45" s="11">
        <f t="shared" si="3"/>
        <v>36221</v>
      </c>
      <c r="G45" s="11">
        <f t="shared" si="3"/>
        <v>1936575</v>
      </c>
      <c r="H45" s="14">
        <f t="shared" si="3"/>
        <v>321.96999999999991</v>
      </c>
      <c r="I45" s="17"/>
      <c r="J45" s="17"/>
    </row>
    <row r="46" spans="1:10" x14ac:dyDescent="0.25">
      <c r="A46" s="25" t="s">
        <v>14</v>
      </c>
      <c r="B46" s="25"/>
      <c r="C46" s="12">
        <f>ROUND(C45/G45,2)</f>
        <v>0.68</v>
      </c>
      <c r="D46" s="12">
        <f>ROUND(D45/G45,2)</f>
        <v>0</v>
      </c>
      <c r="E46" s="12">
        <f>ROUND(E45/G45,2)</f>
        <v>0.3</v>
      </c>
      <c r="F46" s="12">
        <f>ROUND(F45/G45,2)</f>
        <v>0.02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53</v>
      </c>
      <c r="B51" s="25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0" t="s">
        <v>54</v>
      </c>
      <c r="B52" s="20"/>
      <c r="C52" s="10">
        <v>1047595</v>
      </c>
      <c r="D52" s="10">
        <v>421</v>
      </c>
      <c r="E52" s="10">
        <v>489998</v>
      </c>
      <c r="F52" s="10">
        <v>7215</v>
      </c>
      <c r="G52" s="10">
        <f>SUM(C52:F52)</f>
        <v>1545229</v>
      </c>
      <c r="H52" s="16">
        <f>ROUND(G52/6015,2)</f>
        <v>256.89999999999998</v>
      </c>
      <c r="I52" s="9"/>
      <c r="J52" s="9"/>
    </row>
    <row r="53" spans="1:10" x14ac:dyDescent="0.25">
      <c r="A53" s="20" t="s">
        <v>55</v>
      </c>
      <c r="B53" s="20"/>
      <c r="C53" s="10">
        <v>271955</v>
      </c>
      <c r="D53" s="10">
        <v>0</v>
      </c>
      <c r="E53" s="10">
        <v>90385</v>
      </c>
      <c r="F53" s="10">
        <v>29000</v>
      </c>
      <c r="G53" s="10">
        <f>SUM(C53:F53)</f>
        <v>391340</v>
      </c>
      <c r="H53" s="16">
        <f>ROUND(G53/6015,2)</f>
        <v>65.06</v>
      </c>
      <c r="I53" s="9"/>
      <c r="J53" s="9"/>
    </row>
    <row r="54" spans="1:10" x14ac:dyDescent="0.25">
      <c r="A54" s="20" t="s">
        <v>56</v>
      </c>
      <c r="B54" s="20"/>
      <c r="C54" s="10">
        <v>0</v>
      </c>
      <c r="D54" s="10">
        <v>0</v>
      </c>
      <c r="E54" s="10">
        <v>0</v>
      </c>
      <c r="F54" s="10">
        <v>6</v>
      </c>
      <c r="G54" s="10">
        <f>SUM(C54:F54)</f>
        <v>6</v>
      </c>
      <c r="H54" s="16">
        <f>ROUND(G54/6015,2)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57</v>
      </c>
      <c r="B59" s="25"/>
      <c r="C59" s="3" t="s">
        <v>2</v>
      </c>
      <c r="D59" s="3">
        <v>2023</v>
      </c>
      <c r="E59" s="3" t="s">
        <v>59</v>
      </c>
      <c r="F59" s="2"/>
      <c r="G59" s="3" t="s">
        <v>60</v>
      </c>
      <c r="H59" s="3" t="s">
        <v>2</v>
      </c>
      <c r="I59" s="3" t="s">
        <v>61</v>
      </c>
      <c r="J59" s="3" t="s">
        <v>59</v>
      </c>
    </row>
    <row r="60" spans="1:10" x14ac:dyDescent="0.25">
      <c r="A60" s="20" t="s">
        <v>58</v>
      </c>
      <c r="B60" s="20"/>
      <c r="C60" s="7">
        <f>ROUND(0.8503, 4)</f>
        <v>0.85029999999999994</v>
      </c>
      <c r="D60" s="7">
        <f>ROUND(0.8366, 4)</f>
        <v>0.83660000000000001</v>
      </c>
      <c r="E60" s="7">
        <f>ROUND(0.777, 4)</f>
        <v>0.77700000000000002</v>
      </c>
      <c r="G60" s="3" t="s">
        <v>62</v>
      </c>
      <c r="H60" s="28" t="s">
        <v>63</v>
      </c>
      <c r="I60" s="28" t="s">
        <v>64</v>
      </c>
      <c r="J60" s="28" t="s">
        <v>65</v>
      </c>
    </row>
    <row r="61" spans="1:10" x14ac:dyDescent="0.25">
      <c r="A61" s="20" t="s">
        <v>66</v>
      </c>
      <c r="B61" s="20"/>
      <c r="C61" s="7">
        <f>ROUND(0.838, 4)</f>
        <v>0.83799999999999997</v>
      </c>
      <c r="D61" s="7">
        <f>ROUND(0.8238, 4)</f>
        <v>0.82379999999999998</v>
      </c>
      <c r="E61" s="7">
        <f>ROUND(0.7608, 4)</f>
        <v>0.76080000000000003</v>
      </c>
      <c r="G61" s="3" t="s">
        <v>67</v>
      </c>
      <c r="H61" s="20"/>
      <c r="I61" s="20"/>
      <c r="J61" s="20"/>
    </row>
    <row r="65" spans="1:10" x14ac:dyDescent="0.25">
      <c r="A65" s="25" t="s">
        <v>68</v>
      </c>
      <c r="B65" s="25"/>
      <c r="C65" s="3" t="s">
        <v>2</v>
      </c>
      <c r="D65" s="3" t="s">
        <v>281</v>
      </c>
      <c r="E65" s="3" t="s">
        <v>70</v>
      </c>
      <c r="F65" s="3" t="s">
        <v>71</v>
      </c>
      <c r="G65" s="3" t="s">
        <v>72</v>
      </c>
      <c r="H65" s="2"/>
      <c r="I65" s="2"/>
      <c r="J65" s="2"/>
    </row>
    <row r="66" spans="1:10" x14ac:dyDescent="0.25">
      <c r="A66" s="20" t="s">
        <v>73</v>
      </c>
      <c r="B66" s="20"/>
      <c r="C66" s="1">
        <v>45.21</v>
      </c>
      <c r="D66" s="1">
        <v>75.53</v>
      </c>
      <c r="E66" s="1">
        <v>91.13</v>
      </c>
      <c r="F66" s="1">
        <v>54.95</v>
      </c>
      <c r="G66" s="1">
        <f>12/10*C66</f>
        <v>54.252000000000002</v>
      </c>
    </row>
    <row r="67" spans="1:10" x14ac:dyDescent="0.25">
      <c r="A67" s="20" t="s">
        <v>74</v>
      </c>
      <c r="B67" s="20"/>
      <c r="C67" s="1">
        <v>61.99</v>
      </c>
      <c r="D67" s="1">
        <v>62.33</v>
      </c>
      <c r="E67" s="1">
        <v>61.18</v>
      </c>
      <c r="F67" s="1">
        <v>62.89</v>
      </c>
      <c r="G67" s="1">
        <f>12/10*C67</f>
        <v>74.388000000000005</v>
      </c>
    </row>
    <row r="68" spans="1:10" x14ac:dyDescent="0.25">
      <c r="A68" s="20" t="s">
        <v>75</v>
      </c>
      <c r="B68" s="20"/>
      <c r="C68" s="1">
        <v>260.73</v>
      </c>
      <c r="D68" s="1">
        <v>293.33</v>
      </c>
      <c r="E68" s="1">
        <v>287.25</v>
      </c>
      <c r="F68" s="1">
        <v>278.91000000000003</v>
      </c>
      <c r="G68" s="1">
        <f>12/10*C68</f>
        <v>312.87600000000003</v>
      </c>
    </row>
    <row r="69" spans="1:10" x14ac:dyDescent="0.25">
      <c r="A69" s="20" t="s">
        <v>76</v>
      </c>
      <c r="B69" s="20"/>
      <c r="C69" s="1">
        <v>65.06</v>
      </c>
      <c r="D69" s="1">
        <v>97.23</v>
      </c>
      <c r="E69" s="1">
        <v>114.69</v>
      </c>
      <c r="F69" s="1">
        <v>78.319999999999993</v>
      </c>
      <c r="G69" s="1">
        <f>12/10*C69</f>
        <v>78.072000000000003</v>
      </c>
    </row>
    <row r="72" spans="1:10" x14ac:dyDescent="0.25">
      <c r="A72" s="21" t="s">
        <v>60</v>
      </c>
      <c r="B72" s="22"/>
    </row>
    <row r="73" spans="1:10" x14ac:dyDescent="0.25">
      <c r="A73" s="3" t="s">
        <v>77</v>
      </c>
      <c r="B73" s="1" t="s">
        <v>282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2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267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7900</v>
      </c>
      <c r="D9" s="10"/>
      <c r="E9" s="10"/>
      <c r="F9" s="10"/>
      <c r="G9" s="10">
        <f t="shared" ref="G9:G26" si="0">SUM(C9:F9)</f>
        <v>7900</v>
      </c>
      <c r="H9" s="16">
        <f t="shared" ref="H9:H26" si="1">ROUND(G9/267,2)</f>
        <v>29.59</v>
      </c>
      <c r="I9" s="15">
        <f t="shared" ref="I9:I26" si="2">ROUND(G9/$G$27,3)</f>
        <v>6.7000000000000004E-2</v>
      </c>
      <c r="J9" s="15">
        <f>ROUND(G9/8650-1,2)</f>
        <v>-0.09</v>
      </c>
    </row>
    <row r="10" spans="1:10" x14ac:dyDescent="0.25">
      <c r="A10" s="1" t="s">
        <v>16</v>
      </c>
      <c r="B10" s="1" t="s">
        <v>20</v>
      </c>
      <c r="C10" s="10">
        <v>12065</v>
      </c>
      <c r="D10" s="10"/>
      <c r="E10" s="10"/>
      <c r="F10" s="10"/>
      <c r="G10" s="10">
        <f t="shared" si="0"/>
        <v>12065</v>
      </c>
      <c r="H10" s="16">
        <f t="shared" si="1"/>
        <v>45.19</v>
      </c>
      <c r="I10" s="15">
        <f t="shared" si="2"/>
        <v>0.10199999999999999</v>
      </c>
      <c r="J10" s="15">
        <f>ROUND(G10/15400-1,2)</f>
        <v>-0.22</v>
      </c>
    </row>
    <row r="11" spans="1:10" x14ac:dyDescent="0.25">
      <c r="A11" s="1" t="s">
        <v>16</v>
      </c>
      <c r="B11" s="1" t="s">
        <v>24</v>
      </c>
      <c r="C11" s="10">
        <v>13325</v>
      </c>
      <c r="D11" s="10"/>
      <c r="E11" s="10"/>
      <c r="F11" s="10"/>
      <c r="G11" s="10">
        <f t="shared" si="0"/>
        <v>13325</v>
      </c>
      <c r="H11" s="16">
        <f t="shared" si="1"/>
        <v>49.91</v>
      </c>
      <c r="I11" s="15">
        <f t="shared" si="2"/>
        <v>0.113</v>
      </c>
      <c r="J11" s="15">
        <f>ROUND(G11/17250-1,2)</f>
        <v>-0.23</v>
      </c>
    </row>
    <row r="12" spans="1:10" x14ac:dyDescent="0.25">
      <c r="A12" s="1" t="s">
        <v>16</v>
      </c>
      <c r="B12" s="1" t="s">
        <v>26</v>
      </c>
      <c r="C12" s="10">
        <v>24560</v>
      </c>
      <c r="D12" s="10"/>
      <c r="E12" s="10"/>
      <c r="F12" s="10"/>
      <c r="G12" s="10">
        <f t="shared" si="0"/>
        <v>24560</v>
      </c>
      <c r="H12" s="16">
        <f t="shared" si="1"/>
        <v>91.99</v>
      </c>
      <c r="I12" s="15">
        <f t="shared" si="2"/>
        <v>0.20799999999999999</v>
      </c>
      <c r="J12" s="15">
        <f>ROUND(G12/22790-1,2)</f>
        <v>0.08</v>
      </c>
    </row>
    <row r="13" spans="1:10" x14ac:dyDescent="0.25">
      <c r="A13" s="1" t="s">
        <v>16</v>
      </c>
      <c r="B13" s="1" t="s">
        <v>30</v>
      </c>
      <c r="C13" s="10"/>
      <c r="D13" s="10"/>
      <c r="E13" s="10">
        <v>160</v>
      </c>
      <c r="F13" s="10"/>
      <c r="G13" s="10">
        <f t="shared" si="0"/>
        <v>160</v>
      </c>
      <c r="H13" s="16">
        <f t="shared" si="1"/>
        <v>0.6</v>
      </c>
      <c r="I13" s="15">
        <f t="shared" si="2"/>
        <v>1E-3</v>
      </c>
      <c r="J13" s="15">
        <f>ROUND(G13/180-1,2)</f>
        <v>-0.11</v>
      </c>
    </row>
    <row r="14" spans="1:10" x14ac:dyDescent="0.25">
      <c r="A14" s="1" t="s">
        <v>16</v>
      </c>
      <c r="B14" s="1" t="s">
        <v>33</v>
      </c>
      <c r="C14" s="10"/>
      <c r="D14" s="10">
        <v>93</v>
      </c>
      <c r="E14" s="10">
        <v>17</v>
      </c>
      <c r="F14" s="10"/>
      <c r="G14" s="10">
        <f t="shared" si="0"/>
        <v>110</v>
      </c>
      <c r="H14" s="16">
        <f t="shared" si="1"/>
        <v>0.41</v>
      </c>
      <c r="I14" s="15">
        <f t="shared" si="2"/>
        <v>1E-3</v>
      </c>
      <c r="J14" s="15">
        <f>ROUND(G14/73-1,2)</f>
        <v>0.51</v>
      </c>
    </row>
    <row r="15" spans="1:10" x14ac:dyDescent="0.25">
      <c r="A15" s="1" t="s">
        <v>16</v>
      </c>
      <c r="B15" s="1" t="s">
        <v>38</v>
      </c>
      <c r="C15" s="10"/>
      <c r="D15" s="10"/>
      <c r="E15" s="10">
        <v>7140</v>
      </c>
      <c r="F15" s="10"/>
      <c r="G15" s="10">
        <f t="shared" si="0"/>
        <v>7140</v>
      </c>
      <c r="H15" s="16">
        <f t="shared" si="1"/>
        <v>26.74</v>
      </c>
      <c r="I15" s="15">
        <f t="shared" si="2"/>
        <v>0.06</v>
      </c>
      <c r="J15" s="15">
        <f>ROUND(G15/3895-1,2)</f>
        <v>0.83</v>
      </c>
    </row>
    <row r="16" spans="1:10" x14ac:dyDescent="0.25">
      <c r="A16" s="1" t="s">
        <v>16</v>
      </c>
      <c r="B16" s="1" t="s">
        <v>40</v>
      </c>
      <c r="C16" s="10"/>
      <c r="D16" s="10"/>
      <c r="E16" s="10">
        <v>1220</v>
      </c>
      <c r="F16" s="10"/>
      <c r="G16" s="10">
        <f t="shared" si="0"/>
        <v>1220</v>
      </c>
      <c r="H16" s="16">
        <f t="shared" si="1"/>
        <v>4.57</v>
      </c>
      <c r="I16" s="15">
        <f t="shared" si="2"/>
        <v>0.01</v>
      </c>
      <c r="J16" s="15">
        <f>ROUND(G16/1720-1,2)</f>
        <v>-0.28999999999999998</v>
      </c>
    </row>
    <row r="17" spans="1:10" x14ac:dyDescent="0.25">
      <c r="A17" s="1" t="s">
        <v>16</v>
      </c>
      <c r="B17" s="1" t="s">
        <v>22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16</v>
      </c>
      <c r="B18" s="1" t="s">
        <v>23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37</v>
      </c>
      <c r="C19" s="10"/>
      <c r="D19" s="10"/>
      <c r="E19" s="10"/>
      <c r="F19" s="10"/>
      <c r="G19" s="10">
        <f t="shared" si="0"/>
        <v>0</v>
      </c>
      <c r="H19" s="16">
        <f t="shared" si="1"/>
        <v>0</v>
      </c>
      <c r="I19" s="15">
        <f t="shared" si="2"/>
        <v>0</v>
      </c>
      <c r="J19" s="15">
        <f>ROUND(G19/320-1,2)</f>
        <v>-1</v>
      </c>
    </row>
    <row r="20" spans="1:10" x14ac:dyDescent="0.25">
      <c r="A20" s="1" t="s">
        <v>16</v>
      </c>
      <c r="B20" s="1" t="s">
        <v>25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36</v>
      </c>
      <c r="C21" s="10"/>
      <c r="D21" s="10"/>
      <c r="E21" s="10"/>
      <c r="F21" s="10"/>
      <c r="G21" s="10">
        <f t="shared" si="0"/>
        <v>0</v>
      </c>
      <c r="H21" s="16">
        <f t="shared" si="1"/>
        <v>0</v>
      </c>
      <c r="I21" s="15">
        <f t="shared" si="2"/>
        <v>0</v>
      </c>
      <c r="J21" s="15">
        <f>ROUND(G21/359-1,2)</f>
        <v>-1</v>
      </c>
    </row>
    <row r="22" spans="1:10" x14ac:dyDescent="0.25">
      <c r="A22" s="1" t="s">
        <v>16</v>
      </c>
      <c r="B22" s="1" t="s">
        <v>43</v>
      </c>
      <c r="C22" s="10"/>
      <c r="D22" s="10"/>
      <c r="E22" s="10"/>
      <c r="F22" s="10"/>
      <c r="G22" s="10">
        <f t="shared" si="0"/>
        <v>0</v>
      </c>
      <c r="H22" s="16">
        <f t="shared" si="1"/>
        <v>0</v>
      </c>
      <c r="I22" s="15">
        <f t="shared" si="2"/>
        <v>0</v>
      </c>
      <c r="J22" s="15"/>
    </row>
    <row r="23" spans="1:10" x14ac:dyDescent="0.25">
      <c r="A23" s="1" t="s">
        <v>16</v>
      </c>
      <c r="B23" s="1" t="s">
        <v>29</v>
      </c>
      <c r="C23" s="10"/>
      <c r="D23" s="10"/>
      <c r="E23" s="10"/>
      <c r="F23" s="10"/>
      <c r="G23" s="10">
        <f t="shared" si="0"/>
        <v>0</v>
      </c>
      <c r="H23" s="16">
        <f t="shared" si="1"/>
        <v>0</v>
      </c>
      <c r="I23" s="15">
        <f t="shared" si="2"/>
        <v>0</v>
      </c>
      <c r="J23" s="15">
        <f>ROUND(G23/420-1,2)</f>
        <v>-1</v>
      </c>
    </row>
    <row r="24" spans="1:10" x14ac:dyDescent="0.25">
      <c r="A24" s="1" t="s">
        <v>16</v>
      </c>
      <c r="B24" s="1" t="s">
        <v>35</v>
      </c>
      <c r="C24" s="10"/>
      <c r="D24" s="10"/>
      <c r="E24" s="10"/>
      <c r="F24" s="10"/>
      <c r="G24" s="10">
        <f t="shared" si="0"/>
        <v>0</v>
      </c>
      <c r="H24" s="16">
        <f t="shared" si="1"/>
        <v>0</v>
      </c>
      <c r="I24" s="15">
        <f t="shared" si="2"/>
        <v>0</v>
      </c>
      <c r="J24" s="15"/>
    </row>
    <row r="25" spans="1:10" x14ac:dyDescent="0.25">
      <c r="A25" s="1" t="s">
        <v>44</v>
      </c>
      <c r="B25" s="1" t="s">
        <v>45</v>
      </c>
      <c r="C25" s="10">
        <v>38365</v>
      </c>
      <c r="D25" s="10"/>
      <c r="E25" s="10"/>
      <c r="F25" s="10"/>
      <c r="G25" s="10">
        <f t="shared" si="0"/>
        <v>38365</v>
      </c>
      <c r="H25" s="16">
        <f t="shared" si="1"/>
        <v>143.69</v>
      </c>
      <c r="I25" s="15">
        <f t="shared" si="2"/>
        <v>0.32500000000000001</v>
      </c>
      <c r="J25" s="15">
        <f>ROUND(G25/35960-1,2)</f>
        <v>7.0000000000000007E-2</v>
      </c>
    </row>
    <row r="26" spans="1:10" x14ac:dyDescent="0.25">
      <c r="A26" s="1" t="s">
        <v>44</v>
      </c>
      <c r="B26" s="1" t="s">
        <v>46</v>
      </c>
      <c r="C26" s="10"/>
      <c r="D26" s="10"/>
      <c r="E26" s="10">
        <v>13180</v>
      </c>
      <c r="F26" s="10"/>
      <c r="G26" s="10">
        <f t="shared" si="0"/>
        <v>13180</v>
      </c>
      <c r="H26" s="16">
        <f t="shared" si="1"/>
        <v>49.36</v>
      </c>
      <c r="I26" s="15">
        <f t="shared" si="2"/>
        <v>0.112</v>
      </c>
      <c r="J26" s="15">
        <f>ROUND(G26/12740-1,2)</f>
        <v>0.03</v>
      </c>
    </row>
    <row r="27" spans="1:10" x14ac:dyDescent="0.25">
      <c r="A27" s="25" t="s">
        <v>12</v>
      </c>
      <c r="B27" s="25"/>
      <c r="C27" s="11">
        <f t="shared" ref="C27:H27" si="3">SUM(C8:C26)</f>
        <v>96215</v>
      </c>
      <c r="D27" s="11">
        <f t="shared" si="3"/>
        <v>93</v>
      </c>
      <c r="E27" s="11">
        <f t="shared" si="3"/>
        <v>21717</v>
      </c>
      <c r="F27" s="11">
        <f t="shared" si="3"/>
        <v>0</v>
      </c>
      <c r="G27" s="11">
        <f t="shared" si="3"/>
        <v>118025</v>
      </c>
      <c r="H27" s="14">
        <f t="shared" si="3"/>
        <v>442.05</v>
      </c>
      <c r="I27" s="17"/>
      <c r="J27" s="17"/>
    </row>
    <row r="28" spans="1:10" x14ac:dyDescent="0.25">
      <c r="A28" s="25" t="s">
        <v>14</v>
      </c>
      <c r="B28" s="25"/>
      <c r="C28" s="12">
        <f>ROUND(C27/G27,2)</f>
        <v>0.82</v>
      </c>
      <c r="D28" s="12">
        <f>ROUND(D27/G27,2)</f>
        <v>0</v>
      </c>
      <c r="E28" s="12">
        <f>ROUND(E27/G27,2)</f>
        <v>0.18</v>
      </c>
      <c r="F28" s="12">
        <f>ROUND(F27/G27,2)</f>
        <v>0</v>
      </c>
      <c r="G28" s="13"/>
      <c r="H28" s="13"/>
      <c r="I28" s="17"/>
      <c r="J28" s="17"/>
    </row>
    <row r="29" spans="1:10" x14ac:dyDescent="0.25">
      <c r="A29" s="2" t="s">
        <v>52</v>
      </c>
      <c r="B29" s="2"/>
      <c r="C29" s="13"/>
      <c r="D29" s="13"/>
      <c r="E29" s="13"/>
      <c r="F29" s="13"/>
      <c r="G29" s="13"/>
      <c r="H29" s="13"/>
      <c r="I29" s="17"/>
      <c r="J29" s="17"/>
    </row>
    <row r="30" spans="1:10" x14ac:dyDescent="0.25">
      <c r="C30" s="8"/>
      <c r="D30" s="8"/>
      <c r="E30" s="8"/>
      <c r="F30" s="8"/>
      <c r="G30" s="8"/>
      <c r="H30" s="8"/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A33" s="25" t="s">
        <v>53</v>
      </c>
      <c r="B33" s="25"/>
      <c r="C33" s="11" t="s">
        <v>8</v>
      </c>
      <c r="D33" s="11" t="s">
        <v>9</v>
      </c>
      <c r="E33" s="11" t="s">
        <v>10</v>
      </c>
      <c r="F33" s="11" t="s">
        <v>11</v>
      </c>
      <c r="G33" s="11" t="s">
        <v>12</v>
      </c>
      <c r="H33" s="14" t="s">
        <v>13</v>
      </c>
      <c r="I33" s="17"/>
      <c r="J33" s="17"/>
    </row>
    <row r="34" spans="1:10" x14ac:dyDescent="0.25">
      <c r="A34" s="20" t="s">
        <v>54</v>
      </c>
      <c r="B34" s="20"/>
      <c r="C34" s="10">
        <v>57850</v>
      </c>
      <c r="D34" s="10">
        <v>93</v>
      </c>
      <c r="E34" s="10">
        <v>8537</v>
      </c>
      <c r="F34" s="10">
        <v>0</v>
      </c>
      <c r="G34" s="10">
        <f>SUM(C34:F34)</f>
        <v>66480</v>
      </c>
      <c r="H34" s="16">
        <f>ROUND(G34/267,2)</f>
        <v>248.99</v>
      </c>
      <c r="I34" s="9"/>
      <c r="J34" s="9"/>
    </row>
    <row r="35" spans="1:10" x14ac:dyDescent="0.25">
      <c r="A35" s="20" t="s">
        <v>55</v>
      </c>
      <c r="B35" s="20"/>
      <c r="C35" s="10">
        <v>38365</v>
      </c>
      <c r="D35" s="10">
        <v>0</v>
      </c>
      <c r="E35" s="10">
        <v>13180</v>
      </c>
      <c r="F35" s="10">
        <v>0</v>
      </c>
      <c r="G35" s="10">
        <f>SUM(C35:F35)</f>
        <v>51545</v>
      </c>
      <c r="H35" s="16">
        <f>ROUND(G35/267,2)</f>
        <v>193.05</v>
      </c>
      <c r="I35" s="9"/>
      <c r="J35" s="9"/>
    </row>
    <row r="36" spans="1:10" x14ac:dyDescent="0.25">
      <c r="A36" s="20" t="s">
        <v>56</v>
      </c>
      <c r="B36" s="20"/>
      <c r="C36" s="10"/>
      <c r="D36" s="10"/>
      <c r="E36" s="10"/>
      <c r="F36" s="10"/>
      <c r="G36" s="10">
        <f>SUM(C36:F36)</f>
        <v>0</v>
      </c>
      <c r="H36" s="16">
        <f>ROUND(G36/267,2)</f>
        <v>0</v>
      </c>
      <c r="I36" s="9"/>
      <c r="J36" s="9"/>
    </row>
    <row r="37" spans="1:10" x14ac:dyDescent="0.25">
      <c r="C37" s="8"/>
      <c r="D37" s="8"/>
      <c r="E37" s="8"/>
      <c r="F37" s="8"/>
      <c r="G37" s="8"/>
      <c r="H37" s="8"/>
      <c r="I37" s="9"/>
      <c r="J37" s="9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5" t="s">
        <v>57</v>
      </c>
      <c r="B41" s="25"/>
      <c r="C41" s="14" t="s">
        <v>2</v>
      </c>
      <c r="D41" s="14">
        <v>2023</v>
      </c>
      <c r="E41" s="14" t="s">
        <v>59</v>
      </c>
      <c r="F41" s="13"/>
      <c r="G41" s="14" t="s">
        <v>60</v>
      </c>
      <c r="H41" s="14" t="s">
        <v>2</v>
      </c>
      <c r="I41" s="12" t="s">
        <v>61</v>
      </c>
      <c r="J41" s="12" t="s">
        <v>59</v>
      </c>
    </row>
    <row r="42" spans="1:10" x14ac:dyDescent="0.25">
      <c r="A42" s="20" t="s">
        <v>58</v>
      </c>
      <c r="B42" s="20"/>
      <c r="C42" s="15">
        <f>ROUND(0.6629, 4)</f>
        <v>0.66290000000000004</v>
      </c>
      <c r="D42" s="15">
        <f>ROUND(0.6937, 4)</f>
        <v>0.69369999999999998</v>
      </c>
      <c r="E42" s="15">
        <f>ROUND(0.777, 4)</f>
        <v>0.77700000000000002</v>
      </c>
      <c r="F42" s="8"/>
      <c r="G42" s="14" t="s">
        <v>62</v>
      </c>
      <c r="H42" s="26" t="s">
        <v>63</v>
      </c>
      <c r="I42" s="23" t="s">
        <v>64</v>
      </c>
      <c r="J42" s="23" t="s">
        <v>65</v>
      </c>
    </row>
    <row r="43" spans="1:10" x14ac:dyDescent="0.25">
      <c r="A43" s="20" t="s">
        <v>66</v>
      </c>
      <c r="B43" s="20"/>
      <c r="C43" s="15">
        <f>ROUND(0.6543, 4)</f>
        <v>0.65429999999999999</v>
      </c>
      <c r="D43" s="15">
        <f>ROUND(0.6839, 4)</f>
        <v>0.68389999999999995</v>
      </c>
      <c r="E43" s="15">
        <f>ROUND(0.7608, 4)</f>
        <v>0.76080000000000003</v>
      </c>
      <c r="F43" s="8"/>
      <c r="G43" s="14" t="s">
        <v>67</v>
      </c>
      <c r="H43" s="27"/>
      <c r="I43" s="24"/>
      <c r="J43" s="24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5" t="s">
        <v>68</v>
      </c>
      <c r="B47" s="25"/>
      <c r="C47" s="14" t="s">
        <v>2</v>
      </c>
      <c r="D47" s="14" t="s">
        <v>284</v>
      </c>
      <c r="E47" s="14" t="s">
        <v>70</v>
      </c>
      <c r="F47" s="14" t="s">
        <v>71</v>
      </c>
      <c r="G47" s="14" t="s">
        <v>72</v>
      </c>
      <c r="H47" s="13"/>
      <c r="I47" s="17"/>
      <c r="J47" s="17"/>
    </row>
    <row r="48" spans="1:10" x14ac:dyDescent="0.25">
      <c r="A48" s="20" t="s">
        <v>73</v>
      </c>
      <c r="B48" s="20"/>
      <c r="C48" s="16">
        <v>143.69</v>
      </c>
      <c r="D48" s="16">
        <v>146.88</v>
      </c>
      <c r="E48" s="16">
        <v>91.13</v>
      </c>
      <c r="F48" s="16">
        <v>54.95</v>
      </c>
      <c r="G48" s="16">
        <f>12/10*C48</f>
        <v>172.428</v>
      </c>
      <c r="H48" s="8"/>
      <c r="I48" s="9"/>
      <c r="J48" s="9"/>
    </row>
    <row r="49" spans="1:10" x14ac:dyDescent="0.25">
      <c r="A49" s="20" t="s">
        <v>74</v>
      </c>
      <c r="B49" s="20"/>
      <c r="C49" s="16">
        <v>91.99</v>
      </c>
      <c r="D49" s="16">
        <v>107.42</v>
      </c>
      <c r="E49" s="16">
        <v>61.18</v>
      </c>
      <c r="F49" s="16">
        <v>62.89</v>
      </c>
      <c r="G49" s="16">
        <f>12/10*C49</f>
        <v>110.38799999999999</v>
      </c>
      <c r="H49" s="8"/>
      <c r="I49" s="9"/>
      <c r="J49" s="9"/>
    </row>
    <row r="50" spans="1:10" x14ac:dyDescent="0.25">
      <c r="A50" s="20" t="s">
        <v>75</v>
      </c>
      <c r="B50" s="20"/>
      <c r="C50" s="16">
        <v>248.99</v>
      </c>
      <c r="D50" s="16">
        <v>332.51</v>
      </c>
      <c r="E50" s="16">
        <v>287.25</v>
      </c>
      <c r="F50" s="16">
        <v>278.91000000000003</v>
      </c>
      <c r="G50" s="16">
        <f>12/10*C50</f>
        <v>298.78800000000001</v>
      </c>
      <c r="H50" s="8"/>
      <c r="I50" s="9"/>
      <c r="J50" s="9"/>
    </row>
    <row r="51" spans="1:10" x14ac:dyDescent="0.25">
      <c r="A51" s="20" t="s">
        <v>76</v>
      </c>
      <c r="B51" s="20"/>
      <c r="C51" s="16">
        <v>193.05</v>
      </c>
      <c r="D51" s="16">
        <v>212.12</v>
      </c>
      <c r="E51" s="16">
        <v>114.69</v>
      </c>
      <c r="F51" s="16">
        <v>78.319999999999993</v>
      </c>
      <c r="G51" s="16">
        <f>12/10*C51</f>
        <v>231.66</v>
      </c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1" t="s">
        <v>60</v>
      </c>
      <c r="B54" s="22"/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" t="s">
        <v>77</v>
      </c>
      <c r="B55" s="1" t="s">
        <v>285</v>
      </c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" t="s">
        <v>70</v>
      </c>
      <c r="B56" s="1" t="s">
        <v>79</v>
      </c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" t="s">
        <v>71</v>
      </c>
      <c r="B57" s="1" t="s">
        <v>80</v>
      </c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3" t="s">
        <v>72</v>
      </c>
      <c r="B58" s="1" t="s">
        <v>81</v>
      </c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27:B27"/>
    <mergeCell ref="A28:B28"/>
    <mergeCell ref="A33:B33"/>
    <mergeCell ref="A34:B34"/>
    <mergeCell ref="J42:J43"/>
    <mergeCell ref="A43:B43"/>
    <mergeCell ref="A47:B47"/>
    <mergeCell ref="A48:B48"/>
    <mergeCell ref="A35:B35"/>
    <mergeCell ref="A36:B36"/>
    <mergeCell ref="A41:B41"/>
    <mergeCell ref="A42:B42"/>
    <mergeCell ref="H42:H43"/>
    <mergeCell ref="A49:B49"/>
    <mergeCell ref="A50:B50"/>
    <mergeCell ref="A51:B51"/>
    <mergeCell ref="A54:B54"/>
    <mergeCell ref="I42:I4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373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</v>
      </c>
      <c r="F9" s="10"/>
      <c r="G9" s="10">
        <f t="shared" ref="G9:G38" si="0">SUM(C9:F9)</f>
        <v>8</v>
      </c>
      <c r="H9" s="16">
        <f t="shared" ref="H9:H38" si="1">ROUND(G9/373,2)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19950</v>
      </c>
      <c r="D10" s="10"/>
      <c r="E10" s="10">
        <v>1073</v>
      </c>
      <c r="F10" s="10"/>
      <c r="G10" s="10">
        <f t="shared" si="0"/>
        <v>21023</v>
      </c>
      <c r="H10" s="16">
        <f t="shared" si="1"/>
        <v>56.36</v>
      </c>
      <c r="I10" s="15">
        <f t="shared" si="2"/>
        <v>0.108</v>
      </c>
      <c r="J10" s="15">
        <f>ROUND(G10/15106.93-1,2)</f>
        <v>0.39</v>
      </c>
    </row>
    <row r="11" spans="1:10" x14ac:dyDescent="0.25">
      <c r="A11" s="1" t="s">
        <v>16</v>
      </c>
      <c r="B11" s="1" t="s">
        <v>20</v>
      </c>
      <c r="C11" s="10">
        <v>20770</v>
      </c>
      <c r="D11" s="10"/>
      <c r="E11" s="10"/>
      <c r="F11" s="10"/>
      <c r="G11" s="10">
        <f t="shared" si="0"/>
        <v>20770</v>
      </c>
      <c r="H11" s="16">
        <f t="shared" si="1"/>
        <v>55.68</v>
      </c>
      <c r="I11" s="15">
        <f t="shared" si="2"/>
        <v>0.107</v>
      </c>
      <c r="J11" s="15">
        <f>ROUND(G11/27185-1,2)</f>
        <v>-0.24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40</v>
      </c>
      <c r="F12" s="10"/>
      <c r="G12" s="10">
        <f t="shared" si="0"/>
        <v>40</v>
      </c>
      <c r="H12" s="16">
        <f t="shared" si="1"/>
        <v>0.11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136</v>
      </c>
      <c r="F13" s="10"/>
      <c r="G13" s="10">
        <f t="shared" si="0"/>
        <v>136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17876</v>
      </c>
      <c r="F14" s="10"/>
      <c r="G14" s="10">
        <f t="shared" si="0"/>
        <v>17876</v>
      </c>
      <c r="H14" s="16">
        <f t="shared" si="1"/>
        <v>47.92</v>
      </c>
      <c r="I14" s="15">
        <f t="shared" si="2"/>
        <v>9.1999999999999998E-2</v>
      </c>
      <c r="J14" s="15">
        <f>ROUND(G14/8485.7-1,2)</f>
        <v>1.1100000000000001</v>
      </c>
    </row>
    <row r="15" spans="1:10" x14ac:dyDescent="0.25">
      <c r="A15" s="1" t="s">
        <v>16</v>
      </c>
      <c r="B15" s="1" t="s">
        <v>24</v>
      </c>
      <c r="C15" s="10">
        <v>21980</v>
      </c>
      <c r="D15" s="10"/>
      <c r="E15" s="10">
        <v>2961</v>
      </c>
      <c r="F15" s="10"/>
      <c r="G15" s="10">
        <f t="shared" si="0"/>
        <v>24941</v>
      </c>
      <c r="H15" s="16">
        <f t="shared" si="1"/>
        <v>66.87</v>
      </c>
      <c r="I15" s="15">
        <f t="shared" si="2"/>
        <v>0.128</v>
      </c>
      <c r="J15" s="15">
        <f>ROUND(G15/17662.61-1,2)</f>
        <v>0.41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670</v>
      </c>
      <c r="F16" s="10"/>
      <c r="G16" s="10">
        <f t="shared" si="0"/>
        <v>670</v>
      </c>
      <c r="H16" s="16">
        <f t="shared" si="1"/>
        <v>1.8</v>
      </c>
      <c r="I16" s="15">
        <f t="shared" si="2"/>
        <v>3.0000000000000001E-3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22050</v>
      </c>
      <c r="D17" s="10"/>
      <c r="E17" s="10"/>
      <c r="F17" s="10"/>
      <c r="G17" s="10">
        <f t="shared" si="0"/>
        <v>22050</v>
      </c>
      <c r="H17" s="16">
        <f t="shared" si="1"/>
        <v>59.12</v>
      </c>
      <c r="I17" s="15">
        <f t="shared" si="2"/>
        <v>0.113</v>
      </c>
      <c r="J17" s="15">
        <f>ROUND(G17/19970-1,2)</f>
        <v>0.1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182</v>
      </c>
      <c r="F18" s="10"/>
      <c r="G18" s="10">
        <f t="shared" si="0"/>
        <v>182</v>
      </c>
      <c r="H18" s="16">
        <f t="shared" si="1"/>
        <v>0.49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98</v>
      </c>
      <c r="F19" s="10"/>
      <c r="G19" s="10">
        <f t="shared" si="0"/>
        <v>98</v>
      </c>
      <c r="H19" s="16">
        <f t="shared" si="1"/>
        <v>0.26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386</v>
      </c>
      <c r="F20" s="10"/>
      <c r="G20" s="10">
        <f t="shared" si="0"/>
        <v>386</v>
      </c>
      <c r="H20" s="16">
        <f t="shared" si="1"/>
        <v>1.03</v>
      </c>
      <c r="I20" s="15">
        <f t="shared" si="2"/>
        <v>2E-3</v>
      </c>
      <c r="J20" s="15">
        <f>ROUND(G20/411.39-1,2)</f>
        <v>-0.06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96</v>
      </c>
      <c r="F21" s="10"/>
      <c r="G21" s="10">
        <f t="shared" si="0"/>
        <v>96</v>
      </c>
      <c r="H21" s="16">
        <f t="shared" si="1"/>
        <v>0.26</v>
      </c>
      <c r="I21" s="15">
        <f t="shared" si="2"/>
        <v>0</v>
      </c>
      <c r="J21" s="15">
        <f>ROUND(G21/21.01-1,2)</f>
        <v>3.57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408</v>
      </c>
      <c r="F22" s="10"/>
      <c r="G22" s="10">
        <f t="shared" si="0"/>
        <v>408</v>
      </c>
      <c r="H22" s="16">
        <f t="shared" si="1"/>
        <v>1.0900000000000001</v>
      </c>
      <c r="I22" s="15">
        <f t="shared" si="2"/>
        <v>2E-3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46</v>
      </c>
      <c r="F23" s="10"/>
      <c r="G23" s="10">
        <f t="shared" si="0"/>
        <v>46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54</v>
      </c>
      <c r="F24" s="10"/>
      <c r="G24" s="10">
        <f t="shared" si="0"/>
        <v>54</v>
      </c>
      <c r="H24" s="16">
        <f t="shared" si="1"/>
        <v>0.14000000000000001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43</v>
      </c>
      <c r="C25" s="10"/>
      <c r="D25" s="10"/>
      <c r="E25" s="10">
        <v>493</v>
      </c>
      <c r="F25" s="10"/>
      <c r="G25" s="10">
        <f t="shared" si="0"/>
        <v>493</v>
      </c>
      <c r="H25" s="16">
        <f t="shared" si="1"/>
        <v>1.32</v>
      </c>
      <c r="I25" s="15">
        <f t="shared" si="2"/>
        <v>3.0000000000000001E-3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591</v>
      </c>
      <c r="F26" s="10"/>
      <c r="G26" s="10">
        <f t="shared" si="0"/>
        <v>591</v>
      </c>
      <c r="H26" s="16">
        <f t="shared" si="1"/>
        <v>1.58</v>
      </c>
      <c r="I26" s="15">
        <f t="shared" si="2"/>
        <v>3.0000000000000001E-3</v>
      </c>
      <c r="J26" s="15">
        <f>ROUND(G26/141.94-1,2)</f>
        <v>3.16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11633</v>
      </c>
      <c r="F27" s="10"/>
      <c r="G27" s="10">
        <f t="shared" si="0"/>
        <v>11633</v>
      </c>
      <c r="H27" s="16">
        <f t="shared" si="1"/>
        <v>31.19</v>
      </c>
      <c r="I27" s="15">
        <f t="shared" si="2"/>
        <v>0.06</v>
      </c>
      <c r="J27" s="15">
        <f>ROUND(G27/5385.3-1,2)</f>
        <v>1.1599999999999999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4252</v>
      </c>
      <c r="F28" s="10"/>
      <c r="G28" s="10">
        <f t="shared" si="0"/>
        <v>4252</v>
      </c>
      <c r="H28" s="16">
        <f t="shared" si="1"/>
        <v>11.4</v>
      </c>
      <c r="I28" s="15">
        <f t="shared" si="2"/>
        <v>2.1999999999999999E-2</v>
      </c>
      <c r="J28" s="15">
        <f>ROUND(G28/2787.58-1,2)</f>
        <v>0.53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2013</v>
      </c>
      <c r="F29" s="10"/>
      <c r="G29" s="10">
        <f t="shared" si="0"/>
        <v>2013</v>
      </c>
      <c r="H29" s="16">
        <f t="shared" si="1"/>
        <v>5.4</v>
      </c>
      <c r="I29" s="15">
        <f t="shared" si="2"/>
        <v>0.01</v>
      </c>
      <c r="J29" s="15">
        <f>ROUND(G29/608.06-1,2)</f>
        <v>2.31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ROUND(G30/105.14-1,2)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ROUND(G31/37.67-1,2)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60230</v>
      </c>
      <c r="D35" s="10"/>
      <c r="E35" s="10"/>
      <c r="F35" s="10"/>
      <c r="G35" s="10">
        <f t="shared" si="0"/>
        <v>60230</v>
      </c>
      <c r="H35" s="16">
        <f t="shared" si="1"/>
        <v>161.47</v>
      </c>
      <c r="I35" s="15">
        <f t="shared" si="2"/>
        <v>0.31</v>
      </c>
      <c r="J35" s="15">
        <f>ROUND(G35/52950-1,2)</f>
        <v>0.14000000000000001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6407</v>
      </c>
      <c r="F36" s="10"/>
      <c r="G36" s="10">
        <f t="shared" si="0"/>
        <v>6407</v>
      </c>
      <c r="H36" s="16">
        <f t="shared" si="1"/>
        <v>17.18</v>
      </c>
      <c r="I36" s="15">
        <f t="shared" si="2"/>
        <v>3.3000000000000002E-2</v>
      </c>
      <c r="J36" s="15">
        <f>ROUND(G36/3685.01-1,2)</f>
        <v>0.74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ROUND(G37/22965-1,2)</f>
        <v>-1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5" t="s">
        <v>12</v>
      </c>
      <c r="B39" s="25"/>
      <c r="C39" s="11">
        <f t="shared" ref="C39:H39" si="3">SUM(C8:C38)</f>
        <v>144980</v>
      </c>
      <c r="D39" s="11">
        <f t="shared" si="3"/>
        <v>0</v>
      </c>
      <c r="E39" s="11">
        <f t="shared" si="3"/>
        <v>49423</v>
      </c>
      <c r="F39" s="11">
        <f t="shared" si="3"/>
        <v>0</v>
      </c>
      <c r="G39" s="11">
        <f t="shared" si="3"/>
        <v>194403</v>
      </c>
      <c r="H39" s="14">
        <f t="shared" si="3"/>
        <v>521.16999999999985</v>
      </c>
      <c r="I39" s="17"/>
      <c r="J39" s="17"/>
    </row>
    <row r="40" spans="1:10" x14ac:dyDescent="0.25">
      <c r="A40" s="25" t="s">
        <v>14</v>
      </c>
      <c r="B40" s="25"/>
      <c r="C40" s="12">
        <f>ROUND(C39/G39,2)</f>
        <v>0.75</v>
      </c>
      <c r="D40" s="12">
        <f>ROUND(D39/G39,2)</f>
        <v>0</v>
      </c>
      <c r="E40" s="12">
        <f>ROUND(E39/G39,2)</f>
        <v>0.25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5" t="s">
        <v>53</v>
      </c>
      <c r="B45" s="25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0" t="s">
        <v>54</v>
      </c>
      <c r="B46" s="20"/>
      <c r="C46" s="10">
        <v>84750</v>
      </c>
      <c r="D46" s="10">
        <v>0</v>
      </c>
      <c r="E46" s="10">
        <v>43016</v>
      </c>
      <c r="F46" s="10">
        <v>0</v>
      </c>
      <c r="G46" s="10">
        <f>SUM(C46:F46)</f>
        <v>127766</v>
      </c>
      <c r="H46" s="16">
        <f>ROUND(G46/373,2)</f>
        <v>342.54</v>
      </c>
      <c r="I46" s="9"/>
      <c r="J46" s="9"/>
    </row>
    <row r="47" spans="1:10" x14ac:dyDescent="0.25">
      <c r="A47" s="20" t="s">
        <v>55</v>
      </c>
      <c r="B47" s="20"/>
      <c r="C47" s="10">
        <v>60230</v>
      </c>
      <c r="D47" s="10">
        <v>0</v>
      </c>
      <c r="E47" s="10">
        <v>6407</v>
      </c>
      <c r="F47" s="10">
        <v>0</v>
      </c>
      <c r="G47" s="10">
        <f>SUM(C47:F47)</f>
        <v>66637</v>
      </c>
      <c r="H47" s="16">
        <f>ROUND(G47/373,2)</f>
        <v>178.65</v>
      </c>
      <c r="I47" s="9"/>
      <c r="J47" s="9"/>
    </row>
    <row r="48" spans="1:10" x14ac:dyDescent="0.25">
      <c r="A48" s="20" t="s">
        <v>56</v>
      </c>
      <c r="B48" s="20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ROUND(G48/373,2)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5" t="s">
        <v>57</v>
      </c>
      <c r="B53" s="25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0" t="s">
        <v>58</v>
      </c>
      <c r="B54" s="20"/>
      <c r="C54" s="15">
        <f>ROUND(0.6577, 4)</f>
        <v>0.65769999999999995</v>
      </c>
      <c r="D54" s="15">
        <f>ROUND(0.6501, 4)</f>
        <v>0.65010000000000001</v>
      </c>
      <c r="E54" s="15">
        <f>ROUND(0.777, 4)</f>
        <v>0.77700000000000002</v>
      </c>
      <c r="F54" s="8"/>
      <c r="G54" s="14" t="s">
        <v>62</v>
      </c>
      <c r="H54" s="26" t="s">
        <v>63</v>
      </c>
      <c r="I54" s="23" t="s">
        <v>64</v>
      </c>
      <c r="J54" s="23" t="s">
        <v>65</v>
      </c>
    </row>
    <row r="55" spans="1:10" x14ac:dyDescent="0.25">
      <c r="A55" s="20" t="s">
        <v>66</v>
      </c>
      <c r="B55" s="20"/>
      <c r="C55" s="15">
        <f>ROUND(0.6134, 4)</f>
        <v>0.61339999999999995</v>
      </c>
      <c r="D55" s="15">
        <f>ROUND(0.6167, 4)</f>
        <v>0.61670000000000003</v>
      </c>
      <c r="E55" s="15">
        <f>ROUND(0.7608, 4)</f>
        <v>0.76080000000000003</v>
      </c>
      <c r="F55" s="8"/>
      <c r="G55" s="14" t="s">
        <v>67</v>
      </c>
      <c r="H55" s="27"/>
      <c r="I55" s="24"/>
      <c r="J55" s="24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68</v>
      </c>
      <c r="B59" s="25"/>
      <c r="C59" s="14" t="s">
        <v>2</v>
      </c>
      <c r="D59" s="14" t="s">
        <v>287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0" t="s">
        <v>73</v>
      </c>
      <c r="B60" s="20"/>
      <c r="C60" s="16">
        <v>161.47</v>
      </c>
      <c r="D60" s="16">
        <v>131.19</v>
      </c>
      <c r="E60" s="16">
        <v>91.13</v>
      </c>
      <c r="F60" s="16">
        <v>54.95</v>
      </c>
      <c r="G60" s="16">
        <f>12/10*C60</f>
        <v>193.76399999999998</v>
      </c>
      <c r="H60" s="8"/>
      <c r="I60" s="9"/>
      <c r="J60" s="9"/>
    </row>
    <row r="61" spans="1:10" x14ac:dyDescent="0.25">
      <c r="A61" s="20" t="s">
        <v>74</v>
      </c>
      <c r="B61" s="20"/>
      <c r="C61" s="16">
        <v>59.12</v>
      </c>
      <c r="D61" s="16">
        <v>55.52</v>
      </c>
      <c r="E61" s="16">
        <v>61.18</v>
      </c>
      <c r="F61" s="16">
        <v>62.89</v>
      </c>
      <c r="G61" s="16">
        <f>12/10*C61</f>
        <v>70.943999999999988</v>
      </c>
      <c r="H61" s="8"/>
      <c r="I61" s="9"/>
      <c r="J61" s="9"/>
    </row>
    <row r="62" spans="1:10" x14ac:dyDescent="0.25">
      <c r="A62" s="20" t="s">
        <v>75</v>
      </c>
      <c r="B62" s="20"/>
      <c r="C62" s="16">
        <v>342.54</v>
      </c>
      <c r="D62" s="16">
        <v>324.11</v>
      </c>
      <c r="E62" s="16">
        <v>287.25</v>
      </c>
      <c r="F62" s="16">
        <v>278.91000000000003</v>
      </c>
      <c r="G62" s="16">
        <f>12/10*C62</f>
        <v>411.048</v>
      </c>
      <c r="H62" s="8"/>
      <c r="I62" s="9"/>
      <c r="J62" s="9"/>
    </row>
    <row r="63" spans="1:10" x14ac:dyDescent="0.25">
      <c r="A63" s="20" t="s">
        <v>76</v>
      </c>
      <c r="B63" s="20"/>
      <c r="C63" s="16">
        <v>178.65</v>
      </c>
      <c r="D63" s="16">
        <v>184</v>
      </c>
      <c r="E63" s="16">
        <v>114.69</v>
      </c>
      <c r="F63" s="16">
        <v>78.319999999999993</v>
      </c>
      <c r="G63" s="16">
        <f>12/10*C63</f>
        <v>214.38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1" t="s">
        <v>60</v>
      </c>
      <c r="B66" s="22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288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</row>
    <row r="70" spans="1:10" x14ac:dyDescent="0.25">
      <c r="A70" s="3" t="s">
        <v>72</v>
      </c>
      <c r="B70" s="1" t="s">
        <v>81</v>
      </c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8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2367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60</v>
      </c>
      <c r="F9" s="10"/>
      <c r="G9" s="10">
        <f t="shared" ref="G9:G36" si="0">SUM(C9:F9)</f>
        <v>60</v>
      </c>
      <c r="H9" s="16">
        <f t="shared" ref="H9:H36" si="1">ROUND(G9/2367,2)</f>
        <v>0.03</v>
      </c>
      <c r="I9" s="15">
        <f t="shared" ref="I9:I36" si="2">ROUND(G9/$G$37,3)</f>
        <v>0</v>
      </c>
      <c r="J9" s="15">
        <f>ROUND(G9/15-1,2)</f>
        <v>3</v>
      </c>
    </row>
    <row r="10" spans="1:10" x14ac:dyDescent="0.25">
      <c r="A10" s="1" t="s">
        <v>16</v>
      </c>
      <c r="B10" s="1" t="s">
        <v>19</v>
      </c>
      <c r="C10" s="10">
        <v>63420</v>
      </c>
      <c r="D10" s="10"/>
      <c r="E10" s="10"/>
      <c r="F10" s="10"/>
      <c r="G10" s="10">
        <f t="shared" si="0"/>
        <v>63420</v>
      </c>
      <c r="H10" s="16">
        <f t="shared" si="1"/>
        <v>26.79</v>
      </c>
      <c r="I10" s="15">
        <f t="shared" si="2"/>
        <v>9.0999999999999998E-2</v>
      </c>
      <c r="J10" s="15">
        <f>ROUND(G10/57760-1,2)</f>
        <v>0.1</v>
      </c>
    </row>
    <row r="11" spans="1:10" x14ac:dyDescent="0.25">
      <c r="A11" s="1" t="s">
        <v>16</v>
      </c>
      <c r="B11" s="1" t="s">
        <v>20</v>
      </c>
      <c r="C11" s="10">
        <v>76340</v>
      </c>
      <c r="D11" s="10"/>
      <c r="E11" s="10"/>
      <c r="F11" s="10"/>
      <c r="G11" s="10">
        <f t="shared" si="0"/>
        <v>76340</v>
      </c>
      <c r="H11" s="16">
        <f t="shared" si="1"/>
        <v>32.25</v>
      </c>
      <c r="I11" s="15">
        <f t="shared" si="2"/>
        <v>0.11</v>
      </c>
      <c r="J11" s="15">
        <f>ROUND(G11/77310-1,2)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75</v>
      </c>
      <c r="F12" s="10"/>
      <c r="G12" s="10">
        <f t="shared" si="0"/>
        <v>75</v>
      </c>
      <c r="H12" s="16">
        <f t="shared" si="1"/>
        <v>0.03</v>
      </c>
      <c r="I12" s="15">
        <f t="shared" si="2"/>
        <v>0</v>
      </c>
      <c r="J12" s="15">
        <f>ROUND(G12/72-1,2)</f>
        <v>0.04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200</v>
      </c>
      <c r="F13" s="10"/>
      <c r="G13" s="10">
        <f t="shared" si="0"/>
        <v>200</v>
      </c>
      <c r="H13" s="16">
        <f t="shared" si="1"/>
        <v>0.08</v>
      </c>
      <c r="I13" s="15">
        <f t="shared" si="2"/>
        <v>0</v>
      </c>
      <c r="J13" s="15">
        <f>ROUND(G13/259-1,2)</f>
        <v>-0.23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35480</v>
      </c>
      <c r="F14" s="10"/>
      <c r="G14" s="10">
        <f t="shared" si="0"/>
        <v>35480</v>
      </c>
      <c r="H14" s="16">
        <f t="shared" si="1"/>
        <v>14.99</v>
      </c>
      <c r="I14" s="15">
        <f t="shared" si="2"/>
        <v>5.0999999999999997E-2</v>
      </c>
      <c r="J14" s="15">
        <f>ROUND(G14/29160-1,2)</f>
        <v>0.22</v>
      </c>
    </row>
    <row r="15" spans="1:10" x14ac:dyDescent="0.25">
      <c r="A15" s="1" t="s">
        <v>16</v>
      </c>
      <c r="B15" s="1" t="s">
        <v>24</v>
      </c>
      <c r="C15" s="10">
        <v>89300</v>
      </c>
      <c r="D15" s="10"/>
      <c r="E15" s="10"/>
      <c r="F15" s="10"/>
      <c r="G15" s="10">
        <f t="shared" si="0"/>
        <v>89300</v>
      </c>
      <c r="H15" s="16">
        <f t="shared" si="1"/>
        <v>37.729999999999997</v>
      </c>
      <c r="I15" s="15">
        <f t="shared" si="2"/>
        <v>0.128</v>
      </c>
      <c r="J15" s="15">
        <f>ROUND(G15/84770-1,2)</f>
        <v>0.05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1745</v>
      </c>
      <c r="F16" s="10"/>
      <c r="G16" s="10">
        <f t="shared" si="0"/>
        <v>1745</v>
      </c>
      <c r="H16" s="16">
        <f t="shared" si="1"/>
        <v>0.74</v>
      </c>
      <c r="I16" s="15">
        <f t="shared" si="2"/>
        <v>3.0000000000000001E-3</v>
      </c>
      <c r="J16" s="15">
        <f>ROUND(G16/3455-1,2)</f>
        <v>-0.49</v>
      </c>
    </row>
    <row r="17" spans="1:10" x14ac:dyDescent="0.25">
      <c r="A17" s="1" t="s">
        <v>16</v>
      </c>
      <c r="B17" s="1" t="s">
        <v>26</v>
      </c>
      <c r="C17" s="10">
        <v>131160</v>
      </c>
      <c r="D17" s="10"/>
      <c r="E17" s="10"/>
      <c r="F17" s="10"/>
      <c r="G17" s="10">
        <f t="shared" si="0"/>
        <v>131160</v>
      </c>
      <c r="H17" s="16">
        <f t="shared" si="1"/>
        <v>55.41</v>
      </c>
      <c r="I17" s="15">
        <f t="shared" si="2"/>
        <v>0.188</v>
      </c>
      <c r="J17" s="15">
        <f>ROUND(G17/126900-1,2)</f>
        <v>0.03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1560</v>
      </c>
      <c r="F18" s="10"/>
      <c r="G18" s="10">
        <f t="shared" si="0"/>
        <v>1560</v>
      </c>
      <c r="H18" s="16">
        <f t="shared" si="1"/>
        <v>0.66</v>
      </c>
      <c r="I18" s="15">
        <f t="shared" si="2"/>
        <v>2E-3</v>
      </c>
      <c r="J18" s="15">
        <f>ROUND(G18/2895-1,2)</f>
        <v>-0.46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660</v>
      </c>
      <c r="F19" s="10"/>
      <c r="G19" s="10">
        <f t="shared" si="0"/>
        <v>660</v>
      </c>
      <c r="H19" s="16">
        <f t="shared" si="1"/>
        <v>0.28000000000000003</v>
      </c>
      <c r="I19" s="15">
        <f t="shared" si="2"/>
        <v>1E-3</v>
      </c>
      <c r="J19" s="15">
        <f>ROUND(G19/280-1,2)</f>
        <v>1.36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1090</v>
      </c>
      <c r="F20" s="10"/>
      <c r="G20" s="10">
        <f t="shared" si="0"/>
        <v>1090</v>
      </c>
      <c r="H20" s="16">
        <f t="shared" si="1"/>
        <v>0.46</v>
      </c>
      <c r="I20" s="15">
        <f t="shared" si="2"/>
        <v>2E-3</v>
      </c>
      <c r="J20" s="15">
        <f>ROUND(G20/640-1,2)</f>
        <v>0.7</v>
      </c>
    </row>
    <row r="21" spans="1:10" x14ac:dyDescent="0.25">
      <c r="A21" s="1" t="s">
        <v>16</v>
      </c>
      <c r="B21" s="1" t="s">
        <v>33</v>
      </c>
      <c r="C21" s="10"/>
      <c r="D21" s="10">
        <v>173</v>
      </c>
      <c r="E21" s="10">
        <v>86</v>
      </c>
      <c r="F21" s="10"/>
      <c r="G21" s="10">
        <f t="shared" si="0"/>
        <v>259</v>
      </c>
      <c r="H21" s="16">
        <f t="shared" si="1"/>
        <v>0.11</v>
      </c>
      <c r="I21" s="15">
        <f t="shared" si="2"/>
        <v>0</v>
      </c>
      <c r="J21" s="15">
        <f>ROUND(G21/204-1,2)</f>
        <v>0.27</v>
      </c>
    </row>
    <row r="22" spans="1:10" x14ac:dyDescent="0.25">
      <c r="A22" s="1" t="s">
        <v>16</v>
      </c>
      <c r="B22" s="1" t="s">
        <v>34</v>
      </c>
      <c r="C22" s="10"/>
      <c r="D22" s="10"/>
      <c r="E22" s="10">
        <v>150</v>
      </c>
      <c r="F22" s="10"/>
      <c r="G22" s="10">
        <f t="shared" si="0"/>
        <v>150</v>
      </c>
      <c r="H22" s="16">
        <f t="shared" si="1"/>
        <v>0.06</v>
      </c>
      <c r="I22" s="15">
        <f t="shared" si="2"/>
        <v>0</v>
      </c>
      <c r="J22" s="15">
        <f>ROUND(G22/470-1,2)</f>
        <v>-0.68</v>
      </c>
    </row>
    <row r="23" spans="1:10" x14ac:dyDescent="0.25">
      <c r="A23" s="1" t="s">
        <v>16</v>
      </c>
      <c r="B23" s="1" t="s">
        <v>35</v>
      </c>
      <c r="C23" s="10"/>
      <c r="D23" s="10">
        <v>80</v>
      </c>
      <c r="E23" s="10"/>
      <c r="F23" s="10"/>
      <c r="G23" s="10">
        <f t="shared" si="0"/>
        <v>80</v>
      </c>
      <c r="H23" s="16">
        <f t="shared" si="1"/>
        <v>0.03</v>
      </c>
      <c r="I23" s="15">
        <f t="shared" si="2"/>
        <v>0</v>
      </c>
      <c r="J23" s="15">
        <f>ROUND(G23/423-1,2)</f>
        <v>-0.81</v>
      </c>
    </row>
    <row r="24" spans="1:10" x14ac:dyDescent="0.25">
      <c r="A24" s="1" t="s">
        <v>16</v>
      </c>
      <c r="B24" s="1" t="s">
        <v>36</v>
      </c>
      <c r="C24" s="10"/>
      <c r="D24" s="10"/>
      <c r="E24" s="10">
        <v>1430</v>
      </c>
      <c r="F24" s="10"/>
      <c r="G24" s="10">
        <f t="shared" si="0"/>
        <v>1430</v>
      </c>
      <c r="H24" s="16">
        <f t="shared" si="1"/>
        <v>0.6</v>
      </c>
      <c r="I24" s="15">
        <f t="shared" si="2"/>
        <v>2E-3</v>
      </c>
      <c r="J24" s="15">
        <f>ROUND(G24/2167-1,2)</f>
        <v>-0.34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1845</v>
      </c>
      <c r="F25" s="10"/>
      <c r="G25" s="10">
        <f t="shared" si="0"/>
        <v>1845</v>
      </c>
      <c r="H25" s="16">
        <f t="shared" si="1"/>
        <v>0.78</v>
      </c>
      <c r="I25" s="15">
        <f t="shared" si="2"/>
        <v>3.0000000000000001E-3</v>
      </c>
      <c r="J25" s="15">
        <f>ROUND(G25/2856-1,2)</f>
        <v>-0.35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3800</v>
      </c>
      <c r="F26" s="10"/>
      <c r="G26" s="10">
        <f t="shared" si="0"/>
        <v>3800</v>
      </c>
      <c r="H26" s="16">
        <f t="shared" si="1"/>
        <v>1.61</v>
      </c>
      <c r="I26" s="15">
        <f t="shared" si="2"/>
        <v>5.0000000000000001E-3</v>
      </c>
      <c r="J26" s="15">
        <f>ROUND(G26/4274-1,2)</f>
        <v>-0.11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42040</v>
      </c>
      <c r="F27" s="10"/>
      <c r="G27" s="10">
        <f t="shared" si="0"/>
        <v>42040</v>
      </c>
      <c r="H27" s="16">
        <f t="shared" si="1"/>
        <v>17.760000000000002</v>
      </c>
      <c r="I27" s="15">
        <f t="shared" si="2"/>
        <v>0.06</v>
      </c>
      <c r="J27" s="15">
        <f>ROUND(G27/39595-1,2)</f>
        <v>0.06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16310</v>
      </c>
      <c r="F28" s="10"/>
      <c r="G28" s="10">
        <f t="shared" si="0"/>
        <v>16310</v>
      </c>
      <c r="H28" s="16">
        <f t="shared" si="1"/>
        <v>6.89</v>
      </c>
      <c r="I28" s="15">
        <f t="shared" si="2"/>
        <v>2.3E-2</v>
      </c>
      <c r="J28" s="15">
        <f>ROUND(G28/13680-1,2)</f>
        <v>0.19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60610</v>
      </c>
      <c r="F29" s="10"/>
      <c r="G29" s="10">
        <f t="shared" si="0"/>
        <v>60610</v>
      </c>
      <c r="H29" s="16">
        <f t="shared" si="1"/>
        <v>25.61</v>
      </c>
      <c r="I29" s="15">
        <f t="shared" si="2"/>
        <v>8.6999999999999994E-2</v>
      </c>
      <c r="J29" s="15">
        <f>ROUND(G29/63580-1,2)</f>
        <v>-0.05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ROUND(G30/121-1,2)</f>
        <v>-1</v>
      </c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98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132640</v>
      </c>
      <c r="D33" s="10"/>
      <c r="E33" s="10"/>
      <c r="F33" s="10"/>
      <c r="G33" s="10">
        <f t="shared" si="0"/>
        <v>132640</v>
      </c>
      <c r="H33" s="16">
        <f t="shared" si="1"/>
        <v>56.04</v>
      </c>
      <c r="I33" s="15">
        <f t="shared" si="2"/>
        <v>0.191</v>
      </c>
      <c r="J33" s="15">
        <f>ROUND(G33/130130-1,2)</f>
        <v>0.02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35560</v>
      </c>
      <c r="F34" s="10"/>
      <c r="G34" s="10">
        <f t="shared" si="0"/>
        <v>35560</v>
      </c>
      <c r="H34" s="16">
        <f t="shared" si="1"/>
        <v>15.02</v>
      </c>
      <c r="I34" s="15">
        <f t="shared" si="2"/>
        <v>5.0999999999999997E-2</v>
      </c>
      <c r="J34" s="15">
        <f>ROUND(G34/28840-1,2)</f>
        <v>0.23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5" t="s">
        <v>12</v>
      </c>
      <c r="B37" s="25"/>
      <c r="C37" s="11">
        <f t="shared" ref="C37:H37" si="3">SUM(C8:C36)</f>
        <v>492860</v>
      </c>
      <c r="D37" s="11">
        <f t="shared" si="3"/>
        <v>253</v>
      </c>
      <c r="E37" s="11">
        <f t="shared" si="3"/>
        <v>202701</v>
      </c>
      <c r="F37" s="11">
        <f t="shared" si="3"/>
        <v>0</v>
      </c>
      <c r="G37" s="11">
        <f t="shared" si="3"/>
        <v>695814</v>
      </c>
      <c r="H37" s="14">
        <f t="shared" si="3"/>
        <v>293.96000000000004</v>
      </c>
      <c r="I37" s="17"/>
      <c r="J37" s="17"/>
    </row>
    <row r="38" spans="1:10" x14ac:dyDescent="0.25">
      <c r="A38" s="25" t="s">
        <v>14</v>
      </c>
      <c r="B38" s="25"/>
      <c r="C38" s="12">
        <f>ROUND(C37/G37,2)</f>
        <v>0.71</v>
      </c>
      <c r="D38" s="12">
        <f>ROUND(D37/G37,2)</f>
        <v>0</v>
      </c>
      <c r="E38" s="12">
        <f>ROUND(E37/G37,2)</f>
        <v>0.28999999999999998</v>
      </c>
      <c r="F38" s="12">
        <f>ROUND(F37/G37,2)</f>
        <v>0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5" t="s">
        <v>53</v>
      </c>
      <c r="B43" s="25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0" t="s">
        <v>54</v>
      </c>
      <c r="B44" s="20"/>
      <c r="C44" s="10">
        <v>360220</v>
      </c>
      <c r="D44" s="10">
        <v>253</v>
      </c>
      <c r="E44" s="10">
        <v>167141</v>
      </c>
      <c r="F44" s="10">
        <v>0</v>
      </c>
      <c r="G44" s="10">
        <f>SUM(C44:F44)</f>
        <v>527614</v>
      </c>
      <c r="H44" s="16">
        <f>ROUND(G44/2367,2)</f>
        <v>222.9</v>
      </c>
      <c r="I44" s="9"/>
      <c r="J44" s="9"/>
    </row>
    <row r="45" spans="1:10" x14ac:dyDescent="0.25">
      <c r="A45" s="20" t="s">
        <v>55</v>
      </c>
      <c r="B45" s="20"/>
      <c r="C45" s="10">
        <v>132640</v>
      </c>
      <c r="D45" s="10">
        <v>0</v>
      </c>
      <c r="E45" s="10">
        <v>35560</v>
      </c>
      <c r="F45" s="10">
        <v>0</v>
      </c>
      <c r="G45" s="10">
        <f>SUM(C45:F45)</f>
        <v>168200</v>
      </c>
      <c r="H45" s="16">
        <f>ROUND(G45/2367,2)</f>
        <v>71.06</v>
      </c>
      <c r="I45" s="9"/>
      <c r="J45" s="9"/>
    </row>
    <row r="46" spans="1:10" x14ac:dyDescent="0.25">
      <c r="A46" s="20" t="s">
        <v>56</v>
      </c>
      <c r="B46" s="20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ROUND(G46/2367,2)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57</v>
      </c>
      <c r="B51" s="25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0" t="s">
        <v>58</v>
      </c>
      <c r="B52" s="20"/>
      <c r="C52" s="15">
        <f>ROUND(0.7983, 4)</f>
        <v>0.79830000000000001</v>
      </c>
      <c r="D52" s="15">
        <f>ROUND(0.79, 4)</f>
        <v>0.79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3" t="s">
        <v>64</v>
      </c>
      <c r="J52" s="23" t="s">
        <v>65</v>
      </c>
    </row>
    <row r="53" spans="1:10" x14ac:dyDescent="0.25">
      <c r="A53" s="20" t="s">
        <v>66</v>
      </c>
      <c r="B53" s="20"/>
      <c r="C53" s="15">
        <f>ROUND(0.786, 4)</f>
        <v>0.78600000000000003</v>
      </c>
      <c r="D53" s="15">
        <f>ROUND(0.7777, 4)</f>
        <v>0.77769999999999995</v>
      </c>
      <c r="E53" s="15">
        <f>ROUND(0.7608, 4)</f>
        <v>0.76080000000000003</v>
      </c>
      <c r="F53" s="8"/>
      <c r="G53" s="14" t="s">
        <v>67</v>
      </c>
      <c r="H53" s="27"/>
      <c r="I53" s="24"/>
      <c r="J53" s="24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68</v>
      </c>
      <c r="B57" s="25"/>
      <c r="C57" s="14" t="s">
        <v>2</v>
      </c>
      <c r="D57" s="14" t="s">
        <v>290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0" t="s">
        <v>73</v>
      </c>
      <c r="B58" s="20"/>
      <c r="C58" s="16">
        <v>56.04</v>
      </c>
      <c r="D58" s="16">
        <v>64.959999999999994</v>
      </c>
      <c r="E58" s="16">
        <v>91.13</v>
      </c>
      <c r="F58" s="16">
        <v>54.95</v>
      </c>
      <c r="G58" s="16">
        <f>12/10*C58</f>
        <v>67.24799999999999</v>
      </c>
      <c r="H58" s="8"/>
      <c r="I58" s="9"/>
      <c r="J58" s="9"/>
    </row>
    <row r="59" spans="1:10" x14ac:dyDescent="0.25">
      <c r="A59" s="20" t="s">
        <v>74</v>
      </c>
      <c r="B59" s="20"/>
      <c r="C59" s="16">
        <v>55.41</v>
      </c>
      <c r="D59" s="16">
        <v>61.5</v>
      </c>
      <c r="E59" s="16">
        <v>61.18</v>
      </c>
      <c r="F59" s="16">
        <v>62.89</v>
      </c>
      <c r="G59" s="16">
        <f>12/10*C59</f>
        <v>66.49199999999999</v>
      </c>
      <c r="H59" s="8"/>
      <c r="I59" s="9"/>
      <c r="J59" s="9"/>
    </row>
    <row r="60" spans="1:10" x14ac:dyDescent="0.25">
      <c r="A60" s="20" t="s">
        <v>75</v>
      </c>
      <c r="B60" s="20"/>
      <c r="C60" s="16">
        <v>222.9</v>
      </c>
      <c r="D60" s="16">
        <v>253.62</v>
      </c>
      <c r="E60" s="16">
        <v>287.25</v>
      </c>
      <c r="F60" s="16">
        <v>278.91000000000003</v>
      </c>
      <c r="G60" s="16">
        <f>12/10*C60</f>
        <v>267.48</v>
      </c>
      <c r="H60" s="8"/>
      <c r="I60" s="9"/>
      <c r="J60" s="9"/>
    </row>
    <row r="61" spans="1:10" x14ac:dyDescent="0.25">
      <c r="A61" s="20" t="s">
        <v>76</v>
      </c>
      <c r="B61" s="20"/>
      <c r="C61" s="16">
        <v>71.06</v>
      </c>
      <c r="D61" s="16">
        <v>82.05</v>
      </c>
      <c r="E61" s="16">
        <v>114.69</v>
      </c>
      <c r="F61" s="16">
        <v>78.319999999999993</v>
      </c>
      <c r="G61" s="16">
        <f>12/10*C61</f>
        <v>85.272000000000006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2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291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0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292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6251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140</v>
      </c>
      <c r="F9" s="10"/>
      <c r="G9" s="10">
        <f t="shared" ref="G9:G43" si="0">SUM(C9:F9)</f>
        <v>140</v>
      </c>
      <c r="H9" s="16">
        <f t="shared" ref="H9:H43" si="1">ROUND(G9/6251,2)</f>
        <v>0.02</v>
      </c>
      <c r="I9" s="15">
        <f t="shared" ref="I9:I43" si="2">ROUND(G9/$G$44,3)</f>
        <v>0</v>
      </c>
      <c r="J9" s="15">
        <f>ROUND(G9/190-1,2)</f>
        <v>-0.26</v>
      </c>
    </row>
    <row r="10" spans="1:10" x14ac:dyDescent="0.25">
      <c r="A10" s="1" t="s">
        <v>16</v>
      </c>
      <c r="B10" s="1" t="s">
        <v>19</v>
      </c>
      <c r="C10" s="10">
        <v>120750</v>
      </c>
      <c r="D10" s="10"/>
      <c r="E10" s="10"/>
      <c r="F10" s="10"/>
      <c r="G10" s="10">
        <f t="shared" si="0"/>
        <v>120750</v>
      </c>
      <c r="H10" s="16">
        <f t="shared" si="1"/>
        <v>19.32</v>
      </c>
      <c r="I10" s="15">
        <f t="shared" si="2"/>
        <v>5.1999999999999998E-2</v>
      </c>
      <c r="J10" s="15">
        <f>ROUND(G10/115220-1,2)</f>
        <v>0.05</v>
      </c>
    </row>
    <row r="11" spans="1:10" x14ac:dyDescent="0.25">
      <c r="A11" s="1" t="s">
        <v>16</v>
      </c>
      <c r="B11" s="1" t="s">
        <v>20</v>
      </c>
      <c r="C11" s="10">
        <v>161460</v>
      </c>
      <c r="D11" s="10"/>
      <c r="E11" s="10"/>
      <c r="F11" s="10"/>
      <c r="G11" s="10">
        <f t="shared" si="0"/>
        <v>161460</v>
      </c>
      <c r="H11" s="16">
        <f t="shared" si="1"/>
        <v>25.83</v>
      </c>
      <c r="I11" s="15">
        <f t="shared" si="2"/>
        <v>7.0000000000000007E-2</v>
      </c>
      <c r="J11" s="15">
        <f>ROUND(G11/166140-1,2)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321</v>
      </c>
      <c r="F12" s="10"/>
      <c r="G12" s="10">
        <f t="shared" si="0"/>
        <v>321</v>
      </c>
      <c r="H12" s="16">
        <f t="shared" si="1"/>
        <v>0.05</v>
      </c>
      <c r="I12" s="15">
        <f t="shared" si="2"/>
        <v>0</v>
      </c>
      <c r="J12" s="15">
        <f>ROUND(G12/293-1,2)</f>
        <v>0.1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428</v>
      </c>
      <c r="F13" s="10"/>
      <c r="G13" s="10">
        <f t="shared" si="0"/>
        <v>428</v>
      </c>
      <c r="H13" s="16">
        <f t="shared" si="1"/>
        <v>7.0000000000000007E-2</v>
      </c>
      <c r="I13" s="15">
        <f t="shared" si="2"/>
        <v>0</v>
      </c>
      <c r="J13" s="15">
        <f>ROUND(G13/377-1,2)</f>
        <v>0.14000000000000001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3100</v>
      </c>
      <c r="F14" s="10"/>
      <c r="G14" s="10">
        <f t="shared" si="0"/>
        <v>3100</v>
      </c>
      <c r="H14" s="16">
        <f t="shared" si="1"/>
        <v>0.5</v>
      </c>
      <c r="I14" s="15">
        <f t="shared" si="2"/>
        <v>1E-3</v>
      </c>
      <c r="J14" s="15">
        <f>ROUND(G14/3100-1,2)</f>
        <v>0</v>
      </c>
    </row>
    <row r="15" spans="1:10" x14ac:dyDescent="0.25">
      <c r="A15" s="1" t="s">
        <v>16</v>
      </c>
      <c r="B15" s="1" t="s">
        <v>223</v>
      </c>
      <c r="C15" s="10"/>
      <c r="D15" s="10"/>
      <c r="E15" s="10"/>
      <c r="F15" s="10"/>
      <c r="G15" s="10">
        <f t="shared" si="0"/>
        <v>0</v>
      </c>
      <c r="H15" s="16">
        <f t="shared" si="1"/>
        <v>0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259660</v>
      </c>
      <c r="F16" s="10"/>
      <c r="G16" s="10">
        <f t="shared" si="0"/>
        <v>259660</v>
      </c>
      <c r="H16" s="16">
        <f t="shared" si="1"/>
        <v>41.54</v>
      </c>
      <c r="I16" s="15">
        <f t="shared" si="2"/>
        <v>0.112</v>
      </c>
      <c r="J16" s="15">
        <f>ROUND(G16/138820-1,2)</f>
        <v>0.87</v>
      </c>
    </row>
    <row r="17" spans="1:10" x14ac:dyDescent="0.25">
      <c r="A17" s="1" t="s">
        <v>16</v>
      </c>
      <c r="B17" s="1" t="s">
        <v>24</v>
      </c>
      <c r="C17" s="10">
        <v>190630</v>
      </c>
      <c r="D17" s="10"/>
      <c r="E17" s="10">
        <v>8530</v>
      </c>
      <c r="F17" s="10"/>
      <c r="G17" s="10">
        <f t="shared" si="0"/>
        <v>199160</v>
      </c>
      <c r="H17" s="16">
        <f t="shared" si="1"/>
        <v>31.86</v>
      </c>
      <c r="I17" s="15">
        <f t="shared" si="2"/>
        <v>8.5999999999999993E-2</v>
      </c>
      <c r="J17" s="15">
        <f>ROUND(G17/180600-1,2)</f>
        <v>0.1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10315</v>
      </c>
      <c r="F18" s="10"/>
      <c r="G18" s="10">
        <f t="shared" si="0"/>
        <v>10315</v>
      </c>
      <c r="H18" s="16">
        <f t="shared" si="1"/>
        <v>1.65</v>
      </c>
      <c r="I18" s="15">
        <f t="shared" si="2"/>
        <v>4.0000000000000001E-3</v>
      </c>
      <c r="J18" s="15">
        <f>ROUND(G18/13855-1,2)</f>
        <v>-0.26</v>
      </c>
    </row>
    <row r="19" spans="1:10" x14ac:dyDescent="0.25">
      <c r="A19" s="1" t="s">
        <v>16</v>
      </c>
      <c r="B19" s="1" t="s">
        <v>26</v>
      </c>
      <c r="C19" s="10">
        <v>255080</v>
      </c>
      <c r="D19" s="10"/>
      <c r="E19" s="10"/>
      <c r="F19" s="10">
        <v>600</v>
      </c>
      <c r="G19" s="10">
        <f t="shared" si="0"/>
        <v>255680</v>
      </c>
      <c r="H19" s="16">
        <f t="shared" si="1"/>
        <v>40.9</v>
      </c>
      <c r="I19" s="15">
        <f t="shared" si="2"/>
        <v>0.111</v>
      </c>
      <c r="J19" s="15">
        <f>ROUND(G19/240620-1,2)</f>
        <v>0.06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760</v>
      </c>
      <c r="F20" s="10"/>
      <c r="G20" s="10">
        <f t="shared" si="0"/>
        <v>760</v>
      </c>
      <c r="H20" s="16">
        <f t="shared" si="1"/>
        <v>0.12</v>
      </c>
      <c r="I20" s="15">
        <f t="shared" si="2"/>
        <v>0</v>
      </c>
      <c r="J20" s="15">
        <f>ROUND(G20/611-1,2)</f>
        <v>0.24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294</v>
      </c>
      <c r="F21" s="10"/>
      <c r="G21" s="10">
        <f t="shared" si="0"/>
        <v>294</v>
      </c>
      <c r="H21" s="16">
        <f t="shared" si="1"/>
        <v>0.05</v>
      </c>
      <c r="I21" s="15">
        <f t="shared" si="2"/>
        <v>0</v>
      </c>
      <c r="J21" s="15">
        <f>ROUND(G21/227-1,2)</f>
        <v>0.3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8090</v>
      </c>
      <c r="F22" s="10"/>
      <c r="G22" s="10">
        <f t="shared" si="0"/>
        <v>8090</v>
      </c>
      <c r="H22" s="16">
        <f t="shared" si="1"/>
        <v>1.29</v>
      </c>
      <c r="I22" s="15">
        <f t="shared" si="2"/>
        <v>4.0000000000000001E-3</v>
      </c>
      <c r="J22" s="15">
        <f>ROUND(G22/11670-1,2)</f>
        <v>-0.31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2350</v>
      </c>
      <c r="F23" s="10"/>
      <c r="G23" s="10">
        <f t="shared" si="0"/>
        <v>2350</v>
      </c>
      <c r="H23" s="16">
        <f t="shared" si="1"/>
        <v>0.38</v>
      </c>
      <c r="I23" s="15">
        <f t="shared" si="2"/>
        <v>1E-3</v>
      </c>
      <c r="J23" s="15">
        <f>ROUND(G23/2560-1,2)</f>
        <v>-0.08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1220</v>
      </c>
      <c r="F24" s="10"/>
      <c r="G24" s="10">
        <f t="shared" si="0"/>
        <v>1220</v>
      </c>
      <c r="H24" s="16">
        <f t="shared" si="1"/>
        <v>0.2</v>
      </c>
      <c r="I24" s="15">
        <f t="shared" si="2"/>
        <v>1E-3</v>
      </c>
      <c r="J24" s="15">
        <f>ROUND(G24/1000-1,2)</f>
        <v>0.22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5350</v>
      </c>
      <c r="F25" s="10"/>
      <c r="G25" s="10">
        <f t="shared" si="0"/>
        <v>5350</v>
      </c>
      <c r="H25" s="16">
        <f t="shared" si="1"/>
        <v>0.86</v>
      </c>
      <c r="I25" s="15">
        <f t="shared" si="2"/>
        <v>2E-3</v>
      </c>
      <c r="J25" s="15">
        <f>ROUND(G25/4380-1,2)</f>
        <v>0.22</v>
      </c>
    </row>
    <row r="26" spans="1:10" x14ac:dyDescent="0.25">
      <c r="A26" s="1" t="s">
        <v>16</v>
      </c>
      <c r="B26" s="1" t="s">
        <v>33</v>
      </c>
      <c r="C26" s="10"/>
      <c r="D26" s="10">
        <v>128</v>
      </c>
      <c r="E26" s="10">
        <v>98</v>
      </c>
      <c r="F26" s="10"/>
      <c r="G26" s="10">
        <f t="shared" si="0"/>
        <v>226</v>
      </c>
      <c r="H26" s="16">
        <f t="shared" si="1"/>
        <v>0.04</v>
      </c>
      <c r="I26" s="15">
        <f t="shared" si="2"/>
        <v>0</v>
      </c>
      <c r="J26" s="15">
        <f>ROUND(G26/90-1,2)</f>
        <v>1.51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210</v>
      </c>
      <c r="F27" s="10"/>
      <c r="G27" s="10">
        <f t="shared" si="0"/>
        <v>210</v>
      </c>
      <c r="H27" s="16">
        <f t="shared" si="1"/>
        <v>0.03</v>
      </c>
      <c r="I27" s="15">
        <f t="shared" si="2"/>
        <v>0</v>
      </c>
      <c r="J27" s="15">
        <f>ROUND(G27/546-1,2)</f>
        <v>-0.62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620</v>
      </c>
      <c r="F28" s="10"/>
      <c r="G28" s="10">
        <f t="shared" si="0"/>
        <v>620</v>
      </c>
      <c r="H28" s="16">
        <f t="shared" si="1"/>
        <v>0.1</v>
      </c>
      <c r="I28" s="15">
        <f t="shared" si="2"/>
        <v>0</v>
      </c>
      <c r="J28" s="15">
        <f>ROUND(G28/2500-1,2)</f>
        <v>-0.75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12130</v>
      </c>
      <c r="F29" s="10"/>
      <c r="G29" s="10">
        <f t="shared" si="0"/>
        <v>12130</v>
      </c>
      <c r="H29" s="16">
        <f t="shared" si="1"/>
        <v>1.94</v>
      </c>
      <c r="I29" s="15">
        <f t="shared" si="2"/>
        <v>5.0000000000000001E-3</v>
      </c>
      <c r="J29" s="15">
        <f>ROUND(G29/16350-1,2)</f>
        <v>-0.26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7914</v>
      </c>
      <c r="F30" s="10"/>
      <c r="G30" s="10">
        <f t="shared" si="0"/>
        <v>7914</v>
      </c>
      <c r="H30" s="16">
        <f t="shared" si="1"/>
        <v>1.27</v>
      </c>
      <c r="I30" s="15">
        <f t="shared" si="2"/>
        <v>3.0000000000000001E-3</v>
      </c>
      <c r="J30" s="15">
        <f>ROUND(G30/14047-1,2)</f>
        <v>-0.44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174540</v>
      </c>
      <c r="F31" s="10"/>
      <c r="G31" s="10">
        <f t="shared" si="0"/>
        <v>174540</v>
      </c>
      <c r="H31" s="16">
        <f t="shared" si="1"/>
        <v>27.92</v>
      </c>
      <c r="I31" s="15">
        <f t="shared" si="2"/>
        <v>7.5999999999999998E-2</v>
      </c>
      <c r="J31" s="15">
        <f>ROUND(G31/130450-1,2)</f>
        <v>0.34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26630</v>
      </c>
      <c r="F32" s="10"/>
      <c r="G32" s="10">
        <f t="shared" si="0"/>
        <v>26630</v>
      </c>
      <c r="H32" s="16">
        <f t="shared" si="1"/>
        <v>4.26</v>
      </c>
      <c r="I32" s="15">
        <f t="shared" si="2"/>
        <v>1.2E-2</v>
      </c>
      <c r="J32" s="15">
        <f>ROUND(G32/23030-1,2)</f>
        <v>0.16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43680</v>
      </c>
      <c r="F33" s="10"/>
      <c r="G33" s="10">
        <f t="shared" si="0"/>
        <v>43680</v>
      </c>
      <c r="H33" s="16">
        <f t="shared" si="1"/>
        <v>6.99</v>
      </c>
      <c r="I33" s="15">
        <f t="shared" si="2"/>
        <v>1.9E-2</v>
      </c>
      <c r="J33" s="15">
        <f>ROUND(G33/32420-1,2)</f>
        <v>0.35</v>
      </c>
    </row>
    <row r="34" spans="1:10" x14ac:dyDescent="0.25">
      <c r="A34" s="1" t="s">
        <v>16</v>
      </c>
      <c r="B34" s="1" t="s">
        <v>41</v>
      </c>
      <c r="C34" s="10"/>
      <c r="D34" s="10">
        <v>53960</v>
      </c>
      <c r="E34" s="10">
        <v>465280</v>
      </c>
      <c r="F34" s="10"/>
      <c r="G34" s="10">
        <f t="shared" si="0"/>
        <v>519240</v>
      </c>
      <c r="H34" s="16">
        <f t="shared" si="1"/>
        <v>83.07</v>
      </c>
      <c r="I34" s="15">
        <f t="shared" si="2"/>
        <v>0.22500000000000001</v>
      </c>
      <c r="J34" s="15">
        <f>ROUND(G34/564280-1,2)</f>
        <v>-0.08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ROUND(G35/242-1,2)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ROUND(G36/5380-1,2)</f>
        <v>-1</v>
      </c>
    </row>
    <row r="37" spans="1:10" x14ac:dyDescent="0.25">
      <c r="A37" s="1" t="s">
        <v>16</v>
      </c>
      <c r="B37" s="1" t="s">
        <v>227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44</v>
      </c>
      <c r="B38" s="1" t="s">
        <v>45</v>
      </c>
      <c r="C38" s="10">
        <v>349920</v>
      </c>
      <c r="D38" s="10"/>
      <c r="E38" s="10"/>
      <c r="F38" s="10">
        <v>460</v>
      </c>
      <c r="G38" s="10">
        <f t="shared" si="0"/>
        <v>350380</v>
      </c>
      <c r="H38" s="16">
        <f t="shared" si="1"/>
        <v>56.05</v>
      </c>
      <c r="I38" s="15">
        <f t="shared" si="2"/>
        <v>0.152</v>
      </c>
      <c r="J38" s="15">
        <f>ROUND(G38/335840-1,2)</f>
        <v>0.04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>
        <v>35525</v>
      </c>
      <c r="G39" s="10">
        <f t="shared" si="0"/>
        <v>35525</v>
      </c>
      <c r="H39" s="16">
        <f t="shared" si="1"/>
        <v>5.68</v>
      </c>
      <c r="I39" s="15">
        <f t="shared" si="2"/>
        <v>1.4999999999999999E-2</v>
      </c>
      <c r="J39" s="15">
        <f>ROUND(G39/65930-1,2)</f>
        <v>-0.46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108050</v>
      </c>
      <c r="F40" s="10"/>
      <c r="G40" s="10">
        <f t="shared" si="0"/>
        <v>108050</v>
      </c>
      <c r="H40" s="16">
        <f t="shared" si="1"/>
        <v>17.29</v>
      </c>
      <c r="I40" s="15">
        <f t="shared" si="2"/>
        <v>4.7E-2</v>
      </c>
      <c r="J40" s="15">
        <f>ROUND(G40/94000-1,2)</f>
        <v>0.15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86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5" t="s">
        <v>12</v>
      </c>
      <c r="B44" s="25"/>
      <c r="C44" s="11">
        <f t="shared" ref="C44:H44" si="3">SUM(C8:C43)</f>
        <v>1077840</v>
      </c>
      <c r="D44" s="11">
        <f t="shared" si="3"/>
        <v>54088</v>
      </c>
      <c r="E44" s="11">
        <f t="shared" si="3"/>
        <v>1139710</v>
      </c>
      <c r="F44" s="11">
        <f t="shared" si="3"/>
        <v>36585</v>
      </c>
      <c r="G44" s="11">
        <f t="shared" si="3"/>
        <v>2308223</v>
      </c>
      <c r="H44" s="14">
        <f t="shared" si="3"/>
        <v>369.28000000000003</v>
      </c>
      <c r="I44" s="17"/>
      <c r="J44" s="17"/>
    </row>
    <row r="45" spans="1:10" x14ac:dyDescent="0.25">
      <c r="A45" s="25" t="s">
        <v>14</v>
      </c>
      <c r="B45" s="25"/>
      <c r="C45" s="12">
        <f>ROUND(C44/G44,2)</f>
        <v>0.47</v>
      </c>
      <c r="D45" s="12">
        <f>ROUND(D44/G44,2)</f>
        <v>0.02</v>
      </c>
      <c r="E45" s="12">
        <f>ROUND(E44/G44,2)</f>
        <v>0.49</v>
      </c>
      <c r="F45" s="12">
        <f>ROUND(F44/G44,2)</f>
        <v>0.02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53</v>
      </c>
      <c r="B50" s="25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0" t="s">
        <v>54</v>
      </c>
      <c r="B51" s="20"/>
      <c r="C51" s="10">
        <v>727920</v>
      </c>
      <c r="D51" s="10">
        <v>54088</v>
      </c>
      <c r="E51" s="10">
        <v>1031660</v>
      </c>
      <c r="F51" s="10">
        <v>600</v>
      </c>
      <c r="G51" s="10">
        <f>SUM(C51:F51)</f>
        <v>1814268</v>
      </c>
      <c r="H51" s="16">
        <f>ROUND(G51/6251,2)</f>
        <v>290.24</v>
      </c>
      <c r="I51" s="9"/>
      <c r="J51" s="9"/>
    </row>
    <row r="52" spans="1:10" x14ac:dyDescent="0.25">
      <c r="A52" s="20" t="s">
        <v>55</v>
      </c>
      <c r="B52" s="20"/>
      <c r="C52" s="10">
        <v>349920</v>
      </c>
      <c r="D52" s="10">
        <v>0</v>
      </c>
      <c r="E52" s="10">
        <v>108050</v>
      </c>
      <c r="F52" s="10">
        <v>35985</v>
      </c>
      <c r="G52" s="10">
        <f>SUM(C52:F52)</f>
        <v>493955</v>
      </c>
      <c r="H52" s="16">
        <f>ROUND(G52/6251,2)</f>
        <v>79.02</v>
      </c>
      <c r="I52" s="9"/>
      <c r="J52" s="9"/>
    </row>
    <row r="53" spans="1:10" x14ac:dyDescent="0.25">
      <c r="A53" s="20" t="s">
        <v>56</v>
      </c>
      <c r="B53" s="20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ROUND(G53/6251,2)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57</v>
      </c>
      <c r="B58" s="25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0" t="s">
        <v>58</v>
      </c>
      <c r="B59" s="20"/>
      <c r="C59" s="15">
        <f>ROUND(0.8276, 4)</f>
        <v>0.8276</v>
      </c>
      <c r="D59" s="15">
        <f>ROUND(0.8136, 4)</f>
        <v>0.81359999999999999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3" t="s">
        <v>64</v>
      </c>
      <c r="J59" s="23" t="s">
        <v>65</v>
      </c>
    </row>
    <row r="60" spans="1:10" x14ac:dyDescent="0.25">
      <c r="A60" s="20" t="s">
        <v>66</v>
      </c>
      <c r="B60" s="20"/>
      <c r="C60" s="15">
        <f>ROUND(0.8201, 4)</f>
        <v>0.82010000000000005</v>
      </c>
      <c r="D60" s="15">
        <f>ROUND(0.8063, 4)</f>
        <v>0.80630000000000002</v>
      </c>
      <c r="E60" s="15">
        <f>ROUND(0.7608, 4)</f>
        <v>0.76080000000000003</v>
      </c>
      <c r="F60" s="8"/>
      <c r="G60" s="14" t="s">
        <v>67</v>
      </c>
      <c r="H60" s="27"/>
      <c r="I60" s="24"/>
      <c r="J60" s="24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5" t="s">
        <v>68</v>
      </c>
      <c r="B64" s="25"/>
      <c r="C64" s="14" t="s">
        <v>2</v>
      </c>
      <c r="D64" s="14" t="s">
        <v>293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0" t="s">
        <v>73</v>
      </c>
      <c r="B65" s="20"/>
      <c r="C65" s="16">
        <v>56.05</v>
      </c>
      <c r="D65" s="16">
        <v>76.08</v>
      </c>
      <c r="E65" s="16">
        <v>91.13</v>
      </c>
      <c r="F65" s="16">
        <v>54.95</v>
      </c>
      <c r="G65" s="16">
        <f>12/10*C65</f>
        <v>67.259999999999991</v>
      </c>
      <c r="H65" s="8"/>
      <c r="I65" s="9"/>
      <c r="J65" s="9"/>
    </row>
    <row r="66" spans="1:10" x14ac:dyDescent="0.25">
      <c r="A66" s="20" t="s">
        <v>74</v>
      </c>
      <c r="B66" s="20"/>
      <c r="C66" s="16">
        <v>40.9</v>
      </c>
      <c r="D66" s="16">
        <v>57.86</v>
      </c>
      <c r="E66" s="16">
        <v>61.18</v>
      </c>
      <c r="F66" s="16">
        <v>62.89</v>
      </c>
      <c r="G66" s="16">
        <f>12/10*C66</f>
        <v>49.08</v>
      </c>
      <c r="H66" s="8"/>
      <c r="I66" s="9"/>
      <c r="J66" s="9"/>
    </row>
    <row r="67" spans="1:10" x14ac:dyDescent="0.25">
      <c r="A67" s="20" t="s">
        <v>75</v>
      </c>
      <c r="B67" s="20"/>
      <c r="C67" s="16">
        <v>293.83999999999997</v>
      </c>
      <c r="D67" s="16">
        <v>376.91</v>
      </c>
      <c r="E67" s="16">
        <v>287.25</v>
      </c>
      <c r="F67" s="16">
        <v>278.91000000000003</v>
      </c>
      <c r="G67" s="16">
        <f>12/10*C67</f>
        <v>352.60799999999995</v>
      </c>
      <c r="H67" s="8"/>
      <c r="I67" s="9"/>
      <c r="J67" s="9"/>
    </row>
    <row r="68" spans="1:10" x14ac:dyDescent="0.25">
      <c r="A68" s="20" t="s">
        <v>76</v>
      </c>
      <c r="B68" s="20"/>
      <c r="C68" s="16">
        <v>79.02</v>
      </c>
      <c r="D68" s="16">
        <v>113.98</v>
      </c>
      <c r="E68" s="16">
        <v>114.69</v>
      </c>
      <c r="F68" s="16">
        <v>78.319999999999993</v>
      </c>
      <c r="G68" s="16">
        <f>12/10*C68</f>
        <v>94.823999999999998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1" t="s">
        <v>60</v>
      </c>
      <c r="B71" s="22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294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6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295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7923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183</v>
      </c>
      <c r="F9" s="10"/>
      <c r="G9" s="10">
        <f t="shared" ref="G9:G40" si="0">SUM(C9:F9)</f>
        <v>183</v>
      </c>
      <c r="H9" s="16">
        <f t="shared" ref="H9:H40" si="1">ROUND(G9/7923,2)</f>
        <v>0.02</v>
      </c>
      <c r="I9" s="15">
        <f t="shared" ref="I9:I40" si="2">ROUND(G9/$G$41,3)</f>
        <v>0</v>
      </c>
      <c r="J9" s="15">
        <f>ROUND(G9/218-1,2)</f>
        <v>-0.16</v>
      </c>
    </row>
    <row r="10" spans="1:10" x14ac:dyDescent="0.25">
      <c r="A10" s="1" t="s">
        <v>16</v>
      </c>
      <c r="B10" s="1" t="s">
        <v>19</v>
      </c>
      <c r="C10" s="10">
        <v>226560</v>
      </c>
      <c r="D10" s="10"/>
      <c r="E10" s="10">
        <v>7860</v>
      </c>
      <c r="F10" s="10"/>
      <c r="G10" s="10">
        <f t="shared" si="0"/>
        <v>234420</v>
      </c>
      <c r="H10" s="16">
        <f t="shared" si="1"/>
        <v>29.59</v>
      </c>
      <c r="I10" s="15">
        <f t="shared" si="2"/>
        <v>7.0999999999999994E-2</v>
      </c>
      <c r="J10" s="15">
        <f>ROUND(G10/222880-1,2)</f>
        <v>0.05</v>
      </c>
    </row>
    <row r="11" spans="1:10" x14ac:dyDescent="0.25">
      <c r="A11" s="1" t="s">
        <v>16</v>
      </c>
      <c r="B11" s="1" t="s">
        <v>20</v>
      </c>
      <c r="C11" s="10">
        <v>327330</v>
      </c>
      <c r="D11" s="10"/>
      <c r="E11" s="10"/>
      <c r="F11" s="10"/>
      <c r="G11" s="10">
        <f t="shared" si="0"/>
        <v>327330</v>
      </c>
      <c r="H11" s="16">
        <f t="shared" si="1"/>
        <v>41.31</v>
      </c>
      <c r="I11" s="15">
        <f t="shared" si="2"/>
        <v>9.9000000000000005E-2</v>
      </c>
      <c r="J11" s="15">
        <f>ROUND(G11/323070-1,2)</f>
        <v>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395</v>
      </c>
      <c r="F12" s="10"/>
      <c r="G12" s="10">
        <f t="shared" si="0"/>
        <v>395</v>
      </c>
      <c r="H12" s="16">
        <f t="shared" si="1"/>
        <v>0.05</v>
      </c>
      <c r="I12" s="15">
        <f t="shared" si="2"/>
        <v>0</v>
      </c>
      <c r="J12" s="15">
        <f>ROUND(G12/270-1,2)</f>
        <v>0.46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379</v>
      </c>
      <c r="F13" s="10"/>
      <c r="G13" s="10">
        <f t="shared" si="0"/>
        <v>379</v>
      </c>
      <c r="H13" s="16">
        <f t="shared" si="1"/>
        <v>0.05</v>
      </c>
      <c r="I13" s="15">
        <f t="shared" si="2"/>
        <v>0</v>
      </c>
      <c r="J13" s="15">
        <f>ROUND(G13/229-1,2)</f>
        <v>0.66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3000</v>
      </c>
      <c r="F14" s="10"/>
      <c r="G14" s="10">
        <f t="shared" si="0"/>
        <v>3000</v>
      </c>
      <c r="H14" s="16">
        <f t="shared" si="1"/>
        <v>0.38</v>
      </c>
      <c r="I14" s="15">
        <f t="shared" si="2"/>
        <v>1E-3</v>
      </c>
      <c r="J14" s="15">
        <f>ROUND(G14/1000-1,2)</f>
        <v>2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140</v>
      </c>
      <c r="G15" s="10">
        <f t="shared" si="0"/>
        <v>140</v>
      </c>
      <c r="H15" s="16">
        <f t="shared" si="1"/>
        <v>0.02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130540</v>
      </c>
      <c r="F16" s="10"/>
      <c r="G16" s="10">
        <f t="shared" si="0"/>
        <v>130540</v>
      </c>
      <c r="H16" s="16">
        <f t="shared" si="1"/>
        <v>16.48</v>
      </c>
      <c r="I16" s="15">
        <f t="shared" si="2"/>
        <v>0.04</v>
      </c>
      <c r="J16" s="15">
        <f>ROUND(G16/188380-1,2)</f>
        <v>-0.31</v>
      </c>
    </row>
    <row r="17" spans="1:10" x14ac:dyDescent="0.25">
      <c r="A17" s="1" t="s">
        <v>16</v>
      </c>
      <c r="B17" s="1" t="s">
        <v>24</v>
      </c>
      <c r="C17" s="10">
        <v>340500</v>
      </c>
      <c r="D17" s="10"/>
      <c r="E17" s="10">
        <v>39940</v>
      </c>
      <c r="F17" s="10"/>
      <c r="G17" s="10">
        <f t="shared" si="0"/>
        <v>380440</v>
      </c>
      <c r="H17" s="16">
        <f t="shared" si="1"/>
        <v>48.02</v>
      </c>
      <c r="I17" s="15">
        <f t="shared" si="2"/>
        <v>0.115</v>
      </c>
      <c r="J17" s="15">
        <f>ROUND(G17/379980-1,2)</f>
        <v>0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12755</v>
      </c>
      <c r="F18" s="10"/>
      <c r="G18" s="10">
        <f t="shared" si="0"/>
        <v>12755</v>
      </c>
      <c r="H18" s="16">
        <f t="shared" si="1"/>
        <v>1.61</v>
      </c>
      <c r="I18" s="15">
        <f t="shared" si="2"/>
        <v>4.0000000000000001E-3</v>
      </c>
      <c r="J18" s="15">
        <f>ROUND(G18/6465-1,2)</f>
        <v>0.97</v>
      </c>
    </row>
    <row r="19" spans="1:10" x14ac:dyDescent="0.25">
      <c r="A19" s="1" t="s">
        <v>16</v>
      </c>
      <c r="B19" s="1" t="s">
        <v>26</v>
      </c>
      <c r="C19" s="10">
        <v>569620</v>
      </c>
      <c r="D19" s="10"/>
      <c r="E19" s="10"/>
      <c r="F19" s="10">
        <v>1500</v>
      </c>
      <c r="G19" s="10">
        <f t="shared" si="0"/>
        <v>571120</v>
      </c>
      <c r="H19" s="16">
        <f t="shared" si="1"/>
        <v>72.08</v>
      </c>
      <c r="I19" s="15">
        <f t="shared" si="2"/>
        <v>0.17299999999999999</v>
      </c>
      <c r="J19" s="15">
        <f>ROUND(G19/568350-1,2)</f>
        <v>0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1122</v>
      </c>
      <c r="F20" s="10"/>
      <c r="G20" s="10">
        <f t="shared" si="0"/>
        <v>1122</v>
      </c>
      <c r="H20" s="16">
        <f t="shared" si="1"/>
        <v>0.14000000000000001</v>
      </c>
      <c r="I20" s="15">
        <f t="shared" si="2"/>
        <v>0</v>
      </c>
      <c r="J20" s="15">
        <f>ROUND(G20/1935-1,2)</f>
        <v>-0.42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906</v>
      </c>
      <c r="F21" s="10"/>
      <c r="G21" s="10">
        <f t="shared" si="0"/>
        <v>906</v>
      </c>
      <c r="H21" s="16">
        <f t="shared" si="1"/>
        <v>0.11</v>
      </c>
      <c r="I21" s="15">
        <f t="shared" si="2"/>
        <v>0</v>
      </c>
      <c r="J21" s="15">
        <f>ROUND(G21/801-1,2)</f>
        <v>0.13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5860</v>
      </c>
      <c r="F22" s="10"/>
      <c r="G22" s="10">
        <f t="shared" si="0"/>
        <v>5860</v>
      </c>
      <c r="H22" s="16">
        <f t="shared" si="1"/>
        <v>0.74</v>
      </c>
      <c r="I22" s="15">
        <f t="shared" si="2"/>
        <v>2E-3</v>
      </c>
      <c r="J22" s="15">
        <f>ROUND(G22/7740-1,2)</f>
        <v>-0.24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2210</v>
      </c>
      <c r="F23" s="10"/>
      <c r="G23" s="10">
        <f t="shared" si="0"/>
        <v>2210</v>
      </c>
      <c r="H23" s="16">
        <f t="shared" si="1"/>
        <v>0.28000000000000003</v>
      </c>
      <c r="I23" s="15">
        <f t="shared" si="2"/>
        <v>1E-3</v>
      </c>
      <c r="J23" s="15">
        <f>ROUND(G23/2170-1,2)</f>
        <v>0.02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1150</v>
      </c>
      <c r="F24" s="10"/>
      <c r="G24" s="10">
        <f t="shared" si="0"/>
        <v>1150</v>
      </c>
      <c r="H24" s="16">
        <f t="shared" si="1"/>
        <v>0.15</v>
      </c>
      <c r="I24" s="15">
        <f t="shared" si="2"/>
        <v>0</v>
      </c>
      <c r="J24" s="15">
        <f>ROUND(G24/1140-1,2)</f>
        <v>0.01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5655</v>
      </c>
      <c r="F25" s="10"/>
      <c r="G25" s="10">
        <f t="shared" si="0"/>
        <v>5655</v>
      </c>
      <c r="H25" s="16">
        <f t="shared" si="1"/>
        <v>0.71</v>
      </c>
      <c r="I25" s="15">
        <f t="shared" si="2"/>
        <v>2E-3</v>
      </c>
      <c r="J25" s="15">
        <f>ROUND(G25/3685-1,2)</f>
        <v>0.53</v>
      </c>
    </row>
    <row r="26" spans="1:10" x14ac:dyDescent="0.25">
      <c r="A26" s="1" t="s">
        <v>16</v>
      </c>
      <c r="B26" s="1" t="s">
        <v>33</v>
      </c>
      <c r="C26" s="10"/>
      <c r="D26" s="10">
        <v>380</v>
      </c>
      <c r="E26" s="10">
        <v>311</v>
      </c>
      <c r="F26" s="10"/>
      <c r="G26" s="10">
        <f t="shared" si="0"/>
        <v>691</v>
      </c>
      <c r="H26" s="16">
        <f t="shared" si="1"/>
        <v>0.09</v>
      </c>
      <c r="I26" s="15">
        <f t="shared" si="2"/>
        <v>0</v>
      </c>
      <c r="J26" s="15">
        <f>ROUND(G26/718-1,2)</f>
        <v>-0.04</v>
      </c>
    </row>
    <row r="27" spans="1:10" x14ac:dyDescent="0.25">
      <c r="A27" s="1" t="s">
        <v>16</v>
      </c>
      <c r="B27" s="1" t="s">
        <v>35</v>
      </c>
      <c r="C27" s="10"/>
      <c r="D27" s="10">
        <v>250</v>
      </c>
      <c r="E27" s="10">
        <v>210</v>
      </c>
      <c r="F27" s="10"/>
      <c r="G27" s="10">
        <f t="shared" si="0"/>
        <v>460</v>
      </c>
      <c r="H27" s="16">
        <f t="shared" si="1"/>
        <v>0.06</v>
      </c>
      <c r="I27" s="15">
        <f t="shared" si="2"/>
        <v>0</v>
      </c>
      <c r="J27" s="15">
        <f>ROUND(G27/1445-1,2)</f>
        <v>-0.68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2220</v>
      </c>
      <c r="F28" s="10"/>
      <c r="G28" s="10">
        <f t="shared" si="0"/>
        <v>2220</v>
      </c>
      <c r="H28" s="16">
        <f t="shared" si="1"/>
        <v>0.28000000000000003</v>
      </c>
      <c r="I28" s="15">
        <f t="shared" si="2"/>
        <v>1E-3</v>
      </c>
      <c r="J28" s="15">
        <f>ROUND(G28/380-1,2)</f>
        <v>4.84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5621</v>
      </c>
      <c r="F29" s="10"/>
      <c r="G29" s="10">
        <f t="shared" si="0"/>
        <v>5621</v>
      </c>
      <c r="H29" s="16">
        <f t="shared" si="1"/>
        <v>0.71</v>
      </c>
      <c r="I29" s="15">
        <f t="shared" si="2"/>
        <v>2E-3</v>
      </c>
      <c r="J29" s="15">
        <f>ROUND(G29/17884-1,2)</f>
        <v>-0.69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11680</v>
      </c>
      <c r="F30" s="10"/>
      <c r="G30" s="10">
        <f t="shared" si="0"/>
        <v>11680</v>
      </c>
      <c r="H30" s="16">
        <f t="shared" si="1"/>
        <v>1.47</v>
      </c>
      <c r="I30" s="15">
        <f t="shared" si="2"/>
        <v>4.0000000000000001E-3</v>
      </c>
      <c r="J30" s="15">
        <f>ROUND(G30/10830-1,2)</f>
        <v>0.08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181800</v>
      </c>
      <c r="F31" s="10"/>
      <c r="G31" s="10">
        <f t="shared" si="0"/>
        <v>181800</v>
      </c>
      <c r="H31" s="16">
        <f t="shared" si="1"/>
        <v>22.95</v>
      </c>
      <c r="I31" s="15">
        <f t="shared" si="2"/>
        <v>5.5E-2</v>
      </c>
      <c r="J31" s="15">
        <f>ROUND(G31/138065-1,2)</f>
        <v>0.32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52960</v>
      </c>
      <c r="F32" s="10"/>
      <c r="G32" s="10">
        <f t="shared" si="0"/>
        <v>52960</v>
      </c>
      <c r="H32" s="16">
        <f t="shared" si="1"/>
        <v>6.68</v>
      </c>
      <c r="I32" s="15">
        <f t="shared" si="2"/>
        <v>1.6E-2</v>
      </c>
      <c r="J32" s="15">
        <f>ROUND(G32/43680-1,2)</f>
        <v>0.21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373230</v>
      </c>
      <c r="F33" s="10"/>
      <c r="G33" s="10">
        <f t="shared" si="0"/>
        <v>373230</v>
      </c>
      <c r="H33" s="16">
        <f t="shared" si="1"/>
        <v>47.11</v>
      </c>
      <c r="I33" s="15">
        <f t="shared" si="2"/>
        <v>0.113</v>
      </c>
      <c r="J33" s="15">
        <f>ROUND(G33/309520-1,2)</f>
        <v>0.21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ROUND(G34/6653-1,2)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ROUND(G35/405-1,2)</f>
        <v>-1</v>
      </c>
    </row>
    <row r="36" spans="1:10" x14ac:dyDescent="0.25">
      <c r="A36" s="1" t="s">
        <v>44</v>
      </c>
      <c r="B36" s="1" t="s">
        <v>45</v>
      </c>
      <c r="C36" s="10">
        <v>761090</v>
      </c>
      <c r="D36" s="10"/>
      <c r="E36" s="10"/>
      <c r="F36" s="10"/>
      <c r="G36" s="10">
        <f t="shared" si="0"/>
        <v>761090</v>
      </c>
      <c r="H36" s="16">
        <f t="shared" si="1"/>
        <v>96.06</v>
      </c>
      <c r="I36" s="15">
        <f t="shared" si="2"/>
        <v>0.23100000000000001</v>
      </c>
      <c r="J36" s="15">
        <f>ROUND(G36/723140-1,2)</f>
        <v>0.05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105530</v>
      </c>
      <c r="G37" s="10">
        <f t="shared" si="0"/>
        <v>105530</v>
      </c>
      <c r="H37" s="16">
        <f t="shared" si="1"/>
        <v>13.32</v>
      </c>
      <c r="I37" s="15">
        <f t="shared" si="2"/>
        <v>3.2000000000000001E-2</v>
      </c>
      <c r="J37" s="15">
        <f>ROUND(G37/78800-1,2)</f>
        <v>0.34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125220</v>
      </c>
      <c r="F38" s="10"/>
      <c r="G38" s="10">
        <f t="shared" si="0"/>
        <v>125220</v>
      </c>
      <c r="H38" s="16">
        <f t="shared" si="1"/>
        <v>15.8</v>
      </c>
      <c r="I38" s="15">
        <f t="shared" si="2"/>
        <v>3.7999999999999999E-2</v>
      </c>
      <c r="J38" s="15">
        <f>ROUND(G38/129120-1,2)</f>
        <v>-0.03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ROUND(G40/125-1,2)</f>
        <v>-1</v>
      </c>
    </row>
    <row r="41" spans="1:10" x14ac:dyDescent="0.25">
      <c r="A41" s="25" t="s">
        <v>12</v>
      </c>
      <c r="B41" s="25"/>
      <c r="C41" s="11">
        <f t="shared" ref="C41:H41" si="3">SUM(C8:C40)</f>
        <v>2225100</v>
      </c>
      <c r="D41" s="11">
        <f t="shared" si="3"/>
        <v>630</v>
      </c>
      <c r="E41" s="11">
        <f t="shared" si="3"/>
        <v>965207</v>
      </c>
      <c r="F41" s="11">
        <f t="shared" si="3"/>
        <v>107170</v>
      </c>
      <c r="G41" s="11">
        <f t="shared" si="3"/>
        <v>3298107</v>
      </c>
      <c r="H41" s="14">
        <f t="shared" si="3"/>
        <v>416.27000000000004</v>
      </c>
      <c r="I41" s="17"/>
      <c r="J41" s="17"/>
    </row>
    <row r="42" spans="1:10" x14ac:dyDescent="0.25">
      <c r="A42" s="25" t="s">
        <v>14</v>
      </c>
      <c r="B42" s="25"/>
      <c r="C42" s="12">
        <f>ROUND(C41/G41,2)</f>
        <v>0.67</v>
      </c>
      <c r="D42" s="12">
        <f>ROUND(D41/G41,2)</f>
        <v>0</v>
      </c>
      <c r="E42" s="12">
        <f>ROUND(E41/G41,2)</f>
        <v>0.28999999999999998</v>
      </c>
      <c r="F42" s="12">
        <f>ROUND(F41/G41,2)</f>
        <v>0.03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5" t="s">
        <v>53</v>
      </c>
      <c r="B47" s="25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0" t="s">
        <v>54</v>
      </c>
      <c r="B48" s="20"/>
      <c r="C48" s="10">
        <v>1464010</v>
      </c>
      <c r="D48" s="10">
        <v>630</v>
      </c>
      <c r="E48" s="10">
        <v>839987</v>
      </c>
      <c r="F48" s="10">
        <v>1640</v>
      </c>
      <c r="G48" s="10">
        <f>SUM(C48:F48)</f>
        <v>2306267</v>
      </c>
      <c r="H48" s="16">
        <f>ROUND(G48/7923,2)</f>
        <v>291.08999999999997</v>
      </c>
      <c r="I48" s="9"/>
      <c r="J48" s="9"/>
    </row>
    <row r="49" spans="1:10" x14ac:dyDescent="0.25">
      <c r="A49" s="20" t="s">
        <v>55</v>
      </c>
      <c r="B49" s="20"/>
      <c r="C49" s="10">
        <v>761090</v>
      </c>
      <c r="D49" s="10">
        <v>0</v>
      </c>
      <c r="E49" s="10">
        <v>125220</v>
      </c>
      <c r="F49" s="10">
        <v>105530</v>
      </c>
      <c r="G49" s="10">
        <f>SUM(C49:F49)</f>
        <v>991840</v>
      </c>
      <c r="H49" s="16">
        <f>ROUND(G49/7923,2)</f>
        <v>125.18</v>
      </c>
      <c r="I49" s="9"/>
      <c r="J49" s="9"/>
    </row>
    <row r="50" spans="1:10" x14ac:dyDescent="0.25">
      <c r="A50" s="20" t="s">
        <v>56</v>
      </c>
      <c r="B50" s="20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ROUND(G50/7923,2)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57</v>
      </c>
      <c r="B55" s="25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0" t="s">
        <v>58</v>
      </c>
      <c r="B56" s="20"/>
      <c r="C56" s="15">
        <f>ROUND(0.7544, 4)</f>
        <v>0.75439999999999996</v>
      </c>
      <c r="D56" s="15">
        <f>ROUND(0.7471, 4)</f>
        <v>0.74709999999999999</v>
      </c>
      <c r="E56" s="15">
        <f>ROUND(0.777, 4)</f>
        <v>0.77700000000000002</v>
      </c>
      <c r="F56" s="8"/>
      <c r="G56" s="14" t="s">
        <v>62</v>
      </c>
      <c r="H56" s="26" t="s">
        <v>63</v>
      </c>
      <c r="I56" s="23" t="s">
        <v>64</v>
      </c>
      <c r="J56" s="23" t="s">
        <v>65</v>
      </c>
    </row>
    <row r="57" spans="1:10" x14ac:dyDescent="0.25">
      <c r="A57" s="20" t="s">
        <v>66</v>
      </c>
      <c r="B57" s="20"/>
      <c r="C57" s="15">
        <f>ROUND(0.7448, 4)</f>
        <v>0.74480000000000002</v>
      </c>
      <c r="D57" s="15">
        <f>ROUND(0.7373, 4)</f>
        <v>0.73729999999999996</v>
      </c>
      <c r="E57" s="15">
        <f>ROUND(0.7608, 4)</f>
        <v>0.76080000000000003</v>
      </c>
      <c r="F57" s="8"/>
      <c r="G57" s="14" t="s">
        <v>67</v>
      </c>
      <c r="H57" s="27"/>
      <c r="I57" s="24"/>
      <c r="J57" s="24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5" t="s">
        <v>68</v>
      </c>
      <c r="B61" s="25"/>
      <c r="C61" s="14" t="s">
        <v>2</v>
      </c>
      <c r="D61" s="14" t="s">
        <v>296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0" t="s">
        <v>73</v>
      </c>
      <c r="B62" s="20"/>
      <c r="C62" s="16">
        <v>96.06</v>
      </c>
      <c r="D62" s="16">
        <v>103.47</v>
      </c>
      <c r="E62" s="16">
        <v>91.13</v>
      </c>
      <c r="F62" s="16">
        <v>54.95</v>
      </c>
      <c r="G62" s="16">
        <f>12/10*C62</f>
        <v>115.27199999999999</v>
      </c>
      <c r="H62" s="8"/>
      <c r="I62" s="9"/>
      <c r="J62" s="9"/>
    </row>
    <row r="63" spans="1:10" x14ac:dyDescent="0.25">
      <c r="A63" s="20" t="s">
        <v>74</v>
      </c>
      <c r="B63" s="20"/>
      <c r="C63" s="16">
        <v>72.08</v>
      </c>
      <c r="D63" s="16">
        <v>85.21</v>
      </c>
      <c r="E63" s="16">
        <v>61.18</v>
      </c>
      <c r="F63" s="16">
        <v>62.89</v>
      </c>
      <c r="G63" s="16">
        <f>12/10*C63</f>
        <v>86.495999999999995</v>
      </c>
      <c r="H63" s="8"/>
      <c r="I63" s="9"/>
      <c r="J63" s="9"/>
    </row>
    <row r="64" spans="1:10" x14ac:dyDescent="0.25">
      <c r="A64" s="20" t="s">
        <v>75</v>
      </c>
      <c r="B64" s="20"/>
      <c r="C64" s="16">
        <v>291.08999999999997</v>
      </c>
      <c r="D64" s="16">
        <v>327.84</v>
      </c>
      <c r="E64" s="16">
        <v>287.25</v>
      </c>
      <c r="F64" s="16">
        <v>278.91000000000003</v>
      </c>
      <c r="G64" s="16">
        <f>12/10*C64</f>
        <v>349.30799999999994</v>
      </c>
      <c r="H64" s="8"/>
      <c r="I64" s="9"/>
      <c r="J64" s="9"/>
    </row>
    <row r="65" spans="1:10" x14ac:dyDescent="0.25">
      <c r="A65" s="20" t="s">
        <v>76</v>
      </c>
      <c r="B65" s="20"/>
      <c r="C65" s="16">
        <v>125.18</v>
      </c>
      <c r="D65" s="16">
        <v>133.15</v>
      </c>
      <c r="E65" s="16">
        <v>114.69</v>
      </c>
      <c r="F65" s="16">
        <v>78.319999999999993</v>
      </c>
      <c r="G65" s="16">
        <f>12/10*C65</f>
        <v>150.21600000000001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1" t="s">
        <v>60</v>
      </c>
      <c r="B68" s="22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297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  <row r="80" spans="1:10" x14ac:dyDescent="0.25">
      <c r="C80" s="8"/>
      <c r="D80" s="8"/>
      <c r="E80" s="8"/>
      <c r="F80" s="8"/>
      <c r="G80" s="8"/>
      <c r="H80" s="8"/>
      <c r="I80" s="9"/>
      <c r="J80" s="9"/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J80"/>
  <sheetViews>
    <sheetView workbookViewId="0">
      <selection activeCell="A5" sqref="A5"/>
    </sheetView>
  </sheetViews>
  <sheetFormatPr defaultRowHeight="15" x14ac:dyDescent="0.25"/>
  <cols>
    <col min="1" max="1" width="28.42578125" bestFit="1" customWidth="1"/>
    <col min="2" max="2" width="61.42578125" bestFit="1" customWidth="1"/>
    <col min="3" max="3" width="14.5703125" customWidth="1"/>
    <col min="4" max="4" width="38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356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5682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178</v>
      </c>
      <c r="F9" s="10"/>
      <c r="G9" s="10">
        <f t="shared" ref="G9:G48" si="0">SUM(C9:F9)</f>
        <v>178</v>
      </c>
      <c r="H9" s="16">
        <f t="shared" ref="H9:H48" si="1">ROUND(G9/5682,2)</f>
        <v>0.03</v>
      </c>
      <c r="I9" s="15">
        <f t="shared" ref="I9:I48" si="2">ROUND(G9/$G$49,3)</f>
        <v>0</v>
      </c>
      <c r="J9" s="15">
        <f>ROUND(G9/117-1,2)</f>
        <v>0.52</v>
      </c>
    </row>
    <row r="10" spans="1:10" x14ac:dyDescent="0.25">
      <c r="A10" s="1" t="s">
        <v>16</v>
      </c>
      <c r="B10" s="1" t="s">
        <v>172</v>
      </c>
      <c r="C10" s="10"/>
      <c r="D10" s="10"/>
      <c r="E10" s="10">
        <v>200</v>
      </c>
      <c r="F10" s="10"/>
      <c r="G10" s="10">
        <f t="shared" si="0"/>
        <v>200</v>
      </c>
      <c r="H10" s="16">
        <f t="shared" si="1"/>
        <v>0.04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18</v>
      </c>
      <c r="C11" s="10">
        <v>39090</v>
      </c>
      <c r="D11" s="10"/>
      <c r="E11" s="10"/>
      <c r="F11" s="10"/>
      <c r="G11" s="10">
        <f t="shared" si="0"/>
        <v>39090</v>
      </c>
      <c r="H11" s="16">
        <f t="shared" si="1"/>
        <v>6.88</v>
      </c>
      <c r="I11" s="15">
        <f t="shared" si="2"/>
        <v>2.1000000000000001E-2</v>
      </c>
      <c r="J11" s="15">
        <f>ROUND(G11/44840-1,2)</f>
        <v>-0.13</v>
      </c>
    </row>
    <row r="12" spans="1:10" x14ac:dyDescent="0.25">
      <c r="A12" s="1" t="s">
        <v>16</v>
      </c>
      <c r="B12" s="1" t="s">
        <v>90</v>
      </c>
      <c r="C12" s="10">
        <v>700</v>
      </c>
      <c r="D12" s="10"/>
      <c r="E12" s="10"/>
      <c r="F12" s="10"/>
      <c r="G12" s="10">
        <f t="shared" si="0"/>
        <v>700</v>
      </c>
      <c r="H12" s="16">
        <f t="shared" si="1"/>
        <v>0.12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19</v>
      </c>
      <c r="C13" s="10">
        <v>127560</v>
      </c>
      <c r="D13" s="10"/>
      <c r="E13" s="10"/>
      <c r="F13" s="10"/>
      <c r="G13" s="10">
        <f t="shared" si="0"/>
        <v>127560</v>
      </c>
      <c r="H13" s="16">
        <f t="shared" si="1"/>
        <v>22.45</v>
      </c>
      <c r="I13" s="15">
        <f t="shared" si="2"/>
        <v>7.0000000000000007E-2</v>
      </c>
      <c r="J13" s="15">
        <f>ROUND(G13/121280-1,2)</f>
        <v>0.05</v>
      </c>
    </row>
    <row r="14" spans="1:10" x14ac:dyDescent="0.25">
      <c r="A14" s="1" t="s">
        <v>16</v>
      </c>
      <c r="B14" s="1" t="s">
        <v>20</v>
      </c>
      <c r="C14" s="10">
        <v>137610</v>
      </c>
      <c r="D14" s="10"/>
      <c r="E14" s="10"/>
      <c r="F14" s="10"/>
      <c r="G14" s="10">
        <f t="shared" si="0"/>
        <v>137610</v>
      </c>
      <c r="H14" s="16">
        <f t="shared" si="1"/>
        <v>24.22</v>
      </c>
      <c r="I14" s="15">
        <f t="shared" si="2"/>
        <v>7.4999999999999997E-2</v>
      </c>
      <c r="J14" s="15">
        <f>ROUND(G14/146140-1,2)</f>
        <v>-0.06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306</v>
      </c>
      <c r="F15" s="10"/>
      <c r="G15" s="10">
        <f t="shared" si="0"/>
        <v>306</v>
      </c>
      <c r="H15" s="16">
        <f t="shared" si="1"/>
        <v>0.05</v>
      </c>
      <c r="I15" s="15">
        <f t="shared" si="2"/>
        <v>0</v>
      </c>
      <c r="J15" s="15">
        <f>ROUND(G15/224-1,2)</f>
        <v>0.37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434</v>
      </c>
      <c r="F16" s="10"/>
      <c r="G16" s="10">
        <f t="shared" si="0"/>
        <v>434</v>
      </c>
      <c r="H16" s="16">
        <f t="shared" si="1"/>
        <v>0.08</v>
      </c>
      <c r="I16" s="15">
        <f t="shared" si="2"/>
        <v>0</v>
      </c>
      <c r="J16" s="15">
        <f>ROUND(G16/395-1,2)</f>
        <v>0.1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3130</v>
      </c>
      <c r="F17" s="10"/>
      <c r="G17" s="10">
        <f t="shared" si="0"/>
        <v>3130</v>
      </c>
      <c r="H17" s="16">
        <f t="shared" si="1"/>
        <v>0.55000000000000004</v>
      </c>
      <c r="I17" s="15">
        <f t="shared" si="2"/>
        <v>2E-3</v>
      </c>
      <c r="J17" s="15">
        <f>ROUND(G17/2200-1,2)</f>
        <v>0.42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1780</v>
      </c>
      <c r="G18" s="10">
        <f t="shared" si="0"/>
        <v>1780</v>
      </c>
      <c r="H18" s="16">
        <f t="shared" si="1"/>
        <v>0.31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78320</v>
      </c>
      <c r="F19" s="10"/>
      <c r="G19" s="10">
        <f t="shared" si="0"/>
        <v>78320</v>
      </c>
      <c r="H19" s="16">
        <f t="shared" si="1"/>
        <v>13.78</v>
      </c>
      <c r="I19" s="15">
        <f t="shared" si="2"/>
        <v>4.2999999999999997E-2</v>
      </c>
      <c r="J19" s="15">
        <f>ROUND(G19/82640-1,2)</f>
        <v>-0.05</v>
      </c>
    </row>
    <row r="20" spans="1:10" x14ac:dyDescent="0.25">
      <c r="A20" s="1" t="s">
        <v>16</v>
      </c>
      <c r="B20" s="1" t="s">
        <v>24</v>
      </c>
      <c r="C20" s="10">
        <v>197880</v>
      </c>
      <c r="D20" s="10"/>
      <c r="E20" s="10"/>
      <c r="F20" s="10"/>
      <c r="G20" s="10">
        <f t="shared" si="0"/>
        <v>197880</v>
      </c>
      <c r="H20" s="16">
        <f t="shared" si="1"/>
        <v>34.83</v>
      </c>
      <c r="I20" s="15">
        <f t="shared" si="2"/>
        <v>0.108</v>
      </c>
      <c r="J20" s="15">
        <f>ROUND(G20/189180-1,2)</f>
        <v>0.05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15280</v>
      </c>
      <c r="F21" s="10"/>
      <c r="G21" s="10">
        <f t="shared" si="0"/>
        <v>15280</v>
      </c>
      <c r="H21" s="16">
        <f t="shared" si="1"/>
        <v>2.69</v>
      </c>
      <c r="I21" s="15">
        <f t="shared" si="2"/>
        <v>8.0000000000000002E-3</v>
      </c>
      <c r="J21" s="15">
        <f>ROUND(G21/16225-1,2)</f>
        <v>-0.06</v>
      </c>
    </row>
    <row r="22" spans="1:10" x14ac:dyDescent="0.25">
      <c r="A22" s="1" t="s">
        <v>16</v>
      </c>
      <c r="B22" s="1" t="s">
        <v>26</v>
      </c>
      <c r="C22" s="10">
        <v>205695</v>
      </c>
      <c r="D22" s="10"/>
      <c r="E22" s="10"/>
      <c r="F22" s="10">
        <v>7175</v>
      </c>
      <c r="G22" s="10">
        <f t="shared" si="0"/>
        <v>212870</v>
      </c>
      <c r="H22" s="16">
        <f t="shared" si="1"/>
        <v>37.46</v>
      </c>
      <c r="I22" s="15">
        <f t="shared" si="2"/>
        <v>0.11600000000000001</v>
      </c>
      <c r="J22" s="15">
        <f>ROUND(G22/211320-1,2)</f>
        <v>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1896</v>
      </c>
      <c r="F23" s="10"/>
      <c r="G23" s="10">
        <f t="shared" si="0"/>
        <v>1896</v>
      </c>
      <c r="H23" s="16">
        <f t="shared" si="1"/>
        <v>0.33</v>
      </c>
      <c r="I23" s="15">
        <f t="shared" si="2"/>
        <v>1E-3</v>
      </c>
      <c r="J23" s="15">
        <f>ROUND(G23/1308-1,2)</f>
        <v>0.45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1105</v>
      </c>
      <c r="F24" s="10"/>
      <c r="G24" s="10">
        <f t="shared" si="0"/>
        <v>1105</v>
      </c>
      <c r="H24" s="16">
        <f t="shared" si="1"/>
        <v>0.19</v>
      </c>
      <c r="I24" s="15">
        <f t="shared" si="2"/>
        <v>1E-3</v>
      </c>
      <c r="J24" s="15">
        <f>ROUND(G24/934-1,2)</f>
        <v>0.18</v>
      </c>
    </row>
    <row r="25" spans="1:10" x14ac:dyDescent="0.25">
      <c r="A25" s="1" t="s">
        <v>16</v>
      </c>
      <c r="B25" s="1" t="s">
        <v>29</v>
      </c>
      <c r="C25" s="10"/>
      <c r="D25" s="10"/>
      <c r="E25" s="10">
        <v>5050</v>
      </c>
      <c r="F25" s="10"/>
      <c r="G25" s="10">
        <f t="shared" si="0"/>
        <v>5050</v>
      </c>
      <c r="H25" s="16">
        <f t="shared" si="1"/>
        <v>0.89</v>
      </c>
      <c r="I25" s="15">
        <f t="shared" si="2"/>
        <v>3.0000000000000001E-3</v>
      </c>
      <c r="J25" s="15">
        <f>ROUND(G25/9320-1,2)</f>
        <v>-0.46</v>
      </c>
    </row>
    <row r="26" spans="1:10" x14ac:dyDescent="0.25">
      <c r="A26" s="1" t="s">
        <v>16</v>
      </c>
      <c r="B26" s="1" t="s">
        <v>30</v>
      </c>
      <c r="C26" s="10"/>
      <c r="D26" s="10"/>
      <c r="E26" s="10">
        <v>3950</v>
      </c>
      <c r="F26" s="10"/>
      <c r="G26" s="10">
        <f t="shared" si="0"/>
        <v>3950</v>
      </c>
      <c r="H26" s="16">
        <f t="shared" si="1"/>
        <v>0.7</v>
      </c>
      <c r="I26" s="15">
        <f t="shared" si="2"/>
        <v>2E-3</v>
      </c>
      <c r="J26" s="15">
        <f>ROUND(G26/3910-1,2)</f>
        <v>0.01</v>
      </c>
    </row>
    <row r="27" spans="1:10" x14ac:dyDescent="0.25">
      <c r="A27" s="1" t="s">
        <v>16</v>
      </c>
      <c r="B27" s="1" t="s">
        <v>31</v>
      </c>
      <c r="C27" s="10"/>
      <c r="D27" s="10"/>
      <c r="E27" s="10">
        <v>1750</v>
      </c>
      <c r="F27" s="10"/>
      <c r="G27" s="10">
        <f t="shared" si="0"/>
        <v>1750</v>
      </c>
      <c r="H27" s="16">
        <f t="shared" si="1"/>
        <v>0.31</v>
      </c>
      <c r="I27" s="15">
        <f t="shared" si="2"/>
        <v>1E-3</v>
      </c>
      <c r="J27" s="15">
        <f>ROUND(G27/1650-1,2)</f>
        <v>0.06</v>
      </c>
    </row>
    <row r="28" spans="1:10" x14ac:dyDescent="0.25">
      <c r="A28" s="1" t="s">
        <v>16</v>
      </c>
      <c r="B28" s="1" t="s">
        <v>32</v>
      </c>
      <c r="C28" s="10"/>
      <c r="D28" s="10"/>
      <c r="E28" s="10">
        <v>3060</v>
      </c>
      <c r="F28" s="10"/>
      <c r="G28" s="10">
        <f t="shared" si="0"/>
        <v>3060</v>
      </c>
      <c r="H28" s="16">
        <f t="shared" si="1"/>
        <v>0.54</v>
      </c>
      <c r="I28" s="15">
        <f t="shared" si="2"/>
        <v>2E-3</v>
      </c>
      <c r="J28" s="15">
        <f>ROUND(G28/2780-1,2)</f>
        <v>0.1</v>
      </c>
    </row>
    <row r="29" spans="1:10" x14ac:dyDescent="0.25">
      <c r="A29" s="1" t="s">
        <v>16</v>
      </c>
      <c r="B29" s="1" t="s">
        <v>33</v>
      </c>
      <c r="C29" s="10"/>
      <c r="D29" s="10">
        <v>106</v>
      </c>
      <c r="E29" s="10">
        <v>93</v>
      </c>
      <c r="F29" s="10"/>
      <c r="G29" s="10">
        <f t="shared" si="0"/>
        <v>199</v>
      </c>
      <c r="H29" s="16">
        <f t="shared" si="1"/>
        <v>0.04</v>
      </c>
      <c r="I29" s="15">
        <f t="shared" si="2"/>
        <v>0</v>
      </c>
      <c r="J29" s="15">
        <f>ROUND(G29/165-1,2)</f>
        <v>0.21</v>
      </c>
    </row>
    <row r="30" spans="1:10" x14ac:dyDescent="0.25">
      <c r="A30" s="1" t="s">
        <v>16</v>
      </c>
      <c r="B30" s="1" t="s">
        <v>34</v>
      </c>
      <c r="C30" s="10"/>
      <c r="D30" s="10"/>
      <c r="E30" s="10">
        <v>3100</v>
      </c>
      <c r="F30" s="10"/>
      <c r="G30" s="10">
        <f t="shared" si="0"/>
        <v>3100</v>
      </c>
      <c r="H30" s="16">
        <f t="shared" si="1"/>
        <v>0.55000000000000004</v>
      </c>
      <c r="I30" s="15">
        <f t="shared" si="2"/>
        <v>2E-3</v>
      </c>
      <c r="J30" s="15">
        <f>ROUND(G30/3280-1,2)</f>
        <v>-0.05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570</v>
      </c>
      <c r="F31" s="10"/>
      <c r="G31" s="10">
        <f t="shared" si="0"/>
        <v>570</v>
      </c>
      <c r="H31" s="16">
        <f t="shared" si="1"/>
        <v>0.1</v>
      </c>
      <c r="I31" s="15">
        <f t="shared" si="2"/>
        <v>0</v>
      </c>
      <c r="J31" s="15">
        <f>ROUND(G31/320-1,2)</f>
        <v>0.78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7720</v>
      </c>
      <c r="F32" s="10"/>
      <c r="G32" s="10">
        <f t="shared" si="0"/>
        <v>7720</v>
      </c>
      <c r="H32" s="16">
        <f t="shared" si="1"/>
        <v>1.36</v>
      </c>
      <c r="I32" s="15">
        <f t="shared" si="2"/>
        <v>4.0000000000000001E-3</v>
      </c>
      <c r="J32" s="15">
        <f>ROUND(G32/10720-1,2)</f>
        <v>-0.28000000000000003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11194</v>
      </c>
      <c r="F33" s="10"/>
      <c r="G33" s="10">
        <f t="shared" si="0"/>
        <v>11194</v>
      </c>
      <c r="H33" s="16">
        <f t="shared" si="1"/>
        <v>1.97</v>
      </c>
      <c r="I33" s="15">
        <f t="shared" si="2"/>
        <v>6.0000000000000001E-3</v>
      </c>
      <c r="J33" s="15">
        <f>ROUND(G33/14743-1,2)</f>
        <v>-0.24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166450</v>
      </c>
      <c r="F34" s="10"/>
      <c r="G34" s="10">
        <f t="shared" si="0"/>
        <v>166450</v>
      </c>
      <c r="H34" s="16">
        <f t="shared" si="1"/>
        <v>29.29</v>
      </c>
      <c r="I34" s="15">
        <f t="shared" si="2"/>
        <v>9.0999999999999998E-2</v>
      </c>
      <c r="J34" s="15">
        <f>ROUND(G34/138270-1,2)</f>
        <v>0.2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11010</v>
      </c>
      <c r="F35" s="10"/>
      <c r="G35" s="10">
        <f t="shared" si="0"/>
        <v>11010</v>
      </c>
      <c r="H35" s="16">
        <f t="shared" si="1"/>
        <v>1.94</v>
      </c>
      <c r="I35" s="15">
        <f t="shared" si="2"/>
        <v>6.0000000000000001E-3</v>
      </c>
      <c r="J35" s="15">
        <f>ROUND(G35/9440-1,2)</f>
        <v>0.17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50340</v>
      </c>
      <c r="F36" s="10"/>
      <c r="G36" s="10">
        <f t="shared" si="0"/>
        <v>50340</v>
      </c>
      <c r="H36" s="16">
        <f t="shared" si="1"/>
        <v>8.86</v>
      </c>
      <c r="I36" s="15">
        <f t="shared" si="2"/>
        <v>2.8000000000000001E-2</v>
      </c>
      <c r="J36" s="15">
        <f>ROUND(G36/57360-1,2)</f>
        <v>-0.12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130140</v>
      </c>
      <c r="F37" s="10"/>
      <c r="G37" s="10">
        <f t="shared" si="0"/>
        <v>130140</v>
      </c>
      <c r="H37" s="16">
        <f t="shared" si="1"/>
        <v>22.9</v>
      </c>
      <c r="I37" s="15">
        <f t="shared" si="2"/>
        <v>7.0999999999999994E-2</v>
      </c>
      <c r="J37" s="15">
        <f>ROUND(G37/75500-1,2)</f>
        <v>0.72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ROUND(G38/394-1,2)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ROUND(G39/3360-1,2)</f>
        <v>-1</v>
      </c>
    </row>
    <row r="40" spans="1:10" x14ac:dyDescent="0.25">
      <c r="A40" s="1" t="s">
        <v>16</v>
      </c>
      <c r="B40" s="1" t="s">
        <v>262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16</v>
      </c>
      <c r="B41" s="1" t="s">
        <v>129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44</v>
      </c>
      <c r="B42" s="1" t="s">
        <v>45</v>
      </c>
      <c r="C42" s="10">
        <v>477980</v>
      </c>
      <c r="D42" s="10">
        <v>16500</v>
      </c>
      <c r="E42" s="10"/>
      <c r="F42" s="10">
        <v>7060</v>
      </c>
      <c r="G42" s="10">
        <f t="shared" si="0"/>
        <v>501540</v>
      </c>
      <c r="H42" s="16">
        <f t="shared" si="1"/>
        <v>88.27</v>
      </c>
      <c r="I42" s="15">
        <f t="shared" si="2"/>
        <v>0.27400000000000002</v>
      </c>
      <c r="J42" s="15">
        <f>ROUND(G42/483860-1,2)</f>
        <v>0.04</v>
      </c>
    </row>
    <row r="43" spans="1:10" x14ac:dyDescent="0.25">
      <c r="A43" s="1" t="s">
        <v>44</v>
      </c>
      <c r="B43" s="1" t="s">
        <v>47</v>
      </c>
      <c r="C43" s="10"/>
      <c r="D43" s="10"/>
      <c r="E43" s="10"/>
      <c r="F43" s="10">
        <v>13560</v>
      </c>
      <c r="G43" s="10">
        <f t="shared" si="0"/>
        <v>13560</v>
      </c>
      <c r="H43" s="16">
        <f t="shared" si="1"/>
        <v>2.39</v>
      </c>
      <c r="I43" s="15">
        <f t="shared" si="2"/>
        <v>7.0000000000000001E-3</v>
      </c>
      <c r="J43" s="15">
        <f>ROUND(G43/3140-1,2)</f>
        <v>3.32</v>
      </c>
    </row>
    <row r="44" spans="1:10" x14ac:dyDescent="0.25">
      <c r="A44" s="1" t="s">
        <v>44</v>
      </c>
      <c r="B44" s="1" t="s">
        <v>46</v>
      </c>
      <c r="C44" s="10"/>
      <c r="D44" s="10"/>
      <c r="E44" s="10">
        <v>100990</v>
      </c>
      <c r="F44" s="10"/>
      <c r="G44" s="10">
        <f t="shared" si="0"/>
        <v>100990</v>
      </c>
      <c r="H44" s="16">
        <f t="shared" si="1"/>
        <v>17.77</v>
      </c>
      <c r="I44" s="15">
        <f t="shared" si="2"/>
        <v>5.5E-2</v>
      </c>
      <c r="J44" s="15">
        <f>ROUND(G44/77070-1,2)</f>
        <v>0.31</v>
      </c>
    </row>
    <row r="45" spans="1:10" x14ac:dyDescent="0.25">
      <c r="A45" s="1" t="s">
        <v>48</v>
      </c>
      <c r="B45" s="1" t="s">
        <v>51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86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/>
    </row>
    <row r="47" spans="1:10" x14ac:dyDescent="0.25">
      <c r="A47" s="1" t="s">
        <v>48</v>
      </c>
      <c r="B47" s="1" t="s">
        <v>50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1" t="s">
        <v>48</v>
      </c>
      <c r="B48" s="1" t="s">
        <v>49</v>
      </c>
      <c r="C48" s="10"/>
      <c r="D48" s="10"/>
      <c r="E48" s="10"/>
      <c r="F48" s="10"/>
      <c r="G48" s="10">
        <f t="shared" si="0"/>
        <v>0</v>
      </c>
      <c r="H48" s="16">
        <f t="shared" si="1"/>
        <v>0</v>
      </c>
      <c r="I48" s="15">
        <f t="shared" si="2"/>
        <v>0</v>
      </c>
      <c r="J48" s="15"/>
    </row>
    <row r="49" spans="1:10" x14ac:dyDescent="0.25">
      <c r="A49" s="25" t="s">
        <v>12</v>
      </c>
      <c r="B49" s="25"/>
      <c r="C49" s="11">
        <f t="shared" ref="C49:H49" si="3">SUM(C8:C48)</f>
        <v>1186515</v>
      </c>
      <c r="D49" s="11">
        <f t="shared" si="3"/>
        <v>16606</v>
      </c>
      <c r="E49" s="11">
        <f t="shared" si="3"/>
        <v>596266</v>
      </c>
      <c r="F49" s="11">
        <f t="shared" si="3"/>
        <v>29575</v>
      </c>
      <c r="G49" s="11">
        <f t="shared" si="3"/>
        <v>1828962</v>
      </c>
      <c r="H49" s="14">
        <f t="shared" si="3"/>
        <v>321.88999999999993</v>
      </c>
      <c r="I49" s="17"/>
      <c r="J49" s="17"/>
    </row>
    <row r="50" spans="1:10" x14ac:dyDescent="0.25">
      <c r="A50" s="25" t="s">
        <v>14</v>
      </c>
      <c r="B50" s="25"/>
      <c r="C50" s="12">
        <f>ROUND(C49/G49,2)</f>
        <v>0.65</v>
      </c>
      <c r="D50" s="12">
        <f>ROUND(D49/G49,2)</f>
        <v>0.01</v>
      </c>
      <c r="E50" s="12">
        <f>ROUND(E49/G49,2)</f>
        <v>0.33</v>
      </c>
      <c r="F50" s="12">
        <f>ROUND(F49/G49,2)</f>
        <v>0.02</v>
      </c>
      <c r="G50" s="13"/>
      <c r="H50" s="13"/>
      <c r="I50" s="17"/>
      <c r="J50" s="17"/>
    </row>
    <row r="51" spans="1:10" x14ac:dyDescent="0.25">
      <c r="A51" s="2" t="s">
        <v>52</v>
      </c>
      <c r="B51" s="2"/>
      <c r="C51" s="13"/>
      <c r="D51" s="13"/>
      <c r="E51" s="13"/>
      <c r="F51" s="13"/>
      <c r="G51" s="13"/>
      <c r="H51" s="13"/>
      <c r="I51" s="17"/>
      <c r="J51" s="17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5" t="s">
        <v>53</v>
      </c>
      <c r="B55" s="25"/>
      <c r="C55" s="11" t="s">
        <v>8</v>
      </c>
      <c r="D55" s="11" t="s">
        <v>9</v>
      </c>
      <c r="E55" s="11" t="s">
        <v>10</v>
      </c>
      <c r="F55" s="11" t="s">
        <v>11</v>
      </c>
      <c r="G55" s="11" t="s">
        <v>12</v>
      </c>
      <c r="H55" s="14" t="s">
        <v>13</v>
      </c>
      <c r="I55" s="17"/>
      <c r="J55" s="17"/>
    </row>
    <row r="56" spans="1:10" x14ac:dyDescent="0.25">
      <c r="A56" s="20" t="s">
        <v>54</v>
      </c>
      <c r="B56" s="20"/>
      <c r="C56" s="10">
        <v>708535</v>
      </c>
      <c r="D56" s="10">
        <v>106</v>
      </c>
      <c r="E56" s="10">
        <v>495276</v>
      </c>
      <c r="F56" s="10">
        <v>8955</v>
      </c>
      <c r="G56" s="10">
        <f>SUM(C56:F56)</f>
        <v>1212872</v>
      </c>
      <c r="H56" s="16">
        <f>ROUND(G56/5682,2)</f>
        <v>213.46</v>
      </c>
      <c r="I56" s="9"/>
      <c r="J56" s="9"/>
    </row>
    <row r="57" spans="1:10" x14ac:dyDescent="0.25">
      <c r="A57" s="20" t="s">
        <v>55</v>
      </c>
      <c r="B57" s="20"/>
      <c r="C57" s="10">
        <v>477980</v>
      </c>
      <c r="D57" s="10">
        <v>16500</v>
      </c>
      <c r="E57" s="10">
        <v>100990</v>
      </c>
      <c r="F57" s="10">
        <v>20620</v>
      </c>
      <c r="G57" s="10">
        <f>SUM(C57:F57)</f>
        <v>616090</v>
      </c>
      <c r="H57" s="16">
        <f>ROUND(G57/5682,2)</f>
        <v>108.43</v>
      </c>
      <c r="I57" s="9"/>
      <c r="J57" s="9"/>
    </row>
    <row r="58" spans="1:10" x14ac:dyDescent="0.25">
      <c r="A58" s="20" t="s">
        <v>56</v>
      </c>
      <c r="B58" s="20"/>
      <c r="C58" s="10">
        <v>0</v>
      </c>
      <c r="D58" s="10">
        <v>0</v>
      </c>
      <c r="E58" s="10">
        <v>0</v>
      </c>
      <c r="F58" s="10">
        <v>0</v>
      </c>
      <c r="G58" s="10">
        <f>SUM(C58:F58)</f>
        <v>0</v>
      </c>
      <c r="H58" s="16">
        <f>ROUND(G58/5682,2)</f>
        <v>0</v>
      </c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5" t="s">
        <v>57</v>
      </c>
      <c r="B63" s="25"/>
      <c r="C63" s="14" t="s">
        <v>2</v>
      </c>
      <c r="D63" s="14">
        <v>2023</v>
      </c>
      <c r="E63" s="14" t="s">
        <v>59</v>
      </c>
      <c r="F63" s="13"/>
      <c r="G63" s="14" t="s">
        <v>60</v>
      </c>
      <c r="H63" s="14" t="s">
        <v>2</v>
      </c>
      <c r="I63" s="12" t="s">
        <v>61</v>
      </c>
      <c r="J63" s="12" t="s">
        <v>59</v>
      </c>
    </row>
    <row r="64" spans="1:10" x14ac:dyDescent="0.25">
      <c r="A64" s="20" t="s">
        <v>58</v>
      </c>
      <c r="B64" s="20"/>
      <c r="C64" s="15">
        <f>ROUND(0.6599, 4)</f>
        <v>0.65990000000000004</v>
      </c>
      <c r="D64" s="15">
        <f>ROUND(0.6585, 4)</f>
        <v>0.65849999999999997</v>
      </c>
      <c r="E64" s="15">
        <f>ROUND(0.777, 4)</f>
        <v>0.77700000000000002</v>
      </c>
      <c r="F64" s="8"/>
      <c r="G64" s="14" t="s">
        <v>62</v>
      </c>
      <c r="H64" s="26" t="s">
        <v>63</v>
      </c>
      <c r="I64" s="23" t="s">
        <v>64</v>
      </c>
      <c r="J64" s="23" t="s">
        <v>65</v>
      </c>
    </row>
    <row r="65" spans="1:10" x14ac:dyDescent="0.25">
      <c r="A65" s="20" t="s">
        <v>66</v>
      </c>
      <c r="B65" s="20"/>
      <c r="C65" s="15">
        <f>ROUND(0.6507, 4)</f>
        <v>0.65069999999999995</v>
      </c>
      <c r="D65" s="15">
        <f>ROUND(0.6486, 4)</f>
        <v>0.64859999999999995</v>
      </c>
      <c r="E65" s="15">
        <f>ROUND(0.7608, 4)</f>
        <v>0.76080000000000003</v>
      </c>
      <c r="F65" s="8"/>
      <c r="G65" s="14" t="s">
        <v>67</v>
      </c>
      <c r="H65" s="27"/>
      <c r="I65" s="24"/>
      <c r="J65" s="24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5" t="s">
        <v>68</v>
      </c>
      <c r="B69" s="25"/>
      <c r="C69" s="14" t="s">
        <v>2</v>
      </c>
      <c r="D69" s="14" t="s">
        <v>298</v>
      </c>
      <c r="E69" s="14" t="s">
        <v>70</v>
      </c>
      <c r="F69" s="14" t="s">
        <v>71</v>
      </c>
      <c r="G69" s="14" t="s">
        <v>72</v>
      </c>
      <c r="H69" s="13"/>
      <c r="I69" s="17"/>
      <c r="J69" s="17"/>
    </row>
    <row r="70" spans="1:10" x14ac:dyDescent="0.25">
      <c r="A70" s="20" t="s">
        <v>73</v>
      </c>
      <c r="B70" s="20"/>
      <c r="C70" s="16">
        <v>88.27</v>
      </c>
      <c r="D70" s="16">
        <v>96.69</v>
      </c>
      <c r="E70" s="16">
        <v>91.13</v>
      </c>
      <c r="F70" s="16">
        <v>54.95</v>
      </c>
      <c r="G70" s="16">
        <f>12/10*C70</f>
        <v>105.92399999999999</v>
      </c>
      <c r="H70" s="8"/>
      <c r="I70" s="9"/>
      <c r="J70" s="9"/>
    </row>
    <row r="71" spans="1:10" x14ac:dyDescent="0.25">
      <c r="A71" s="20" t="s">
        <v>74</v>
      </c>
      <c r="B71" s="20"/>
      <c r="C71" s="16">
        <v>37.46</v>
      </c>
      <c r="D71" s="16">
        <v>44.38</v>
      </c>
      <c r="E71" s="16">
        <v>61.18</v>
      </c>
      <c r="F71" s="16">
        <v>62.89</v>
      </c>
      <c r="G71" s="16">
        <f>12/10*C71</f>
        <v>44.951999999999998</v>
      </c>
      <c r="H71" s="8"/>
      <c r="I71" s="9"/>
      <c r="J71" s="9"/>
    </row>
    <row r="72" spans="1:10" x14ac:dyDescent="0.25">
      <c r="A72" s="20" t="s">
        <v>75</v>
      </c>
      <c r="B72" s="20"/>
      <c r="C72" s="16">
        <v>213.46</v>
      </c>
      <c r="D72" s="16">
        <v>245.91</v>
      </c>
      <c r="E72" s="16">
        <v>287.25</v>
      </c>
      <c r="F72" s="16">
        <v>278.91000000000003</v>
      </c>
      <c r="G72" s="16">
        <f>12/10*C72</f>
        <v>256.15199999999999</v>
      </c>
      <c r="H72" s="8"/>
      <c r="I72" s="9"/>
      <c r="J72" s="9"/>
    </row>
    <row r="73" spans="1:10" x14ac:dyDescent="0.25">
      <c r="A73" s="20" t="s">
        <v>76</v>
      </c>
      <c r="B73" s="20"/>
      <c r="C73" s="16">
        <v>108.43</v>
      </c>
      <c r="D73" s="16">
        <v>113.39</v>
      </c>
      <c r="E73" s="16">
        <v>114.69</v>
      </c>
      <c r="F73" s="16">
        <v>78.319999999999993</v>
      </c>
      <c r="G73" s="16">
        <f>12/10*C73</f>
        <v>130.11600000000001</v>
      </c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21" t="s">
        <v>60</v>
      </c>
      <c r="B76" s="22"/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77</v>
      </c>
      <c r="B77" s="1" t="s">
        <v>299</v>
      </c>
      <c r="C77" s="8"/>
      <c r="D77" s="8"/>
      <c r="E77" s="8"/>
      <c r="F77" s="8"/>
      <c r="G77" s="8"/>
      <c r="H77" s="8"/>
      <c r="I77" s="9"/>
      <c r="J77" s="9"/>
    </row>
    <row r="78" spans="1:10" x14ac:dyDescent="0.25">
      <c r="A78" s="3" t="s">
        <v>70</v>
      </c>
      <c r="B78" s="1" t="s">
        <v>79</v>
      </c>
    </row>
    <row r="79" spans="1:10" x14ac:dyDescent="0.25">
      <c r="A79" s="3" t="s">
        <v>71</v>
      </c>
      <c r="B79" s="1" t="s">
        <v>80</v>
      </c>
    </row>
    <row r="80" spans="1:10" x14ac:dyDescent="0.25">
      <c r="A80" s="3" t="s">
        <v>72</v>
      </c>
      <c r="B80" s="1" t="s">
        <v>81</v>
      </c>
    </row>
  </sheetData>
  <mergeCells count="19">
    <mergeCell ref="C7:G7"/>
    <mergeCell ref="A49:B49"/>
    <mergeCell ref="A50:B50"/>
    <mergeCell ref="A55:B55"/>
    <mergeCell ref="A56:B56"/>
    <mergeCell ref="J64:J65"/>
    <mergeCell ref="A65:B65"/>
    <mergeCell ref="A69:B69"/>
    <mergeCell ref="A70:B70"/>
    <mergeCell ref="A57:B57"/>
    <mergeCell ref="A58:B58"/>
    <mergeCell ref="A63:B63"/>
    <mergeCell ref="A64:B64"/>
    <mergeCell ref="H64:H65"/>
    <mergeCell ref="A71:B71"/>
    <mergeCell ref="A72:B72"/>
    <mergeCell ref="A73:B73"/>
    <mergeCell ref="A76:B76"/>
    <mergeCell ref="I64:I6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71.140625" bestFit="1" customWidth="1"/>
    <col min="3" max="3" width="14.5703125" customWidth="1"/>
    <col min="4" max="4" width="40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6007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289</v>
      </c>
      <c r="G9" s="10">
        <f t="shared" ref="G9:G45" si="0">SUM(C9:F9)</f>
        <v>289</v>
      </c>
      <c r="H9" s="16">
        <f t="shared" ref="H9:H45" si="1">ROUND(G9/6007,2)</f>
        <v>0.05</v>
      </c>
      <c r="I9" s="15">
        <f t="shared" ref="I9:I45" si="2">ROUND(G9/$G$46,3)</f>
        <v>0</v>
      </c>
      <c r="J9" s="15">
        <f>ROUND(G9/185-1,2)</f>
        <v>0.56000000000000005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86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49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129</v>
      </c>
      <c r="F13" s="10"/>
      <c r="G13" s="10">
        <f t="shared" si="0"/>
        <v>129</v>
      </c>
      <c r="H13" s="16">
        <f t="shared" si="1"/>
        <v>0.02</v>
      </c>
      <c r="I13" s="15">
        <f t="shared" si="2"/>
        <v>0</v>
      </c>
      <c r="J13" s="15">
        <f>ROUND(G13/106-1,2)</f>
        <v>0.22</v>
      </c>
    </row>
    <row r="14" spans="1:10" x14ac:dyDescent="0.25">
      <c r="A14" s="1" t="s">
        <v>16</v>
      </c>
      <c r="B14" s="1" t="s">
        <v>19</v>
      </c>
      <c r="C14" s="10">
        <v>216230</v>
      </c>
      <c r="D14" s="10"/>
      <c r="E14" s="10">
        <v>3250</v>
      </c>
      <c r="F14" s="10"/>
      <c r="G14" s="10">
        <f t="shared" si="0"/>
        <v>219480</v>
      </c>
      <c r="H14" s="16">
        <f t="shared" si="1"/>
        <v>36.54</v>
      </c>
      <c r="I14" s="15">
        <f t="shared" si="2"/>
        <v>0.109</v>
      </c>
      <c r="J14" s="15">
        <f>ROUND(G14/206640-1,2)</f>
        <v>0.06</v>
      </c>
    </row>
    <row r="15" spans="1:10" x14ac:dyDescent="0.25">
      <c r="A15" s="1" t="s">
        <v>16</v>
      </c>
      <c r="B15" s="1" t="s">
        <v>20</v>
      </c>
      <c r="C15" s="10">
        <v>189200</v>
      </c>
      <c r="D15" s="10"/>
      <c r="E15" s="10"/>
      <c r="F15" s="10"/>
      <c r="G15" s="10">
        <f t="shared" si="0"/>
        <v>189200</v>
      </c>
      <c r="H15" s="16">
        <f t="shared" si="1"/>
        <v>31.5</v>
      </c>
      <c r="I15" s="15">
        <f t="shared" si="2"/>
        <v>9.4E-2</v>
      </c>
      <c r="J15" s="15">
        <f>ROUND(G15/186740-1,2)</f>
        <v>0.01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322</v>
      </c>
      <c r="F16" s="10"/>
      <c r="G16" s="10">
        <f t="shared" si="0"/>
        <v>322</v>
      </c>
      <c r="H16" s="16">
        <f t="shared" si="1"/>
        <v>0.05</v>
      </c>
      <c r="I16" s="15">
        <f t="shared" si="2"/>
        <v>0</v>
      </c>
      <c r="J16" s="15">
        <f>ROUND(G16/154-1,2)</f>
        <v>1.0900000000000001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146</v>
      </c>
      <c r="F17" s="10"/>
      <c r="G17" s="10">
        <f t="shared" si="0"/>
        <v>146</v>
      </c>
      <c r="H17" s="16">
        <f t="shared" si="1"/>
        <v>0.02</v>
      </c>
      <c r="I17" s="15">
        <f t="shared" si="2"/>
        <v>0</v>
      </c>
      <c r="J17" s="15">
        <f>ROUND(G17/160-1,2)</f>
        <v>-0.09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2660</v>
      </c>
      <c r="F18" s="10"/>
      <c r="G18" s="10">
        <f t="shared" si="0"/>
        <v>2660</v>
      </c>
      <c r="H18" s="16">
        <f t="shared" si="1"/>
        <v>0.44</v>
      </c>
      <c r="I18" s="15">
        <f t="shared" si="2"/>
        <v>1E-3</v>
      </c>
      <c r="J18" s="15">
        <f>ROUND(G18/1900-1,2)</f>
        <v>0.4</v>
      </c>
    </row>
    <row r="19" spans="1:10" x14ac:dyDescent="0.25">
      <c r="A19" s="1" t="s">
        <v>16</v>
      </c>
      <c r="B19" s="1" t="s">
        <v>301</v>
      </c>
      <c r="C19" s="10"/>
      <c r="D19" s="10"/>
      <c r="E19" s="10">
        <v>7070</v>
      </c>
      <c r="F19" s="10"/>
      <c r="G19" s="10">
        <f t="shared" si="0"/>
        <v>7070</v>
      </c>
      <c r="H19" s="16">
        <f t="shared" si="1"/>
        <v>1.18</v>
      </c>
      <c r="I19" s="15">
        <f t="shared" si="2"/>
        <v>4.0000000000000001E-3</v>
      </c>
      <c r="J19" s="15">
        <f>ROUND(G19/7870-1,2)</f>
        <v>-0.1</v>
      </c>
    </row>
    <row r="20" spans="1:10" x14ac:dyDescent="0.25">
      <c r="A20" s="1" t="s">
        <v>16</v>
      </c>
      <c r="B20" s="1" t="s">
        <v>23</v>
      </c>
      <c r="C20" s="10"/>
      <c r="D20" s="10"/>
      <c r="E20" s="10">
        <v>47880</v>
      </c>
      <c r="F20" s="10"/>
      <c r="G20" s="10">
        <f t="shared" si="0"/>
        <v>47880</v>
      </c>
      <c r="H20" s="16">
        <f t="shared" si="1"/>
        <v>7.97</v>
      </c>
      <c r="I20" s="15">
        <f t="shared" si="2"/>
        <v>2.4E-2</v>
      </c>
      <c r="J20" s="15">
        <f>ROUND(G20/42400-1,2)</f>
        <v>0.13</v>
      </c>
    </row>
    <row r="21" spans="1:10" x14ac:dyDescent="0.25">
      <c r="A21" s="1" t="s">
        <v>16</v>
      </c>
      <c r="B21" s="1" t="s">
        <v>24</v>
      </c>
      <c r="C21" s="10">
        <v>269260</v>
      </c>
      <c r="D21" s="10"/>
      <c r="E21" s="10">
        <v>26820</v>
      </c>
      <c r="F21" s="10"/>
      <c r="G21" s="10">
        <f t="shared" si="0"/>
        <v>296080</v>
      </c>
      <c r="H21" s="16">
        <f t="shared" si="1"/>
        <v>49.29</v>
      </c>
      <c r="I21" s="15">
        <f t="shared" si="2"/>
        <v>0.14699999999999999</v>
      </c>
      <c r="J21" s="15">
        <f>ROUND(G21/294250-1,2)</f>
        <v>0.01</v>
      </c>
    </row>
    <row r="22" spans="1:10" x14ac:dyDescent="0.25">
      <c r="A22" s="1" t="s">
        <v>16</v>
      </c>
      <c r="B22" s="1" t="s">
        <v>25</v>
      </c>
      <c r="C22" s="10"/>
      <c r="D22" s="10"/>
      <c r="E22" s="10">
        <v>8390</v>
      </c>
      <c r="F22" s="10"/>
      <c r="G22" s="10">
        <f t="shared" si="0"/>
        <v>8390</v>
      </c>
      <c r="H22" s="16">
        <f t="shared" si="1"/>
        <v>1.4</v>
      </c>
      <c r="I22" s="15">
        <f t="shared" si="2"/>
        <v>4.0000000000000001E-3</v>
      </c>
      <c r="J22" s="15">
        <f>ROUND(G22/6580-1,2)</f>
        <v>0.28000000000000003</v>
      </c>
    </row>
    <row r="23" spans="1:10" x14ac:dyDescent="0.25">
      <c r="A23" s="1" t="s">
        <v>16</v>
      </c>
      <c r="B23" s="1" t="s">
        <v>26</v>
      </c>
      <c r="C23" s="10">
        <v>313850</v>
      </c>
      <c r="D23" s="10"/>
      <c r="E23" s="10"/>
      <c r="F23" s="10">
        <v>1790</v>
      </c>
      <c r="G23" s="10">
        <f t="shared" si="0"/>
        <v>315640</v>
      </c>
      <c r="H23" s="16">
        <f t="shared" si="1"/>
        <v>52.55</v>
      </c>
      <c r="I23" s="15">
        <f t="shared" si="2"/>
        <v>0.157</v>
      </c>
      <c r="J23" s="15">
        <f>ROUND(G23/313000-1,2)</f>
        <v>0.01</v>
      </c>
    </row>
    <row r="24" spans="1:10" x14ac:dyDescent="0.25">
      <c r="A24" s="1" t="s">
        <v>16</v>
      </c>
      <c r="B24" s="1" t="s">
        <v>27</v>
      </c>
      <c r="C24" s="10"/>
      <c r="D24" s="10"/>
      <c r="E24" s="10">
        <v>580</v>
      </c>
      <c r="F24" s="10"/>
      <c r="G24" s="10">
        <f t="shared" si="0"/>
        <v>580</v>
      </c>
      <c r="H24" s="16">
        <f t="shared" si="1"/>
        <v>0.1</v>
      </c>
      <c r="I24" s="15">
        <f t="shared" si="2"/>
        <v>0</v>
      </c>
      <c r="J24" s="15">
        <f>ROUND(G24/807-1,2)</f>
        <v>-0.28000000000000003</v>
      </c>
    </row>
    <row r="25" spans="1:10" x14ac:dyDescent="0.25">
      <c r="A25" s="1" t="s">
        <v>16</v>
      </c>
      <c r="B25" s="1" t="s">
        <v>28</v>
      </c>
      <c r="C25" s="10"/>
      <c r="D25" s="10"/>
      <c r="E25" s="10">
        <v>788</v>
      </c>
      <c r="F25" s="10"/>
      <c r="G25" s="10">
        <f t="shared" si="0"/>
        <v>788</v>
      </c>
      <c r="H25" s="16">
        <f t="shared" si="1"/>
        <v>0.13</v>
      </c>
      <c r="I25" s="15">
        <f t="shared" si="2"/>
        <v>0</v>
      </c>
      <c r="J25" s="15">
        <f>ROUND(G25/513-1,2)</f>
        <v>0.54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2770</v>
      </c>
      <c r="F26" s="10"/>
      <c r="G26" s="10">
        <f t="shared" si="0"/>
        <v>2770</v>
      </c>
      <c r="H26" s="16">
        <f t="shared" si="1"/>
        <v>0.46</v>
      </c>
      <c r="I26" s="15">
        <f t="shared" si="2"/>
        <v>1E-3</v>
      </c>
      <c r="J26" s="15">
        <f>ROUND(G26/6460-1,2)</f>
        <v>-0.56999999999999995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1150</v>
      </c>
      <c r="F27" s="10"/>
      <c r="G27" s="10">
        <f t="shared" si="0"/>
        <v>1150</v>
      </c>
      <c r="H27" s="16">
        <f t="shared" si="1"/>
        <v>0.19</v>
      </c>
      <c r="I27" s="15">
        <f t="shared" si="2"/>
        <v>1E-3</v>
      </c>
      <c r="J27" s="15">
        <f>ROUND(G27/1020-1,2)</f>
        <v>0.13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930</v>
      </c>
      <c r="F28" s="10"/>
      <c r="G28" s="10">
        <f t="shared" si="0"/>
        <v>930</v>
      </c>
      <c r="H28" s="16">
        <f t="shared" si="1"/>
        <v>0.15</v>
      </c>
      <c r="I28" s="15">
        <f t="shared" si="2"/>
        <v>0</v>
      </c>
      <c r="J28" s="15">
        <f>ROUND(G28/1170-1,2)</f>
        <v>-0.21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2325</v>
      </c>
      <c r="F29" s="10"/>
      <c r="G29" s="10">
        <f t="shared" si="0"/>
        <v>2325</v>
      </c>
      <c r="H29" s="16">
        <f t="shared" si="1"/>
        <v>0.39</v>
      </c>
      <c r="I29" s="15">
        <f t="shared" si="2"/>
        <v>1E-3</v>
      </c>
      <c r="J29" s="15">
        <f>ROUND(G29/3160-1,2)</f>
        <v>-0.26</v>
      </c>
    </row>
    <row r="30" spans="1:10" x14ac:dyDescent="0.25">
      <c r="A30" s="1" t="s">
        <v>16</v>
      </c>
      <c r="B30" s="1" t="s">
        <v>33</v>
      </c>
      <c r="C30" s="10"/>
      <c r="D30" s="10">
        <v>302</v>
      </c>
      <c r="E30" s="10">
        <v>75</v>
      </c>
      <c r="F30" s="10"/>
      <c r="G30" s="10">
        <f t="shared" si="0"/>
        <v>377</v>
      </c>
      <c r="H30" s="16">
        <f t="shared" si="1"/>
        <v>0.06</v>
      </c>
      <c r="I30" s="15">
        <f t="shared" si="2"/>
        <v>0</v>
      </c>
      <c r="J30" s="15">
        <f>ROUND(G30/348-1,2)</f>
        <v>0.08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1120</v>
      </c>
      <c r="F31" s="10"/>
      <c r="G31" s="10">
        <f t="shared" si="0"/>
        <v>1120</v>
      </c>
      <c r="H31" s="16">
        <f t="shared" si="1"/>
        <v>0.19</v>
      </c>
      <c r="I31" s="15">
        <f t="shared" si="2"/>
        <v>1E-3</v>
      </c>
      <c r="J31" s="15"/>
    </row>
    <row r="32" spans="1:10" x14ac:dyDescent="0.25">
      <c r="A32" s="1" t="s">
        <v>16</v>
      </c>
      <c r="B32" s="1" t="s">
        <v>43</v>
      </c>
      <c r="C32" s="10"/>
      <c r="D32" s="10"/>
      <c r="E32" s="10">
        <v>4200</v>
      </c>
      <c r="F32" s="10"/>
      <c r="G32" s="10">
        <f t="shared" si="0"/>
        <v>4200</v>
      </c>
      <c r="H32" s="16">
        <f t="shared" si="1"/>
        <v>0.7</v>
      </c>
      <c r="I32" s="15">
        <f t="shared" si="2"/>
        <v>2E-3</v>
      </c>
      <c r="J32" s="15">
        <f>ROUND(G32/7382-1,2)</f>
        <v>-0.43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5200</v>
      </c>
      <c r="F33" s="10"/>
      <c r="G33" s="10">
        <f t="shared" si="0"/>
        <v>5200</v>
      </c>
      <c r="H33" s="16">
        <f t="shared" si="1"/>
        <v>0.87</v>
      </c>
      <c r="I33" s="15">
        <f t="shared" si="2"/>
        <v>3.0000000000000001E-3</v>
      </c>
      <c r="J33" s="15">
        <f>ROUND(G33/6056-1,2)</f>
        <v>-0.14000000000000001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133410</v>
      </c>
      <c r="F34" s="10"/>
      <c r="G34" s="10">
        <f t="shared" si="0"/>
        <v>133410</v>
      </c>
      <c r="H34" s="16">
        <f t="shared" si="1"/>
        <v>22.21</v>
      </c>
      <c r="I34" s="15">
        <f t="shared" si="2"/>
        <v>6.6000000000000003E-2</v>
      </c>
      <c r="J34" s="15">
        <f>ROUND(G34/134770-1,2)</f>
        <v>-0.01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5830</v>
      </c>
      <c r="F35" s="10"/>
      <c r="G35" s="10">
        <f t="shared" si="0"/>
        <v>5830</v>
      </c>
      <c r="H35" s="16">
        <f t="shared" si="1"/>
        <v>0.97</v>
      </c>
      <c r="I35" s="15">
        <f t="shared" si="2"/>
        <v>3.0000000000000001E-3</v>
      </c>
      <c r="J35" s="15">
        <f>ROUND(G35/15720-1,2)</f>
        <v>-0.63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19930</v>
      </c>
      <c r="F36" s="10"/>
      <c r="G36" s="10">
        <f t="shared" si="0"/>
        <v>19930</v>
      </c>
      <c r="H36" s="16">
        <f t="shared" si="1"/>
        <v>3.32</v>
      </c>
      <c r="I36" s="15">
        <f t="shared" si="2"/>
        <v>0.01</v>
      </c>
      <c r="J36" s="15">
        <f>ROUND(G36/14890-1,2)</f>
        <v>0.34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347440</v>
      </c>
      <c r="F37" s="10"/>
      <c r="G37" s="10">
        <f t="shared" si="0"/>
        <v>347440</v>
      </c>
      <c r="H37" s="16">
        <f t="shared" si="1"/>
        <v>57.84</v>
      </c>
      <c r="I37" s="15">
        <f t="shared" si="2"/>
        <v>0.17199999999999999</v>
      </c>
      <c r="J37" s="15">
        <f>ROUND(G37/253820-1,2)</f>
        <v>0.37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ROUND(G38/89-1,2)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ROUND(G39/4344-1,2)</f>
        <v>-1</v>
      </c>
    </row>
    <row r="40" spans="1:10" x14ac:dyDescent="0.25">
      <c r="A40" s="1" t="s">
        <v>16</v>
      </c>
      <c r="B40" s="1" t="s">
        <v>35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16</v>
      </c>
      <c r="B41" s="1" t="s">
        <v>96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16</v>
      </c>
      <c r="B42" s="1" t="s">
        <v>302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44</v>
      </c>
      <c r="B43" s="1" t="s">
        <v>45</v>
      </c>
      <c r="C43" s="10">
        <v>285400</v>
      </c>
      <c r="D43" s="10"/>
      <c r="E43" s="10"/>
      <c r="F43" s="10"/>
      <c r="G43" s="10">
        <f t="shared" si="0"/>
        <v>285400</v>
      </c>
      <c r="H43" s="16">
        <f t="shared" si="1"/>
        <v>47.51</v>
      </c>
      <c r="I43" s="15">
        <f t="shared" si="2"/>
        <v>0.14199999999999999</v>
      </c>
      <c r="J43" s="15">
        <f>ROUND(G43/291290-1,2)</f>
        <v>-0.02</v>
      </c>
    </row>
    <row r="44" spans="1:10" x14ac:dyDescent="0.25">
      <c r="A44" s="1" t="s">
        <v>44</v>
      </c>
      <c r="B44" s="1" t="s">
        <v>47</v>
      </c>
      <c r="C44" s="10"/>
      <c r="D44" s="10"/>
      <c r="E44" s="10"/>
      <c r="F44" s="10">
        <v>39870</v>
      </c>
      <c r="G44" s="10">
        <f t="shared" si="0"/>
        <v>39870</v>
      </c>
      <c r="H44" s="16">
        <f t="shared" si="1"/>
        <v>6.64</v>
      </c>
      <c r="I44" s="15">
        <f t="shared" si="2"/>
        <v>0.02</v>
      </c>
      <c r="J44" s="15">
        <f>ROUND(G44/28040-1,2)</f>
        <v>0.42</v>
      </c>
    </row>
    <row r="45" spans="1:10" x14ac:dyDescent="0.25">
      <c r="A45" s="1" t="s">
        <v>44</v>
      </c>
      <c r="B45" s="1" t="s">
        <v>46</v>
      </c>
      <c r="C45" s="10"/>
      <c r="D45" s="10"/>
      <c r="E45" s="10">
        <v>75865</v>
      </c>
      <c r="F45" s="10"/>
      <c r="G45" s="10">
        <f t="shared" si="0"/>
        <v>75865</v>
      </c>
      <c r="H45" s="16">
        <f t="shared" si="1"/>
        <v>12.63</v>
      </c>
      <c r="I45" s="15">
        <f t="shared" si="2"/>
        <v>3.7999999999999999E-2</v>
      </c>
      <c r="J45" s="15">
        <f>ROUND(G45/73260-1,2)</f>
        <v>0.04</v>
      </c>
    </row>
    <row r="46" spans="1:10" x14ac:dyDescent="0.25">
      <c r="A46" s="25" t="s">
        <v>12</v>
      </c>
      <c r="B46" s="25"/>
      <c r="C46" s="11">
        <f t="shared" ref="C46:H46" si="3">SUM(C8:C45)</f>
        <v>1273940</v>
      </c>
      <c r="D46" s="11">
        <f t="shared" si="3"/>
        <v>302</v>
      </c>
      <c r="E46" s="11">
        <f t="shared" si="3"/>
        <v>698280</v>
      </c>
      <c r="F46" s="11">
        <f t="shared" si="3"/>
        <v>41949</v>
      </c>
      <c r="G46" s="11">
        <f t="shared" si="3"/>
        <v>2014471</v>
      </c>
      <c r="H46" s="14">
        <f t="shared" si="3"/>
        <v>335.36999999999995</v>
      </c>
      <c r="I46" s="17"/>
      <c r="J46" s="17"/>
    </row>
    <row r="47" spans="1:10" x14ac:dyDescent="0.25">
      <c r="A47" s="25" t="s">
        <v>14</v>
      </c>
      <c r="B47" s="25"/>
      <c r="C47" s="12">
        <f>ROUND(C46/G46,2)</f>
        <v>0.63</v>
      </c>
      <c r="D47" s="12">
        <f>ROUND(D46/G46,2)</f>
        <v>0</v>
      </c>
      <c r="E47" s="12">
        <f>ROUND(E46/G46,2)</f>
        <v>0.35</v>
      </c>
      <c r="F47" s="12">
        <f>ROUND(F46/G46,2)</f>
        <v>0.02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53</v>
      </c>
      <c r="B52" s="25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0" t="s">
        <v>54</v>
      </c>
      <c r="B53" s="20"/>
      <c r="C53" s="10">
        <v>988540</v>
      </c>
      <c r="D53" s="10">
        <v>302</v>
      </c>
      <c r="E53" s="10">
        <v>622415</v>
      </c>
      <c r="F53" s="10">
        <v>1790</v>
      </c>
      <c r="G53" s="10">
        <f>SUM(C53:F53)</f>
        <v>1613047</v>
      </c>
      <c r="H53" s="16">
        <f>ROUND(G53/6007,2)</f>
        <v>268.52999999999997</v>
      </c>
      <c r="I53" s="9"/>
      <c r="J53" s="9"/>
    </row>
    <row r="54" spans="1:10" x14ac:dyDescent="0.25">
      <c r="A54" s="20" t="s">
        <v>55</v>
      </c>
      <c r="B54" s="20"/>
      <c r="C54" s="10">
        <v>285400</v>
      </c>
      <c r="D54" s="10">
        <v>0</v>
      </c>
      <c r="E54" s="10">
        <v>75865</v>
      </c>
      <c r="F54" s="10">
        <v>39870</v>
      </c>
      <c r="G54" s="10">
        <f>SUM(C54:F54)</f>
        <v>401135</v>
      </c>
      <c r="H54" s="16">
        <f>ROUND(G54/6007,2)</f>
        <v>66.78</v>
      </c>
      <c r="I54" s="9"/>
      <c r="J54" s="9"/>
    </row>
    <row r="55" spans="1:10" x14ac:dyDescent="0.25">
      <c r="A55" s="20" t="s">
        <v>56</v>
      </c>
      <c r="B55" s="20"/>
      <c r="C55" s="10">
        <v>0</v>
      </c>
      <c r="D55" s="10">
        <v>0</v>
      </c>
      <c r="E55" s="10">
        <v>0</v>
      </c>
      <c r="F55" s="10">
        <v>289</v>
      </c>
      <c r="G55" s="10">
        <f>SUM(C55:F55)</f>
        <v>289</v>
      </c>
      <c r="H55" s="16">
        <f>ROUND(G55/6007,2)</f>
        <v>0.05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57</v>
      </c>
      <c r="B60" s="25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0" t="s">
        <v>58</v>
      </c>
      <c r="B61" s="20"/>
      <c r="C61" s="15">
        <f>ROUND(0.848, 4)</f>
        <v>0.84799999999999998</v>
      </c>
      <c r="D61" s="15">
        <f>ROUND(0.833, 4)</f>
        <v>0.83299999999999996</v>
      </c>
      <c r="E61" s="15">
        <f>ROUND(0.777, 4)</f>
        <v>0.77700000000000002</v>
      </c>
      <c r="F61" s="8"/>
      <c r="G61" s="14" t="s">
        <v>62</v>
      </c>
      <c r="H61" s="26" t="s">
        <v>63</v>
      </c>
      <c r="I61" s="23" t="s">
        <v>64</v>
      </c>
      <c r="J61" s="23" t="s">
        <v>65</v>
      </c>
    </row>
    <row r="62" spans="1:10" x14ac:dyDescent="0.25">
      <c r="A62" s="20" t="s">
        <v>66</v>
      </c>
      <c r="B62" s="20"/>
      <c r="C62" s="15">
        <f>ROUND(0.8336, 4)</f>
        <v>0.83360000000000001</v>
      </c>
      <c r="D62" s="15">
        <f>ROUND(0.8183, 4)</f>
        <v>0.81830000000000003</v>
      </c>
      <c r="E62" s="15">
        <f>ROUND(0.7608, 4)</f>
        <v>0.76080000000000003</v>
      </c>
      <c r="F62" s="8"/>
      <c r="G62" s="14" t="s">
        <v>67</v>
      </c>
      <c r="H62" s="27"/>
      <c r="I62" s="24"/>
      <c r="J62" s="24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5" t="s">
        <v>68</v>
      </c>
      <c r="B66" s="25"/>
      <c r="C66" s="14" t="s">
        <v>2</v>
      </c>
      <c r="D66" s="14" t="s">
        <v>303</v>
      </c>
      <c r="E66" s="14" t="s">
        <v>70</v>
      </c>
      <c r="F66" s="14" t="s">
        <v>71</v>
      </c>
      <c r="G66" s="14" t="s">
        <v>72</v>
      </c>
      <c r="H66" s="13"/>
      <c r="I66" s="17"/>
      <c r="J66" s="17"/>
    </row>
    <row r="67" spans="1:10" x14ac:dyDescent="0.25">
      <c r="A67" s="20" t="s">
        <v>73</v>
      </c>
      <c r="B67" s="20"/>
      <c r="C67" s="16">
        <v>47.51</v>
      </c>
      <c r="D67" s="16">
        <v>70.650000000000006</v>
      </c>
      <c r="E67" s="16">
        <v>91.13</v>
      </c>
      <c r="F67" s="16">
        <v>54.95</v>
      </c>
      <c r="G67" s="16">
        <f>12/10*C67</f>
        <v>57.011999999999993</v>
      </c>
      <c r="H67" s="8"/>
      <c r="I67" s="9"/>
      <c r="J67" s="9"/>
    </row>
    <row r="68" spans="1:10" x14ac:dyDescent="0.25">
      <c r="A68" s="20" t="s">
        <v>74</v>
      </c>
      <c r="B68" s="20"/>
      <c r="C68" s="16">
        <v>52.55</v>
      </c>
      <c r="D68" s="16">
        <v>60.04</v>
      </c>
      <c r="E68" s="16">
        <v>61.18</v>
      </c>
      <c r="F68" s="16">
        <v>62.89</v>
      </c>
      <c r="G68" s="16">
        <f>12/10*C68</f>
        <v>63.059999999999995</v>
      </c>
      <c r="H68" s="8"/>
      <c r="I68" s="9"/>
      <c r="J68" s="9"/>
    </row>
    <row r="69" spans="1:10" x14ac:dyDescent="0.25">
      <c r="A69" s="20" t="s">
        <v>75</v>
      </c>
      <c r="B69" s="20"/>
      <c r="C69" s="16">
        <v>268.52999999999997</v>
      </c>
      <c r="D69" s="16">
        <v>319.74</v>
      </c>
      <c r="E69" s="16">
        <v>287.25</v>
      </c>
      <c r="F69" s="16">
        <v>278.91000000000003</v>
      </c>
      <c r="G69" s="16">
        <f>12/10*C69</f>
        <v>322.23599999999993</v>
      </c>
      <c r="H69" s="8"/>
      <c r="I69" s="9"/>
      <c r="J69" s="9"/>
    </row>
    <row r="70" spans="1:10" x14ac:dyDescent="0.25">
      <c r="A70" s="20" t="s">
        <v>76</v>
      </c>
      <c r="B70" s="20"/>
      <c r="C70" s="1">
        <v>66.78</v>
      </c>
      <c r="D70" s="1">
        <v>95.49</v>
      </c>
      <c r="E70" s="1">
        <v>114.69</v>
      </c>
      <c r="F70" s="1">
        <v>78.319999999999993</v>
      </c>
      <c r="G70" s="1">
        <f>12/10*C70</f>
        <v>80.135999999999996</v>
      </c>
    </row>
    <row r="73" spans="1:10" x14ac:dyDescent="0.25">
      <c r="A73" s="21" t="s">
        <v>60</v>
      </c>
      <c r="B73" s="22"/>
    </row>
    <row r="74" spans="1:10" x14ac:dyDescent="0.25">
      <c r="A74" s="3" t="s">
        <v>77</v>
      </c>
      <c r="B74" s="1" t="s">
        <v>304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C7:G7"/>
    <mergeCell ref="A46:B46"/>
    <mergeCell ref="A47:B47"/>
    <mergeCell ref="A52:B52"/>
    <mergeCell ref="A53:B53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A68:B68"/>
    <mergeCell ref="A69:B69"/>
    <mergeCell ref="A70:B70"/>
    <mergeCell ref="A73:B73"/>
    <mergeCell ref="I61:I6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5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1668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21</v>
      </c>
      <c r="F9" s="10"/>
      <c r="G9" s="10">
        <f t="shared" ref="G9:G37" si="0">SUM(C9:F9)</f>
        <v>21</v>
      </c>
      <c r="H9" s="16">
        <f t="shared" ref="H9:H37" si="1">ROUND(G9/1668,2)</f>
        <v>0.01</v>
      </c>
      <c r="I9" s="15">
        <f t="shared" ref="I9:I37" si="2">ROUND(G9/$G$38,3)</f>
        <v>0</v>
      </c>
      <c r="J9" s="15">
        <f>ROUND(G9/17-1,2)</f>
        <v>0.24</v>
      </c>
    </row>
    <row r="10" spans="1:10" x14ac:dyDescent="0.25">
      <c r="A10" s="1" t="s">
        <v>16</v>
      </c>
      <c r="B10" s="1" t="s">
        <v>19</v>
      </c>
      <c r="C10" s="10">
        <v>44070</v>
      </c>
      <c r="D10" s="10"/>
      <c r="E10" s="10"/>
      <c r="F10" s="10">
        <v>180</v>
      </c>
      <c r="G10" s="10">
        <f t="shared" si="0"/>
        <v>44250</v>
      </c>
      <c r="H10" s="16">
        <f t="shared" si="1"/>
        <v>26.53</v>
      </c>
      <c r="I10" s="15">
        <f t="shared" si="2"/>
        <v>0.108</v>
      </c>
      <c r="J10" s="15">
        <f>ROUND(G10/45220-1,2)</f>
        <v>-0.02</v>
      </c>
    </row>
    <row r="11" spans="1:10" x14ac:dyDescent="0.25">
      <c r="A11" s="1" t="s">
        <v>16</v>
      </c>
      <c r="B11" s="1" t="s">
        <v>20</v>
      </c>
      <c r="C11" s="10">
        <v>72220</v>
      </c>
      <c r="D11" s="10"/>
      <c r="E11" s="10"/>
      <c r="F11" s="10">
        <v>480</v>
      </c>
      <c r="G11" s="10">
        <f t="shared" si="0"/>
        <v>72700</v>
      </c>
      <c r="H11" s="16">
        <f t="shared" si="1"/>
        <v>43.59</v>
      </c>
      <c r="I11" s="15">
        <f t="shared" si="2"/>
        <v>0.17699999999999999</v>
      </c>
      <c r="J11" s="15">
        <f>ROUND(G11/66520-1,2)</f>
        <v>0.09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58</v>
      </c>
      <c r="F12" s="10"/>
      <c r="G12" s="10">
        <f t="shared" si="0"/>
        <v>58</v>
      </c>
      <c r="H12" s="16">
        <f t="shared" si="1"/>
        <v>0.03</v>
      </c>
      <c r="I12" s="15">
        <f t="shared" si="2"/>
        <v>0</v>
      </c>
      <c r="J12" s="15">
        <f>ROUND(G12/43-1,2)</f>
        <v>0.35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65</v>
      </c>
      <c r="F13" s="10"/>
      <c r="G13" s="10">
        <f t="shared" si="0"/>
        <v>65</v>
      </c>
      <c r="H13" s="16">
        <f t="shared" si="1"/>
        <v>0.04</v>
      </c>
      <c r="I13" s="15">
        <f t="shared" si="2"/>
        <v>0</v>
      </c>
      <c r="J13" s="15">
        <f>ROUND(G13/90-1,2)</f>
        <v>-0.28000000000000003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12600</v>
      </c>
      <c r="F14" s="10"/>
      <c r="G14" s="10">
        <f t="shared" si="0"/>
        <v>12600</v>
      </c>
      <c r="H14" s="16">
        <f t="shared" si="1"/>
        <v>7.55</v>
      </c>
      <c r="I14" s="15">
        <f t="shared" si="2"/>
        <v>3.1E-2</v>
      </c>
      <c r="J14" s="15">
        <f>ROUND(G14/19040-1,2)</f>
        <v>-0.34</v>
      </c>
    </row>
    <row r="15" spans="1:10" x14ac:dyDescent="0.25">
      <c r="A15" s="1" t="s">
        <v>16</v>
      </c>
      <c r="B15" s="1" t="s">
        <v>24</v>
      </c>
      <c r="C15" s="10">
        <v>52520</v>
      </c>
      <c r="D15" s="10"/>
      <c r="E15" s="10"/>
      <c r="F15" s="10">
        <v>60</v>
      </c>
      <c r="G15" s="10">
        <f t="shared" si="0"/>
        <v>52580</v>
      </c>
      <c r="H15" s="16">
        <f t="shared" si="1"/>
        <v>31.52</v>
      </c>
      <c r="I15" s="15">
        <f t="shared" si="2"/>
        <v>0.128</v>
      </c>
      <c r="J15" s="15">
        <f>ROUND(G15/55870-1,2)</f>
        <v>-0.06</v>
      </c>
    </row>
    <row r="16" spans="1:10" x14ac:dyDescent="0.25">
      <c r="A16" s="1" t="s">
        <v>16</v>
      </c>
      <c r="B16" s="1" t="s">
        <v>26</v>
      </c>
      <c r="C16" s="10">
        <v>89130</v>
      </c>
      <c r="D16" s="10"/>
      <c r="E16" s="10"/>
      <c r="F16" s="10">
        <v>630</v>
      </c>
      <c r="G16" s="10">
        <f t="shared" si="0"/>
        <v>89760</v>
      </c>
      <c r="H16" s="16">
        <f t="shared" si="1"/>
        <v>53.81</v>
      </c>
      <c r="I16" s="15">
        <f t="shared" si="2"/>
        <v>0.218</v>
      </c>
      <c r="J16" s="15">
        <f>ROUND(G16/84350-1,2)</f>
        <v>0.06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115</v>
      </c>
      <c r="F17" s="10"/>
      <c r="G17" s="10">
        <f t="shared" si="0"/>
        <v>115</v>
      </c>
      <c r="H17" s="16">
        <f t="shared" si="1"/>
        <v>7.0000000000000007E-2</v>
      </c>
      <c r="I17" s="15">
        <f t="shared" si="2"/>
        <v>0</v>
      </c>
      <c r="J17" s="15">
        <f>ROUND(G17/181-1,2)</f>
        <v>-0.36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150</v>
      </c>
      <c r="F18" s="10"/>
      <c r="G18" s="10">
        <f t="shared" si="0"/>
        <v>150</v>
      </c>
      <c r="H18" s="16">
        <f t="shared" si="1"/>
        <v>0.09</v>
      </c>
      <c r="I18" s="15">
        <f t="shared" si="2"/>
        <v>0</v>
      </c>
      <c r="J18" s="15">
        <f>ROUND(G18/128-1,2)</f>
        <v>0.17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940</v>
      </c>
      <c r="F19" s="10"/>
      <c r="G19" s="10">
        <f t="shared" si="0"/>
        <v>940</v>
      </c>
      <c r="H19" s="16">
        <f t="shared" si="1"/>
        <v>0.56000000000000005</v>
      </c>
      <c r="I19" s="15">
        <f t="shared" si="2"/>
        <v>2E-3</v>
      </c>
      <c r="J19" s="15">
        <f>ROUND(G19/1660-1,2)</f>
        <v>-0.43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400</v>
      </c>
      <c r="F20" s="10"/>
      <c r="G20" s="10">
        <f t="shared" si="0"/>
        <v>400</v>
      </c>
      <c r="H20" s="16">
        <f t="shared" si="1"/>
        <v>0.24</v>
      </c>
      <c r="I20" s="15">
        <f t="shared" si="2"/>
        <v>1E-3</v>
      </c>
      <c r="J20" s="15">
        <f>ROUND(G20/300-1,2)</f>
        <v>0.33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210</v>
      </c>
      <c r="F21" s="10"/>
      <c r="G21" s="10">
        <f t="shared" si="0"/>
        <v>210</v>
      </c>
      <c r="H21" s="16">
        <f t="shared" si="1"/>
        <v>0.13</v>
      </c>
      <c r="I21" s="15">
        <f t="shared" si="2"/>
        <v>1E-3</v>
      </c>
      <c r="J21" s="15">
        <f>ROUND(G21/120-1,2)</f>
        <v>0.75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530</v>
      </c>
      <c r="F22" s="10"/>
      <c r="G22" s="10">
        <f t="shared" si="0"/>
        <v>530</v>
      </c>
      <c r="H22" s="16">
        <f t="shared" si="1"/>
        <v>0.32</v>
      </c>
      <c r="I22" s="15">
        <f t="shared" si="2"/>
        <v>1E-3</v>
      </c>
      <c r="J22" s="15">
        <f>ROUND(G22/670-1,2)</f>
        <v>-0.21</v>
      </c>
    </row>
    <row r="23" spans="1:10" x14ac:dyDescent="0.25">
      <c r="A23" s="1" t="s">
        <v>16</v>
      </c>
      <c r="B23" s="1" t="s">
        <v>33</v>
      </c>
      <c r="C23" s="10"/>
      <c r="D23" s="10">
        <v>171</v>
      </c>
      <c r="E23" s="10">
        <v>13</v>
      </c>
      <c r="F23" s="10"/>
      <c r="G23" s="10">
        <f t="shared" si="0"/>
        <v>184</v>
      </c>
      <c r="H23" s="16">
        <f t="shared" si="1"/>
        <v>0.11</v>
      </c>
      <c r="I23" s="15">
        <f t="shared" si="2"/>
        <v>0</v>
      </c>
      <c r="J23" s="15">
        <f>ROUND(G23/220-1,2)</f>
        <v>-0.16</v>
      </c>
    </row>
    <row r="24" spans="1:10" x14ac:dyDescent="0.25">
      <c r="A24" s="1" t="s">
        <v>16</v>
      </c>
      <c r="B24" s="1" t="s">
        <v>35</v>
      </c>
      <c r="C24" s="10"/>
      <c r="D24" s="10">
        <v>50</v>
      </c>
      <c r="E24" s="10"/>
      <c r="F24" s="10"/>
      <c r="G24" s="10">
        <f t="shared" si="0"/>
        <v>50</v>
      </c>
      <c r="H24" s="16">
        <f t="shared" si="1"/>
        <v>0.03</v>
      </c>
      <c r="I24" s="15">
        <f t="shared" si="2"/>
        <v>0</v>
      </c>
      <c r="J24" s="15">
        <f>ROUND(G24/185-1,2)</f>
        <v>-0.73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1370</v>
      </c>
      <c r="F25" s="10"/>
      <c r="G25" s="10">
        <f t="shared" si="0"/>
        <v>1370</v>
      </c>
      <c r="H25" s="16">
        <f t="shared" si="1"/>
        <v>0.82</v>
      </c>
      <c r="I25" s="15">
        <f t="shared" si="2"/>
        <v>3.0000000000000001E-3</v>
      </c>
      <c r="J25" s="15">
        <f>ROUND(G25/700-1,2)</f>
        <v>0.96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21220</v>
      </c>
      <c r="F26" s="10"/>
      <c r="G26" s="10">
        <f t="shared" si="0"/>
        <v>21220</v>
      </c>
      <c r="H26" s="16">
        <f t="shared" si="1"/>
        <v>12.72</v>
      </c>
      <c r="I26" s="15">
        <f t="shared" si="2"/>
        <v>5.1999999999999998E-2</v>
      </c>
      <c r="J26" s="15">
        <f>ROUND(G26/22800-1,2)</f>
        <v>-7.0000000000000007E-2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7910</v>
      </c>
      <c r="F27" s="10"/>
      <c r="G27" s="10">
        <f t="shared" si="0"/>
        <v>7910</v>
      </c>
      <c r="H27" s="16">
        <f t="shared" si="1"/>
        <v>4.74</v>
      </c>
      <c r="I27" s="15">
        <f t="shared" si="2"/>
        <v>1.9E-2</v>
      </c>
      <c r="J27" s="15">
        <f>ROUND(G27/4670-1,2)</f>
        <v>0.69</v>
      </c>
    </row>
    <row r="28" spans="1:10" x14ac:dyDescent="0.25">
      <c r="A28" s="1" t="s">
        <v>16</v>
      </c>
      <c r="B28" s="1" t="s">
        <v>41</v>
      </c>
      <c r="C28" s="10"/>
      <c r="D28" s="10"/>
      <c r="E28" s="10">
        <v>10700</v>
      </c>
      <c r="F28" s="10"/>
      <c r="G28" s="10">
        <f t="shared" si="0"/>
        <v>10700</v>
      </c>
      <c r="H28" s="16">
        <f t="shared" si="1"/>
        <v>6.41</v>
      </c>
      <c r="I28" s="15">
        <f t="shared" si="2"/>
        <v>2.5999999999999999E-2</v>
      </c>
      <c r="J28" s="15">
        <f>ROUND(G28/10620-1,2)</f>
        <v>0.01</v>
      </c>
    </row>
    <row r="29" spans="1:10" x14ac:dyDescent="0.25">
      <c r="A29" s="1" t="s">
        <v>16</v>
      </c>
      <c r="B29" s="1" t="s">
        <v>25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ROUND(G29/2930-1,2)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ROUND(G30/970-1,2)</f>
        <v>-1</v>
      </c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ROUND(G31/700-1,2)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ROUND(G32/131-1,2)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ROUND(G33/1150-1,2)</f>
        <v>-1</v>
      </c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ROUND(G34/550-1,2)</f>
        <v>-1</v>
      </c>
    </row>
    <row r="35" spans="1:10" x14ac:dyDescent="0.25">
      <c r="A35" s="1" t="s">
        <v>44</v>
      </c>
      <c r="B35" s="1" t="s">
        <v>45</v>
      </c>
      <c r="C35" s="10">
        <v>68760</v>
      </c>
      <c r="D35" s="10"/>
      <c r="E35" s="10"/>
      <c r="F35" s="10"/>
      <c r="G35" s="10">
        <f t="shared" si="0"/>
        <v>68760</v>
      </c>
      <c r="H35" s="16">
        <f t="shared" si="1"/>
        <v>41.22</v>
      </c>
      <c r="I35" s="15">
        <f t="shared" si="2"/>
        <v>0.16700000000000001</v>
      </c>
      <c r="J35" s="15">
        <f>ROUND(G35/64700-1,2)</f>
        <v>0.06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26350</v>
      </c>
      <c r="F36" s="10"/>
      <c r="G36" s="10">
        <f t="shared" si="0"/>
        <v>26350</v>
      </c>
      <c r="H36" s="16">
        <f t="shared" si="1"/>
        <v>15.8</v>
      </c>
      <c r="I36" s="15">
        <f t="shared" si="2"/>
        <v>6.4000000000000001E-2</v>
      </c>
      <c r="J36" s="15">
        <f>ROUND(G36/28040-1,2)</f>
        <v>-0.06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5" t="s">
        <v>12</v>
      </c>
      <c r="B38" s="25"/>
      <c r="C38" s="11">
        <f t="shared" ref="C38:H38" si="3">SUM(C8:C37)</f>
        <v>326700</v>
      </c>
      <c r="D38" s="11">
        <f t="shared" si="3"/>
        <v>221</v>
      </c>
      <c r="E38" s="11">
        <f t="shared" si="3"/>
        <v>82652</v>
      </c>
      <c r="F38" s="11">
        <f t="shared" si="3"/>
        <v>1350</v>
      </c>
      <c r="G38" s="11">
        <f t="shared" si="3"/>
        <v>410923</v>
      </c>
      <c r="H38" s="14">
        <f t="shared" si="3"/>
        <v>246.34000000000003</v>
      </c>
      <c r="I38" s="17"/>
      <c r="J38" s="17"/>
    </row>
    <row r="39" spans="1:10" x14ac:dyDescent="0.25">
      <c r="A39" s="25" t="s">
        <v>14</v>
      </c>
      <c r="B39" s="25"/>
      <c r="C39" s="12">
        <f>ROUND(C38/G38,2)</f>
        <v>0.8</v>
      </c>
      <c r="D39" s="12">
        <f>ROUND(D38/G38,2)</f>
        <v>0</v>
      </c>
      <c r="E39" s="12">
        <f>ROUND(E38/G38,2)</f>
        <v>0.2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53</v>
      </c>
      <c r="B44" s="25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0" t="s">
        <v>54</v>
      </c>
      <c r="B45" s="20"/>
      <c r="C45" s="10">
        <v>257940</v>
      </c>
      <c r="D45" s="10">
        <v>221</v>
      </c>
      <c r="E45" s="10">
        <v>56302</v>
      </c>
      <c r="F45" s="10">
        <v>1350</v>
      </c>
      <c r="G45" s="10">
        <f>SUM(C45:F45)</f>
        <v>315813</v>
      </c>
      <c r="H45" s="16">
        <f>ROUND(G45/1668,2)</f>
        <v>189.34</v>
      </c>
      <c r="I45" s="9"/>
      <c r="J45" s="9"/>
    </row>
    <row r="46" spans="1:10" x14ac:dyDescent="0.25">
      <c r="A46" s="20" t="s">
        <v>55</v>
      </c>
      <c r="B46" s="20"/>
      <c r="C46" s="10">
        <v>68760</v>
      </c>
      <c r="D46" s="10">
        <v>0</v>
      </c>
      <c r="E46" s="10">
        <v>26350</v>
      </c>
      <c r="F46" s="10">
        <v>0</v>
      </c>
      <c r="G46" s="10">
        <f>SUM(C46:F46)</f>
        <v>95110</v>
      </c>
      <c r="H46" s="16">
        <f>ROUND(G46/1668,2)</f>
        <v>57.02</v>
      </c>
      <c r="I46" s="9"/>
      <c r="J46" s="9"/>
    </row>
    <row r="47" spans="1:10" x14ac:dyDescent="0.25">
      <c r="A47" s="20" t="s">
        <v>56</v>
      </c>
      <c r="B47" s="20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ROUND(G47/1668,2)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57</v>
      </c>
      <c r="B52" s="25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0" t="s">
        <v>58</v>
      </c>
      <c r="B53" s="20"/>
      <c r="C53" s="15">
        <f>ROUND(0.8265, 4)</f>
        <v>0.82650000000000001</v>
      </c>
      <c r="D53" s="15">
        <f>ROUND(0.8246, 4)</f>
        <v>0.8246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3" t="s">
        <v>64</v>
      </c>
      <c r="J53" s="23" t="s">
        <v>65</v>
      </c>
    </row>
    <row r="54" spans="1:10" x14ac:dyDescent="0.25">
      <c r="A54" s="20" t="s">
        <v>66</v>
      </c>
      <c r="B54" s="20"/>
      <c r="C54" s="15">
        <f>ROUND(0.8122, 4)</f>
        <v>0.81220000000000003</v>
      </c>
      <c r="D54" s="15">
        <f>ROUND(0.8105, 4)</f>
        <v>0.8105</v>
      </c>
      <c r="E54" s="15">
        <f>ROUND(0.7608, 4)</f>
        <v>0.76080000000000003</v>
      </c>
      <c r="F54" s="8"/>
      <c r="G54" s="14" t="s">
        <v>67</v>
      </c>
      <c r="H54" s="27"/>
      <c r="I54" s="24"/>
      <c r="J54" s="24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68</v>
      </c>
      <c r="B58" s="25"/>
      <c r="C58" s="14" t="s">
        <v>2</v>
      </c>
      <c r="D58" s="14" t="s">
        <v>306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0" t="s">
        <v>73</v>
      </c>
      <c r="B59" s="20"/>
      <c r="C59" s="16">
        <v>41.22</v>
      </c>
      <c r="D59" s="16">
        <v>41.01</v>
      </c>
      <c r="E59" s="16">
        <v>91.13</v>
      </c>
      <c r="F59" s="16">
        <v>54.95</v>
      </c>
      <c r="G59" s="16">
        <f>12/10*C59</f>
        <v>49.463999999999999</v>
      </c>
      <c r="H59" s="8"/>
      <c r="I59" s="9"/>
      <c r="J59" s="9"/>
    </row>
    <row r="60" spans="1:10" x14ac:dyDescent="0.25">
      <c r="A60" s="20" t="s">
        <v>74</v>
      </c>
      <c r="B60" s="20"/>
      <c r="C60" s="16">
        <v>53.81</v>
      </c>
      <c r="D60" s="16">
        <v>60.73</v>
      </c>
      <c r="E60" s="16">
        <v>61.18</v>
      </c>
      <c r="F60" s="16">
        <v>62.89</v>
      </c>
      <c r="G60" s="16">
        <f>12/10*C60</f>
        <v>64.572000000000003</v>
      </c>
      <c r="H60" s="8"/>
      <c r="I60" s="9"/>
      <c r="J60" s="9"/>
    </row>
    <row r="61" spans="1:10" x14ac:dyDescent="0.25">
      <c r="A61" s="20" t="s">
        <v>75</v>
      </c>
      <c r="B61" s="20"/>
      <c r="C61" s="16">
        <v>189.34</v>
      </c>
      <c r="D61" s="16">
        <v>224</v>
      </c>
      <c r="E61" s="16">
        <v>287.25</v>
      </c>
      <c r="F61" s="16">
        <v>278.91000000000003</v>
      </c>
      <c r="G61" s="16">
        <f>12/10*C61</f>
        <v>227.208</v>
      </c>
      <c r="H61" s="8"/>
      <c r="I61" s="9"/>
      <c r="J61" s="9"/>
    </row>
    <row r="62" spans="1:10" x14ac:dyDescent="0.25">
      <c r="A62" s="20" t="s">
        <v>76</v>
      </c>
      <c r="B62" s="20"/>
      <c r="C62" s="16">
        <v>57.02</v>
      </c>
      <c r="D62" s="16">
        <v>59.59</v>
      </c>
      <c r="E62" s="16">
        <v>114.69</v>
      </c>
      <c r="F62" s="16">
        <v>78.319999999999993</v>
      </c>
      <c r="G62" s="16">
        <f>12/10*C62</f>
        <v>68.424000000000007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2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307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2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1311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5340</v>
      </c>
      <c r="D9" s="10">
        <v>67240</v>
      </c>
      <c r="E9" s="10"/>
      <c r="F9" s="10"/>
      <c r="G9" s="10">
        <f t="shared" ref="G9:G41" si="0">SUM(C9:F9)</f>
        <v>72580</v>
      </c>
      <c r="H9" s="16">
        <f t="shared" ref="H9:H41" si="1">ROUND(G9/1311,2)</f>
        <v>55.36</v>
      </c>
      <c r="I9" s="15">
        <f t="shared" ref="I9:I41" si="2">ROUND(G9/$G$42,3)</f>
        <v>7.8E-2</v>
      </c>
      <c r="J9" s="15">
        <f>ROUND(G9/88130-1,2)</f>
        <v>-0.18</v>
      </c>
    </row>
    <row r="10" spans="1:10" x14ac:dyDescent="0.25">
      <c r="A10" s="1" t="s">
        <v>16</v>
      </c>
      <c r="B10" s="1" t="s">
        <v>20</v>
      </c>
      <c r="C10" s="10"/>
      <c r="D10" s="10">
        <v>125560</v>
      </c>
      <c r="E10" s="10"/>
      <c r="F10" s="10"/>
      <c r="G10" s="10">
        <f t="shared" si="0"/>
        <v>125560</v>
      </c>
      <c r="H10" s="16">
        <f t="shared" si="1"/>
        <v>95.77</v>
      </c>
      <c r="I10" s="15">
        <f t="shared" si="2"/>
        <v>0.13500000000000001</v>
      </c>
      <c r="J10" s="15">
        <f>ROUND(G10/120420-1,2)</f>
        <v>0.04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50</v>
      </c>
      <c r="F11" s="10"/>
      <c r="G11" s="10">
        <f t="shared" si="0"/>
        <v>50</v>
      </c>
      <c r="H11" s="16">
        <f t="shared" si="1"/>
        <v>0.04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22</v>
      </c>
      <c r="C12" s="10"/>
      <c r="D12" s="10"/>
      <c r="E12" s="10">
        <v>1420</v>
      </c>
      <c r="F12" s="10"/>
      <c r="G12" s="10">
        <f t="shared" si="0"/>
        <v>1420</v>
      </c>
      <c r="H12" s="16">
        <f t="shared" si="1"/>
        <v>1.08</v>
      </c>
      <c r="I12" s="15">
        <f t="shared" si="2"/>
        <v>2E-3</v>
      </c>
      <c r="J12" s="15">
        <f>ROUND(G12/2700-1,2)</f>
        <v>-0.47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32460</v>
      </c>
      <c r="F13" s="10"/>
      <c r="G13" s="10">
        <f t="shared" si="0"/>
        <v>32460</v>
      </c>
      <c r="H13" s="16">
        <f t="shared" si="1"/>
        <v>24.76</v>
      </c>
      <c r="I13" s="15">
        <f t="shared" si="2"/>
        <v>3.5000000000000003E-2</v>
      </c>
      <c r="J13" s="15">
        <f>ROUND(G13/8770-1,2)</f>
        <v>2.7</v>
      </c>
    </row>
    <row r="14" spans="1:10" x14ac:dyDescent="0.25">
      <c r="A14" s="1" t="s">
        <v>16</v>
      </c>
      <c r="B14" s="1" t="s">
        <v>24</v>
      </c>
      <c r="C14" s="10"/>
      <c r="D14" s="10">
        <v>110500</v>
      </c>
      <c r="E14" s="10">
        <v>16970</v>
      </c>
      <c r="F14" s="10"/>
      <c r="G14" s="10">
        <f t="shared" si="0"/>
        <v>127470</v>
      </c>
      <c r="H14" s="16">
        <f t="shared" si="1"/>
        <v>97.23</v>
      </c>
      <c r="I14" s="15">
        <f t="shared" si="2"/>
        <v>0.13700000000000001</v>
      </c>
      <c r="J14" s="15">
        <f>ROUND(G14/121360-1,2)</f>
        <v>0.05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2400</v>
      </c>
      <c r="F15" s="10"/>
      <c r="G15" s="10">
        <f t="shared" si="0"/>
        <v>2400</v>
      </c>
      <c r="H15" s="16">
        <f t="shared" si="1"/>
        <v>1.83</v>
      </c>
      <c r="I15" s="15">
        <f t="shared" si="2"/>
        <v>3.0000000000000001E-3</v>
      </c>
      <c r="J15" s="15"/>
    </row>
    <row r="16" spans="1:10" x14ac:dyDescent="0.25">
      <c r="A16" s="1" t="s">
        <v>16</v>
      </c>
      <c r="B16" s="1" t="s">
        <v>26</v>
      </c>
      <c r="C16" s="10"/>
      <c r="D16" s="10">
        <v>108320</v>
      </c>
      <c r="E16" s="10"/>
      <c r="F16" s="10"/>
      <c r="G16" s="10">
        <f t="shared" si="0"/>
        <v>108320</v>
      </c>
      <c r="H16" s="16">
        <f t="shared" si="1"/>
        <v>82.62</v>
      </c>
      <c r="I16" s="15">
        <f t="shared" si="2"/>
        <v>0.11600000000000001</v>
      </c>
      <c r="J16" s="15">
        <f>ROUND(G16/111340-1,2)</f>
        <v>-0.03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1890</v>
      </c>
      <c r="F17" s="10"/>
      <c r="G17" s="10">
        <f t="shared" si="0"/>
        <v>1890</v>
      </c>
      <c r="H17" s="16">
        <f t="shared" si="1"/>
        <v>1.44</v>
      </c>
      <c r="I17" s="15">
        <f t="shared" si="2"/>
        <v>2E-3</v>
      </c>
      <c r="J17" s="15"/>
    </row>
    <row r="18" spans="1:10" x14ac:dyDescent="0.25">
      <c r="A18" s="1" t="s">
        <v>16</v>
      </c>
      <c r="B18" s="1" t="s">
        <v>32</v>
      </c>
      <c r="C18" s="10"/>
      <c r="D18" s="10"/>
      <c r="E18" s="10">
        <v>680</v>
      </c>
      <c r="F18" s="10"/>
      <c r="G18" s="10">
        <f t="shared" si="0"/>
        <v>680</v>
      </c>
      <c r="H18" s="16">
        <f t="shared" si="1"/>
        <v>0.52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33</v>
      </c>
      <c r="C19" s="10"/>
      <c r="D19" s="10"/>
      <c r="E19" s="10">
        <v>75</v>
      </c>
      <c r="F19" s="10"/>
      <c r="G19" s="10">
        <f t="shared" si="0"/>
        <v>75</v>
      </c>
      <c r="H19" s="16">
        <f t="shared" si="1"/>
        <v>0.06</v>
      </c>
      <c r="I19" s="15">
        <f t="shared" si="2"/>
        <v>0</v>
      </c>
      <c r="J19" s="15">
        <f>ROUND(G19/255-1,2)</f>
        <v>-0.71</v>
      </c>
    </row>
    <row r="20" spans="1:10" x14ac:dyDescent="0.25">
      <c r="A20" s="1" t="s">
        <v>16</v>
      </c>
      <c r="B20" s="1" t="s">
        <v>34</v>
      </c>
      <c r="C20" s="10"/>
      <c r="D20" s="10"/>
      <c r="E20" s="10">
        <v>300</v>
      </c>
      <c r="F20" s="10"/>
      <c r="G20" s="10">
        <f t="shared" si="0"/>
        <v>300</v>
      </c>
      <c r="H20" s="16">
        <f t="shared" si="1"/>
        <v>0.23</v>
      </c>
      <c r="I20" s="15">
        <f t="shared" si="2"/>
        <v>0</v>
      </c>
      <c r="J20" s="15">
        <f>ROUND(G20/550-1,2)</f>
        <v>-0.45</v>
      </c>
    </row>
    <row r="21" spans="1:10" x14ac:dyDescent="0.25">
      <c r="A21" s="1" t="s">
        <v>16</v>
      </c>
      <c r="B21" s="1" t="s">
        <v>37</v>
      </c>
      <c r="C21" s="10"/>
      <c r="D21" s="10"/>
      <c r="E21" s="10">
        <v>2430</v>
      </c>
      <c r="F21" s="10"/>
      <c r="G21" s="10">
        <f t="shared" si="0"/>
        <v>2430</v>
      </c>
      <c r="H21" s="16">
        <f t="shared" si="1"/>
        <v>1.85</v>
      </c>
      <c r="I21" s="15">
        <f t="shared" si="2"/>
        <v>3.0000000000000001E-3</v>
      </c>
      <c r="J21" s="15">
        <f>ROUND(G21/4110-1,2)</f>
        <v>-0.41</v>
      </c>
    </row>
    <row r="22" spans="1:10" x14ac:dyDescent="0.25">
      <c r="A22" s="1" t="s">
        <v>16</v>
      </c>
      <c r="B22" s="1" t="s">
        <v>43</v>
      </c>
      <c r="C22" s="10"/>
      <c r="D22" s="10"/>
      <c r="E22" s="10">
        <v>2309</v>
      </c>
      <c r="F22" s="10"/>
      <c r="G22" s="10">
        <f t="shared" si="0"/>
        <v>2309</v>
      </c>
      <c r="H22" s="16">
        <f t="shared" si="1"/>
        <v>1.76</v>
      </c>
      <c r="I22" s="15">
        <f t="shared" si="2"/>
        <v>2E-3</v>
      </c>
      <c r="J22" s="15">
        <f>ROUND(G22/1092-1,2)</f>
        <v>1.1100000000000001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79720</v>
      </c>
      <c r="F23" s="10"/>
      <c r="G23" s="10">
        <f t="shared" si="0"/>
        <v>79720</v>
      </c>
      <c r="H23" s="16">
        <f t="shared" si="1"/>
        <v>60.81</v>
      </c>
      <c r="I23" s="15">
        <f t="shared" si="2"/>
        <v>8.5000000000000006E-2</v>
      </c>
      <c r="J23" s="15">
        <f>ROUND(G23/36900-1,2)</f>
        <v>1.1599999999999999</v>
      </c>
    </row>
    <row r="24" spans="1:10" x14ac:dyDescent="0.25">
      <c r="A24" s="1" t="s">
        <v>16</v>
      </c>
      <c r="B24" s="1" t="s">
        <v>39</v>
      </c>
      <c r="C24" s="10"/>
      <c r="D24" s="10"/>
      <c r="E24" s="10">
        <v>3580</v>
      </c>
      <c r="F24" s="10"/>
      <c r="G24" s="10">
        <f t="shared" si="0"/>
        <v>3580</v>
      </c>
      <c r="H24" s="16">
        <f t="shared" si="1"/>
        <v>2.73</v>
      </c>
      <c r="I24" s="15">
        <f t="shared" si="2"/>
        <v>4.0000000000000001E-3</v>
      </c>
      <c r="J24" s="15">
        <f>ROUND(G24/4120-1,2)</f>
        <v>-0.13</v>
      </c>
    </row>
    <row r="25" spans="1:10" x14ac:dyDescent="0.25">
      <c r="A25" s="1" t="s">
        <v>16</v>
      </c>
      <c r="B25" s="1" t="s">
        <v>40</v>
      </c>
      <c r="C25" s="10"/>
      <c r="D25" s="10"/>
      <c r="E25" s="10">
        <v>13740</v>
      </c>
      <c r="F25" s="10"/>
      <c r="G25" s="10">
        <f t="shared" si="0"/>
        <v>13740</v>
      </c>
      <c r="H25" s="16">
        <f t="shared" si="1"/>
        <v>10.48</v>
      </c>
      <c r="I25" s="15">
        <f t="shared" si="2"/>
        <v>1.4999999999999999E-2</v>
      </c>
      <c r="J25" s="15">
        <f>ROUND(G25/3570-1,2)</f>
        <v>2.85</v>
      </c>
    </row>
    <row r="26" spans="1:10" x14ac:dyDescent="0.25">
      <c r="A26" s="1" t="s">
        <v>16</v>
      </c>
      <c r="B26" s="1" t="s">
        <v>41</v>
      </c>
      <c r="C26" s="10"/>
      <c r="D26" s="10"/>
      <c r="E26" s="10">
        <v>15180</v>
      </c>
      <c r="F26" s="10"/>
      <c r="G26" s="10">
        <f t="shared" si="0"/>
        <v>15180</v>
      </c>
      <c r="H26" s="16">
        <f t="shared" si="1"/>
        <v>11.58</v>
      </c>
      <c r="I26" s="15">
        <f t="shared" si="2"/>
        <v>1.6E-2</v>
      </c>
      <c r="J26" s="15">
        <f>ROUND(G26/1170-1,2)</f>
        <v>11.97</v>
      </c>
    </row>
    <row r="27" spans="1:10" x14ac:dyDescent="0.25">
      <c r="A27" s="1" t="s">
        <v>16</v>
      </c>
      <c r="B27" s="1" t="s">
        <v>18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ROUND(G27/3160-1,2)</f>
        <v>-1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ROUND(G28/1450-1,2)</f>
        <v>-1</v>
      </c>
    </row>
    <row r="29" spans="1:10" x14ac:dyDescent="0.25">
      <c r="A29" s="1" t="s">
        <v>16</v>
      </c>
      <c r="B29" s="1" t="s">
        <v>30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ROUND(G29/300-1,2)</f>
        <v>-1</v>
      </c>
    </row>
    <row r="30" spans="1:10" x14ac:dyDescent="0.25">
      <c r="A30" s="1" t="s">
        <v>16</v>
      </c>
      <c r="B30" s="1" t="s">
        <v>35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ROUND(G30/491-1,2)</f>
        <v>-1</v>
      </c>
    </row>
    <row r="31" spans="1:10" x14ac:dyDescent="0.25">
      <c r="A31" s="1" t="s">
        <v>16</v>
      </c>
      <c r="B31" s="1" t="s">
        <v>96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ROUND(G31/77-1,2)</f>
        <v>-1</v>
      </c>
    </row>
    <row r="32" spans="1:10" x14ac:dyDescent="0.25">
      <c r="A32" s="1" t="s">
        <v>16</v>
      </c>
      <c r="B32" s="1" t="s">
        <v>98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ROUND(G32/127-1,2)</f>
        <v>-1</v>
      </c>
    </row>
    <row r="33" spans="1:10" x14ac:dyDescent="0.25">
      <c r="A33" s="1" t="s">
        <v>16</v>
      </c>
      <c r="B33" s="1" t="s">
        <v>116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ROUND(G33/60140-1,2)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/>
      <c r="D36" s="10">
        <v>319160</v>
      </c>
      <c r="E36" s="10"/>
      <c r="F36" s="10"/>
      <c r="G36" s="10">
        <f t="shared" si="0"/>
        <v>319160</v>
      </c>
      <c r="H36" s="16">
        <f t="shared" si="1"/>
        <v>243.45</v>
      </c>
      <c r="I36" s="15">
        <f t="shared" si="2"/>
        <v>0.34200000000000003</v>
      </c>
      <c r="J36" s="15">
        <f>ROUND(G36/305660-1,2)</f>
        <v>0.04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23970</v>
      </c>
      <c r="F37" s="10"/>
      <c r="G37" s="10">
        <f t="shared" si="0"/>
        <v>23970</v>
      </c>
      <c r="H37" s="16">
        <f t="shared" si="1"/>
        <v>18.28</v>
      </c>
      <c r="I37" s="15">
        <f t="shared" si="2"/>
        <v>2.5999999999999999E-2</v>
      </c>
      <c r="J37" s="15">
        <f>ROUND(G37/22400-1,2)</f>
        <v>7.0000000000000007E-2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ROUND(G39/33-1,2)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ROUND(G40/196-1,2)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5" t="s">
        <v>12</v>
      </c>
      <c r="B42" s="25"/>
      <c r="C42" s="11">
        <f t="shared" ref="C42:H42" si="3">SUM(C8:C41)</f>
        <v>5340</v>
      </c>
      <c r="D42" s="11">
        <f t="shared" si="3"/>
        <v>730780</v>
      </c>
      <c r="E42" s="11">
        <f t="shared" si="3"/>
        <v>197174</v>
      </c>
      <c r="F42" s="11">
        <f t="shared" si="3"/>
        <v>0</v>
      </c>
      <c r="G42" s="11">
        <f t="shared" si="3"/>
        <v>933294</v>
      </c>
      <c r="H42" s="14">
        <f t="shared" si="3"/>
        <v>711.88</v>
      </c>
      <c r="I42" s="17"/>
      <c r="J42" s="17"/>
    </row>
    <row r="43" spans="1:10" x14ac:dyDescent="0.25">
      <c r="A43" s="25" t="s">
        <v>14</v>
      </c>
      <c r="B43" s="25"/>
      <c r="C43" s="12">
        <f>ROUND(C42/G42,2)</f>
        <v>0.01</v>
      </c>
      <c r="D43" s="12">
        <f>ROUND(D42/G42,2)</f>
        <v>0.78</v>
      </c>
      <c r="E43" s="12">
        <f>ROUND(E42/G42,2)</f>
        <v>0.21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5" t="s">
        <v>53</v>
      </c>
      <c r="B48" s="25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0" t="s">
        <v>54</v>
      </c>
      <c r="B49" s="20"/>
      <c r="C49" s="10">
        <v>5340</v>
      </c>
      <c r="D49" s="10">
        <v>411620</v>
      </c>
      <c r="E49" s="10">
        <v>173204</v>
      </c>
      <c r="F49" s="10">
        <v>0</v>
      </c>
      <c r="G49" s="10">
        <f>SUM(C49:F49)</f>
        <v>590164</v>
      </c>
      <c r="H49" s="16">
        <f>ROUND(G49/1311,2)</f>
        <v>450.16</v>
      </c>
      <c r="I49" s="9"/>
      <c r="J49" s="9"/>
    </row>
    <row r="50" spans="1:10" x14ac:dyDescent="0.25">
      <c r="A50" s="20" t="s">
        <v>55</v>
      </c>
      <c r="B50" s="20"/>
      <c r="C50" s="10">
        <v>0</v>
      </c>
      <c r="D50" s="10">
        <v>319160</v>
      </c>
      <c r="E50" s="10">
        <v>23970</v>
      </c>
      <c r="F50" s="10">
        <v>0</v>
      </c>
      <c r="G50" s="10">
        <f>SUM(C50:F50)</f>
        <v>343130</v>
      </c>
      <c r="H50" s="16">
        <f>ROUND(G50/1311,2)</f>
        <v>261.73</v>
      </c>
      <c r="I50" s="9"/>
      <c r="J50" s="9"/>
    </row>
    <row r="51" spans="1:10" x14ac:dyDescent="0.25">
      <c r="A51" s="20" t="s">
        <v>56</v>
      </c>
      <c r="B51" s="20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ROUND(G51/1311,2)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5" t="s">
        <v>57</v>
      </c>
      <c r="B56" s="25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0" t="s">
        <v>58</v>
      </c>
      <c r="B57" s="20"/>
      <c r="C57" s="15">
        <f>ROUND(0.6423, 4)</f>
        <v>0.64229999999999998</v>
      </c>
      <c r="D57" s="15">
        <f>ROUND(0.6459, 4)</f>
        <v>0.64590000000000003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3" t="s">
        <v>64</v>
      </c>
      <c r="J57" s="23" t="s">
        <v>65</v>
      </c>
    </row>
    <row r="58" spans="1:10" x14ac:dyDescent="0.25">
      <c r="A58" s="20" t="s">
        <v>66</v>
      </c>
      <c r="B58" s="20"/>
      <c r="C58" s="15">
        <f>ROUND(0.6123, 4)</f>
        <v>0.61229999999999996</v>
      </c>
      <c r="D58" s="15">
        <f>ROUND(0.6087, 4)</f>
        <v>0.60870000000000002</v>
      </c>
      <c r="E58" s="15">
        <f>ROUND(0.7608, 4)</f>
        <v>0.76080000000000003</v>
      </c>
      <c r="F58" s="8"/>
      <c r="G58" s="14" t="s">
        <v>67</v>
      </c>
      <c r="H58" s="27"/>
      <c r="I58" s="24"/>
      <c r="J58" s="24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68</v>
      </c>
      <c r="B62" s="25"/>
      <c r="C62" s="14" t="s">
        <v>2</v>
      </c>
      <c r="D62" s="14" t="s">
        <v>309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0" t="s">
        <v>73</v>
      </c>
      <c r="B63" s="20"/>
      <c r="C63" s="16">
        <v>243.45</v>
      </c>
      <c r="D63" s="16">
        <v>250.11</v>
      </c>
      <c r="E63" s="16">
        <v>91.13</v>
      </c>
      <c r="F63" s="16">
        <v>54.95</v>
      </c>
      <c r="G63" s="16">
        <f>12/10*C63</f>
        <v>292.14</v>
      </c>
      <c r="H63" s="8"/>
      <c r="I63" s="9"/>
      <c r="J63" s="9"/>
    </row>
    <row r="64" spans="1:10" x14ac:dyDescent="0.25">
      <c r="A64" s="20" t="s">
        <v>74</v>
      </c>
      <c r="B64" s="20"/>
      <c r="C64" s="16">
        <v>82.62</v>
      </c>
      <c r="D64" s="16">
        <v>92.89</v>
      </c>
      <c r="E64" s="16">
        <v>61.18</v>
      </c>
      <c r="F64" s="16">
        <v>62.89</v>
      </c>
      <c r="G64" s="16">
        <f>12/10*C64</f>
        <v>99.144000000000005</v>
      </c>
      <c r="H64" s="8"/>
      <c r="I64" s="9"/>
      <c r="J64" s="9"/>
    </row>
    <row r="65" spans="1:10" x14ac:dyDescent="0.25">
      <c r="A65" s="20" t="s">
        <v>75</v>
      </c>
      <c r="B65" s="20"/>
      <c r="C65" s="16">
        <v>450.16</v>
      </c>
      <c r="D65" s="16">
        <v>493.24</v>
      </c>
      <c r="E65" s="16">
        <v>287.25</v>
      </c>
      <c r="F65" s="16">
        <v>278.91000000000003</v>
      </c>
      <c r="G65" s="16">
        <f>12/10*C65</f>
        <v>540.19200000000001</v>
      </c>
      <c r="H65" s="8"/>
      <c r="I65" s="9"/>
      <c r="J65" s="9"/>
    </row>
    <row r="66" spans="1:10" x14ac:dyDescent="0.25">
      <c r="A66" s="20" t="s">
        <v>76</v>
      </c>
      <c r="B66" s="20"/>
      <c r="C66" s="16">
        <v>261.73</v>
      </c>
      <c r="D66" s="16">
        <v>277.29000000000002</v>
      </c>
      <c r="E66" s="16">
        <v>114.69</v>
      </c>
      <c r="F66" s="16">
        <v>78.319999999999993</v>
      </c>
      <c r="G66" s="16">
        <f>12/10*C66</f>
        <v>314.07600000000002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2"/>
    </row>
    <row r="70" spans="1:10" x14ac:dyDescent="0.25">
      <c r="A70" s="3" t="s">
        <v>77</v>
      </c>
      <c r="B70" s="1" t="s">
        <v>310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0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392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21890</v>
      </c>
      <c r="D9" s="10"/>
      <c r="E9" s="10"/>
      <c r="F9" s="10"/>
      <c r="G9" s="10">
        <f t="shared" ref="G9:G36" si="0">SUM(C9:F9)</f>
        <v>21890</v>
      </c>
      <c r="H9" s="16">
        <f t="shared" ref="H9:H36" si="1">ROUND(G9/392,2)</f>
        <v>55.84</v>
      </c>
      <c r="I9" s="15">
        <f t="shared" ref="I9:I36" si="2">ROUND(G9/$G$37,3)</f>
        <v>9.5000000000000001E-2</v>
      </c>
      <c r="J9" s="15">
        <f>ROUND(G9/23260-1,2)</f>
        <v>-0.06</v>
      </c>
    </row>
    <row r="10" spans="1:10" x14ac:dyDescent="0.25">
      <c r="A10" s="1" t="s">
        <v>16</v>
      </c>
      <c r="B10" s="1" t="s">
        <v>20</v>
      </c>
      <c r="C10" s="10">
        <v>45745</v>
      </c>
      <c r="D10" s="10"/>
      <c r="E10" s="10"/>
      <c r="F10" s="10"/>
      <c r="G10" s="10">
        <f t="shared" si="0"/>
        <v>45745</v>
      </c>
      <c r="H10" s="16">
        <f t="shared" si="1"/>
        <v>116.7</v>
      </c>
      <c r="I10" s="15">
        <f t="shared" si="2"/>
        <v>0.19800000000000001</v>
      </c>
      <c r="J10" s="15">
        <f>ROUND(G10/42010-1,2)</f>
        <v>0.09</v>
      </c>
    </row>
    <row r="11" spans="1:10" x14ac:dyDescent="0.25">
      <c r="A11" s="1" t="s">
        <v>16</v>
      </c>
      <c r="B11" s="1" t="s">
        <v>23</v>
      </c>
      <c r="C11" s="10"/>
      <c r="D11" s="10"/>
      <c r="E11" s="10">
        <v>7660</v>
      </c>
      <c r="F11" s="10"/>
      <c r="G11" s="10">
        <f t="shared" si="0"/>
        <v>7660</v>
      </c>
      <c r="H11" s="16">
        <f t="shared" si="1"/>
        <v>19.54</v>
      </c>
      <c r="I11" s="15">
        <f t="shared" si="2"/>
        <v>3.3000000000000002E-2</v>
      </c>
      <c r="J11" s="15">
        <f>ROUND(G11/18420-1,2)</f>
        <v>-0.57999999999999996</v>
      </c>
    </row>
    <row r="12" spans="1:10" x14ac:dyDescent="0.25">
      <c r="A12" s="1" t="s">
        <v>16</v>
      </c>
      <c r="B12" s="1" t="s">
        <v>24</v>
      </c>
      <c r="C12" s="10">
        <v>37440</v>
      </c>
      <c r="D12" s="10"/>
      <c r="E12" s="10"/>
      <c r="F12" s="10">
        <v>100</v>
      </c>
      <c r="G12" s="10">
        <f t="shared" si="0"/>
        <v>37540</v>
      </c>
      <c r="H12" s="16">
        <f t="shared" si="1"/>
        <v>95.77</v>
      </c>
      <c r="I12" s="15">
        <f t="shared" si="2"/>
        <v>0.16300000000000001</v>
      </c>
      <c r="J12" s="15">
        <f>ROUND(G12/31690-1,2)</f>
        <v>0.18</v>
      </c>
    </row>
    <row r="13" spans="1:10" x14ac:dyDescent="0.25">
      <c r="A13" s="1" t="s">
        <v>16</v>
      </c>
      <c r="B13" s="1" t="s">
        <v>26</v>
      </c>
      <c r="C13" s="10">
        <v>29640</v>
      </c>
      <c r="D13" s="10"/>
      <c r="E13" s="10"/>
      <c r="F13" s="10">
        <v>1100</v>
      </c>
      <c r="G13" s="10">
        <f t="shared" si="0"/>
        <v>30740</v>
      </c>
      <c r="H13" s="16">
        <f t="shared" si="1"/>
        <v>78.42</v>
      </c>
      <c r="I13" s="15">
        <f t="shared" si="2"/>
        <v>0.13300000000000001</v>
      </c>
      <c r="J13" s="15">
        <f>ROUND(G13/36160-1,2)</f>
        <v>-0.15</v>
      </c>
    </row>
    <row r="14" spans="1:10" x14ac:dyDescent="0.25">
      <c r="A14" s="1" t="s">
        <v>16</v>
      </c>
      <c r="B14" s="1" t="s">
        <v>33</v>
      </c>
      <c r="C14" s="10"/>
      <c r="D14" s="10"/>
      <c r="E14" s="10">
        <v>48</v>
      </c>
      <c r="F14" s="10"/>
      <c r="G14" s="10">
        <f t="shared" si="0"/>
        <v>48</v>
      </c>
      <c r="H14" s="16">
        <f t="shared" si="1"/>
        <v>0.12</v>
      </c>
      <c r="I14" s="15">
        <f t="shared" si="2"/>
        <v>0</v>
      </c>
      <c r="J14" s="15"/>
    </row>
    <row r="15" spans="1:10" x14ac:dyDescent="0.25">
      <c r="A15" s="1" t="s">
        <v>16</v>
      </c>
      <c r="B15" s="1" t="s">
        <v>38</v>
      </c>
      <c r="C15" s="10"/>
      <c r="D15" s="10"/>
      <c r="E15" s="10">
        <v>12640</v>
      </c>
      <c r="F15" s="10"/>
      <c r="G15" s="10">
        <f t="shared" si="0"/>
        <v>12640</v>
      </c>
      <c r="H15" s="16">
        <f t="shared" si="1"/>
        <v>32.24</v>
      </c>
      <c r="I15" s="15">
        <f t="shared" si="2"/>
        <v>5.5E-2</v>
      </c>
      <c r="J15" s="15">
        <f>ROUND(G15/17370-1,2)</f>
        <v>-0.27</v>
      </c>
    </row>
    <row r="16" spans="1:10" x14ac:dyDescent="0.25">
      <c r="A16" s="1" t="s">
        <v>16</v>
      </c>
      <c r="B16" s="1" t="s">
        <v>40</v>
      </c>
      <c r="C16" s="10"/>
      <c r="D16" s="10"/>
      <c r="E16" s="10">
        <v>7860</v>
      </c>
      <c r="F16" s="10"/>
      <c r="G16" s="10">
        <f t="shared" si="0"/>
        <v>7860</v>
      </c>
      <c r="H16" s="16">
        <f t="shared" si="1"/>
        <v>20.05</v>
      </c>
      <c r="I16" s="15">
        <f t="shared" si="2"/>
        <v>3.4000000000000002E-2</v>
      </c>
      <c r="J16" s="15">
        <f>ROUND(G16/4830-1,2)</f>
        <v>0.63</v>
      </c>
    </row>
    <row r="17" spans="1:10" x14ac:dyDescent="0.25">
      <c r="A17" s="1" t="s">
        <v>16</v>
      </c>
      <c r="B17" s="1" t="s">
        <v>42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16</v>
      </c>
      <c r="B18" s="1" t="s">
        <v>29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>
        <f>ROUND(G18/1460-1,2)</f>
        <v>-1</v>
      </c>
    </row>
    <row r="19" spans="1:10" x14ac:dyDescent="0.25">
      <c r="A19" s="1" t="s">
        <v>16</v>
      </c>
      <c r="B19" s="1" t="s">
        <v>37</v>
      </c>
      <c r="C19" s="10"/>
      <c r="D19" s="10"/>
      <c r="E19" s="10"/>
      <c r="F19" s="10"/>
      <c r="G19" s="10">
        <f t="shared" si="0"/>
        <v>0</v>
      </c>
      <c r="H19" s="16">
        <f t="shared" si="1"/>
        <v>0</v>
      </c>
      <c r="I19" s="15">
        <f t="shared" si="2"/>
        <v>0</v>
      </c>
      <c r="J19" s="15">
        <f>ROUND(G19/1720-1,2)</f>
        <v>-1</v>
      </c>
    </row>
    <row r="20" spans="1:10" x14ac:dyDescent="0.25">
      <c r="A20" s="1" t="s">
        <v>16</v>
      </c>
      <c r="B20" s="1" t="s">
        <v>43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>
        <f>ROUND(G20/1840-1,2)</f>
        <v>-1</v>
      </c>
    </row>
    <row r="21" spans="1:10" x14ac:dyDescent="0.25">
      <c r="A21" s="1" t="s">
        <v>16</v>
      </c>
      <c r="B21" s="1" t="s">
        <v>30</v>
      </c>
      <c r="C21" s="10"/>
      <c r="D21" s="10"/>
      <c r="E21" s="10"/>
      <c r="F21" s="10"/>
      <c r="G21" s="10">
        <f t="shared" si="0"/>
        <v>0</v>
      </c>
      <c r="H21" s="16">
        <f t="shared" si="1"/>
        <v>0</v>
      </c>
      <c r="I21" s="15">
        <f t="shared" si="2"/>
        <v>0</v>
      </c>
      <c r="J21" s="15">
        <f>ROUND(G21/200-1,2)</f>
        <v>-1</v>
      </c>
    </row>
    <row r="22" spans="1:10" x14ac:dyDescent="0.25">
      <c r="A22" s="1" t="s">
        <v>16</v>
      </c>
      <c r="B22" s="1" t="s">
        <v>41</v>
      </c>
      <c r="C22" s="10"/>
      <c r="D22" s="10"/>
      <c r="E22" s="10"/>
      <c r="F22" s="10"/>
      <c r="G22" s="10">
        <f t="shared" si="0"/>
        <v>0</v>
      </c>
      <c r="H22" s="16">
        <f t="shared" si="1"/>
        <v>0</v>
      </c>
      <c r="I22" s="15">
        <f t="shared" si="2"/>
        <v>0</v>
      </c>
      <c r="J22" s="15">
        <f>ROUND(G22/1460-1,2)</f>
        <v>-1</v>
      </c>
    </row>
    <row r="23" spans="1:10" x14ac:dyDescent="0.25">
      <c r="A23" s="1" t="s">
        <v>16</v>
      </c>
      <c r="B23" s="1" t="s">
        <v>98</v>
      </c>
      <c r="C23" s="10"/>
      <c r="D23" s="10"/>
      <c r="E23" s="10"/>
      <c r="F23" s="10"/>
      <c r="G23" s="10">
        <f t="shared" si="0"/>
        <v>0</v>
      </c>
      <c r="H23" s="16">
        <f t="shared" si="1"/>
        <v>0</v>
      </c>
      <c r="I23" s="15">
        <f t="shared" si="2"/>
        <v>0</v>
      </c>
      <c r="J23" s="15">
        <f>ROUND(G23/100-1,2)</f>
        <v>-1</v>
      </c>
    </row>
    <row r="24" spans="1:10" x14ac:dyDescent="0.25">
      <c r="A24" s="1" t="s">
        <v>16</v>
      </c>
      <c r="B24" s="1" t="s">
        <v>36</v>
      </c>
      <c r="C24" s="10"/>
      <c r="D24" s="10"/>
      <c r="E24" s="10"/>
      <c r="F24" s="10"/>
      <c r="G24" s="10">
        <f t="shared" si="0"/>
        <v>0</v>
      </c>
      <c r="H24" s="16">
        <f t="shared" si="1"/>
        <v>0</v>
      </c>
      <c r="I24" s="15">
        <f t="shared" si="2"/>
        <v>0</v>
      </c>
      <c r="J24" s="15">
        <f>ROUND(G24/710-1,2)</f>
        <v>-1</v>
      </c>
    </row>
    <row r="25" spans="1:10" x14ac:dyDescent="0.25">
      <c r="A25" s="1" t="s">
        <v>16</v>
      </c>
      <c r="B25" s="1" t="s">
        <v>25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ROUND(G25/1390-1,2)</f>
        <v>-1</v>
      </c>
    </row>
    <row r="26" spans="1:10" x14ac:dyDescent="0.25">
      <c r="A26" s="1" t="s">
        <v>16</v>
      </c>
      <c r="B26" s="1" t="s">
        <v>21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32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120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22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58540</v>
      </c>
      <c r="D33" s="10"/>
      <c r="E33" s="10"/>
      <c r="F33" s="10">
        <v>80</v>
      </c>
      <c r="G33" s="10">
        <f t="shared" si="0"/>
        <v>58620</v>
      </c>
      <c r="H33" s="16">
        <f t="shared" si="1"/>
        <v>149.54</v>
      </c>
      <c r="I33" s="15">
        <f t="shared" si="2"/>
        <v>0.254</v>
      </c>
      <c r="J33" s="15">
        <f>ROUND(G33/68520-1,2)</f>
        <v>-0.14000000000000001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8230</v>
      </c>
      <c r="F34" s="10"/>
      <c r="G34" s="10">
        <f t="shared" si="0"/>
        <v>8230</v>
      </c>
      <c r="H34" s="16">
        <f t="shared" si="1"/>
        <v>20.99</v>
      </c>
      <c r="I34" s="15">
        <f t="shared" si="2"/>
        <v>3.5999999999999997E-2</v>
      </c>
      <c r="J34" s="15">
        <f>ROUND(G34/8930-1,2)</f>
        <v>-0.08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ROUND(G36/4-1,2)</f>
        <v>-1</v>
      </c>
    </row>
    <row r="37" spans="1:10" x14ac:dyDescent="0.25">
      <c r="A37" s="25" t="s">
        <v>12</v>
      </c>
      <c r="B37" s="25"/>
      <c r="C37" s="11">
        <f t="shared" ref="C37:H37" si="3">SUM(C8:C36)</f>
        <v>193255</v>
      </c>
      <c r="D37" s="11">
        <f t="shared" si="3"/>
        <v>0</v>
      </c>
      <c r="E37" s="11">
        <f t="shared" si="3"/>
        <v>36438</v>
      </c>
      <c r="F37" s="11">
        <f t="shared" si="3"/>
        <v>1280</v>
      </c>
      <c r="G37" s="11">
        <f t="shared" si="3"/>
        <v>230973</v>
      </c>
      <c r="H37" s="14">
        <f t="shared" si="3"/>
        <v>589.21</v>
      </c>
      <c r="I37" s="17"/>
      <c r="J37" s="17"/>
    </row>
    <row r="38" spans="1:10" x14ac:dyDescent="0.25">
      <c r="A38" s="25" t="s">
        <v>14</v>
      </c>
      <c r="B38" s="25"/>
      <c r="C38" s="12">
        <f>ROUND(C37/G37,2)</f>
        <v>0.84</v>
      </c>
      <c r="D38" s="12">
        <f>ROUND(D37/G37,2)</f>
        <v>0</v>
      </c>
      <c r="E38" s="12">
        <f>ROUND(E37/G37,2)</f>
        <v>0.16</v>
      </c>
      <c r="F38" s="12">
        <f>ROUND(F37/G37,2)</f>
        <v>0.01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5" t="s">
        <v>53</v>
      </c>
      <c r="B43" s="25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0" t="s">
        <v>54</v>
      </c>
      <c r="B44" s="20"/>
      <c r="C44" s="10">
        <v>134715</v>
      </c>
      <c r="D44" s="10">
        <v>0</v>
      </c>
      <c r="E44" s="10">
        <v>28208</v>
      </c>
      <c r="F44" s="10">
        <v>1200</v>
      </c>
      <c r="G44" s="10">
        <f>SUM(C44:F44)</f>
        <v>164123</v>
      </c>
      <c r="H44" s="16">
        <f>ROUND(G44/392,2)</f>
        <v>418.68</v>
      </c>
      <c r="I44" s="9"/>
      <c r="J44" s="9"/>
    </row>
    <row r="45" spans="1:10" x14ac:dyDescent="0.25">
      <c r="A45" s="20" t="s">
        <v>55</v>
      </c>
      <c r="B45" s="20"/>
      <c r="C45" s="10">
        <v>58540</v>
      </c>
      <c r="D45" s="10">
        <v>0</v>
      </c>
      <c r="E45" s="10">
        <v>8230</v>
      </c>
      <c r="F45" s="10">
        <v>80</v>
      </c>
      <c r="G45" s="10">
        <f>SUM(C45:F45)</f>
        <v>66850</v>
      </c>
      <c r="H45" s="16">
        <f>ROUND(G45/392,2)</f>
        <v>170.54</v>
      </c>
      <c r="I45" s="9"/>
      <c r="J45" s="9"/>
    </row>
    <row r="46" spans="1:10" x14ac:dyDescent="0.25">
      <c r="A46" s="20" t="s">
        <v>56</v>
      </c>
      <c r="B46" s="20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ROUND(G46/392,2)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57</v>
      </c>
      <c r="B51" s="25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0" t="s">
        <v>58</v>
      </c>
      <c r="B52" s="20"/>
      <c r="C52" s="15">
        <f>ROUND(0.7335, 4)</f>
        <v>0.73350000000000004</v>
      </c>
      <c r="D52" s="15">
        <f>ROUND(0.7232, 4)</f>
        <v>0.72319999999999995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3" t="s">
        <v>64</v>
      </c>
      <c r="J52" s="23" t="s">
        <v>65</v>
      </c>
    </row>
    <row r="53" spans="1:10" x14ac:dyDescent="0.25">
      <c r="A53" s="20" t="s">
        <v>66</v>
      </c>
      <c r="B53" s="20"/>
      <c r="C53" s="15">
        <f>ROUND(0.6971, 4)</f>
        <v>0.69710000000000005</v>
      </c>
      <c r="D53" s="15">
        <f>ROUND(0.6889, 4)</f>
        <v>0.68889999999999996</v>
      </c>
      <c r="E53" s="15">
        <f>ROUND(0.7608, 4)</f>
        <v>0.76080000000000003</v>
      </c>
      <c r="F53" s="8"/>
      <c r="G53" s="14" t="s">
        <v>67</v>
      </c>
      <c r="H53" s="27"/>
      <c r="I53" s="24"/>
      <c r="J53" s="24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68</v>
      </c>
      <c r="B57" s="25"/>
      <c r="C57" s="14" t="s">
        <v>2</v>
      </c>
      <c r="D57" s="14" t="s">
        <v>312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0" t="s">
        <v>73</v>
      </c>
      <c r="B58" s="20"/>
      <c r="C58" s="16">
        <v>149.54</v>
      </c>
      <c r="D58" s="16">
        <v>183.95</v>
      </c>
      <c r="E58" s="16">
        <v>91.13</v>
      </c>
      <c r="F58" s="16">
        <v>54.95</v>
      </c>
      <c r="G58" s="16">
        <f>12/10*C58</f>
        <v>179.44799999999998</v>
      </c>
      <c r="H58" s="8"/>
      <c r="I58" s="9"/>
      <c r="J58" s="9"/>
    </row>
    <row r="59" spans="1:10" x14ac:dyDescent="0.25">
      <c r="A59" s="20" t="s">
        <v>74</v>
      </c>
      <c r="B59" s="20"/>
      <c r="C59" s="16">
        <v>78.42</v>
      </c>
      <c r="D59" s="16">
        <v>96.26</v>
      </c>
      <c r="E59" s="16">
        <v>61.18</v>
      </c>
      <c r="F59" s="16">
        <v>62.89</v>
      </c>
      <c r="G59" s="16">
        <f>12/10*C59</f>
        <v>94.103999999999999</v>
      </c>
      <c r="H59" s="8"/>
      <c r="I59" s="9"/>
      <c r="J59" s="9"/>
    </row>
    <row r="60" spans="1:10" x14ac:dyDescent="0.25">
      <c r="A60" s="20" t="s">
        <v>75</v>
      </c>
      <c r="B60" s="20"/>
      <c r="C60" s="16">
        <v>418.68</v>
      </c>
      <c r="D60" s="16">
        <v>493.45</v>
      </c>
      <c r="E60" s="16">
        <v>287.25</v>
      </c>
      <c r="F60" s="16">
        <v>278.91000000000003</v>
      </c>
      <c r="G60" s="16">
        <f>12/10*C60</f>
        <v>502.416</v>
      </c>
      <c r="H60" s="8"/>
      <c r="I60" s="9"/>
      <c r="J60" s="9"/>
    </row>
    <row r="61" spans="1:10" x14ac:dyDescent="0.25">
      <c r="A61" s="20" t="s">
        <v>76</v>
      </c>
      <c r="B61" s="20"/>
      <c r="C61" s="16">
        <v>170.54</v>
      </c>
      <c r="D61" s="16">
        <v>241.14</v>
      </c>
      <c r="E61" s="16">
        <v>114.69</v>
      </c>
      <c r="F61" s="16">
        <v>78.319999999999993</v>
      </c>
      <c r="G61" s="16">
        <f>12/10*C61</f>
        <v>204.648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2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313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5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3688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20</v>
      </c>
      <c r="F9" s="10"/>
      <c r="G9" s="10">
        <f t="shared" ref="G9:G44" si="0">SUM(C9:F9)</f>
        <v>20</v>
      </c>
      <c r="H9" s="16">
        <f t="shared" ref="H9:H44" si="1">ROUND(G9/3688,2)</f>
        <v>0.01</v>
      </c>
      <c r="I9" s="15">
        <f t="shared" ref="I9:I44" si="2">ROUND(G9/$G$45,3)</f>
        <v>0</v>
      </c>
      <c r="J9" s="15">
        <f>ROUND(G9/50-1,2)</f>
        <v>-0.6</v>
      </c>
    </row>
    <row r="10" spans="1:10" x14ac:dyDescent="0.25">
      <c r="A10" s="1" t="s">
        <v>16</v>
      </c>
      <c r="B10" s="1" t="s">
        <v>19</v>
      </c>
      <c r="C10" s="10">
        <v>113770</v>
      </c>
      <c r="D10" s="10"/>
      <c r="E10" s="10">
        <v>3020</v>
      </c>
      <c r="F10" s="10">
        <v>540</v>
      </c>
      <c r="G10" s="10">
        <f t="shared" si="0"/>
        <v>117330</v>
      </c>
      <c r="H10" s="16">
        <f t="shared" si="1"/>
        <v>31.81</v>
      </c>
      <c r="I10" s="15">
        <f t="shared" si="2"/>
        <v>0.12</v>
      </c>
      <c r="J10" s="15">
        <f>ROUND(G10/107050-1,2)</f>
        <v>0.1</v>
      </c>
    </row>
    <row r="11" spans="1:10" x14ac:dyDescent="0.25">
      <c r="A11" s="1" t="s">
        <v>16</v>
      </c>
      <c r="B11" s="1" t="s">
        <v>20</v>
      </c>
      <c r="C11" s="10">
        <v>117830</v>
      </c>
      <c r="D11" s="10"/>
      <c r="E11" s="10"/>
      <c r="F11" s="10"/>
      <c r="G11" s="10">
        <f t="shared" si="0"/>
        <v>117830</v>
      </c>
      <c r="H11" s="16">
        <f t="shared" si="1"/>
        <v>31.95</v>
      </c>
      <c r="I11" s="15">
        <f t="shared" si="2"/>
        <v>0.12</v>
      </c>
      <c r="J11" s="15">
        <f>ROUND(G11/121440-1,2)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56</v>
      </c>
      <c r="F12" s="10"/>
      <c r="G12" s="10">
        <f t="shared" si="0"/>
        <v>56</v>
      </c>
      <c r="H12" s="16">
        <f t="shared" si="1"/>
        <v>0.02</v>
      </c>
      <c r="I12" s="15">
        <f t="shared" si="2"/>
        <v>0</v>
      </c>
      <c r="J12" s="15">
        <f>ROUND(G12/48-1,2)</f>
        <v>0.17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167</v>
      </c>
      <c r="F13" s="10"/>
      <c r="G13" s="10">
        <f t="shared" si="0"/>
        <v>167</v>
      </c>
      <c r="H13" s="16">
        <f t="shared" si="1"/>
        <v>0.05</v>
      </c>
      <c r="I13" s="15">
        <f t="shared" si="2"/>
        <v>0</v>
      </c>
      <c r="J13" s="15">
        <f>ROUND(G13/126-1,2)</f>
        <v>0.33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37960</v>
      </c>
      <c r="F14" s="10"/>
      <c r="G14" s="10">
        <f t="shared" si="0"/>
        <v>37960</v>
      </c>
      <c r="H14" s="16">
        <f t="shared" si="1"/>
        <v>10.29</v>
      </c>
      <c r="I14" s="15">
        <f t="shared" si="2"/>
        <v>3.9E-2</v>
      </c>
      <c r="J14" s="15">
        <f>ROUND(G14/35480-1,2)</f>
        <v>7.0000000000000007E-2</v>
      </c>
    </row>
    <row r="15" spans="1:10" x14ac:dyDescent="0.25">
      <c r="A15" s="1" t="s">
        <v>16</v>
      </c>
      <c r="B15" s="1" t="s">
        <v>24</v>
      </c>
      <c r="C15" s="10">
        <v>135600</v>
      </c>
      <c r="D15" s="10"/>
      <c r="E15" s="10">
        <v>11580</v>
      </c>
      <c r="F15" s="10"/>
      <c r="G15" s="10">
        <f t="shared" si="0"/>
        <v>147180</v>
      </c>
      <c r="H15" s="16">
        <f t="shared" si="1"/>
        <v>39.909999999999997</v>
      </c>
      <c r="I15" s="15">
        <f t="shared" si="2"/>
        <v>0.15</v>
      </c>
      <c r="J15" s="15">
        <f>ROUND(G15/148930-1,2)</f>
        <v>-0.01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1750</v>
      </c>
      <c r="F16" s="10"/>
      <c r="G16" s="10">
        <f t="shared" si="0"/>
        <v>1750</v>
      </c>
      <c r="H16" s="16">
        <f t="shared" si="1"/>
        <v>0.47</v>
      </c>
      <c r="I16" s="15">
        <f t="shared" si="2"/>
        <v>2E-3</v>
      </c>
      <c r="J16" s="15">
        <f>ROUND(G16/2840-1,2)</f>
        <v>-0.38</v>
      </c>
    </row>
    <row r="17" spans="1:10" x14ac:dyDescent="0.25">
      <c r="A17" s="1" t="s">
        <v>16</v>
      </c>
      <c r="B17" s="1" t="s">
        <v>26</v>
      </c>
      <c r="C17" s="10">
        <v>150300</v>
      </c>
      <c r="D17" s="10"/>
      <c r="E17" s="10"/>
      <c r="F17" s="10">
        <v>1200</v>
      </c>
      <c r="G17" s="10">
        <f t="shared" si="0"/>
        <v>151500</v>
      </c>
      <c r="H17" s="16">
        <f t="shared" si="1"/>
        <v>41.08</v>
      </c>
      <c r="I17" s="15">
        <f t="shared" si="2"/>
        <v>0.154</v>
      </c>
      <c r="J17" s="15">
        <f>ROUND(G17/143020-1,2)</f>
        <v>0.06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348</v>
      </c>
      <c r="F18" s="10"/>
      <c r="G18" s="10">
        <f t="shared" si="0"/>
        <v>348</v>
      </c>
      <c r="H18" s="16">
        <f t="shared" si="1"/>
        <v>0.09</v>
      </c>
      <c r="I18" s="15">
        <f t="shared" si="2"/>
        <v>0</v>
      </c>
      <c r="J18" s="15">
        <f>ROUND(G18/806-1,2)</f>
        <v>-0.56999999999999995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279</v>
      </c>
      <c r="F19" s="10"/>
      <c r="G19" s="10">
        <f t="shared" si="0"/>
        <v>279</v>
      </c>
      <c r="H19" s="16">
        <f t="shared" si="1"/>
        <v>0.08</v>
      </c>
      <c r="I19" s="15">
        <f t="shared" si="2"/>
        <v>0</v>
      </c>
      <c r="J19" s="15">
        <f>ROUND(G19/175-1,2)</f>
        <v>0.59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4210</v>
      </c>
      <c r="F20" s="10"/>
      <c r="G20" s="10">
        <f t="shared" si="0"/>
        <v>4210</v>
      </c>
      <c r="H20" s="16">
        <f t="shared" si="1"/>
        <v>1.1399999999999999</v>
      </c>
      <c r="I20" s="15">
        <f t="shared" si="2"/>
        <v>4.0000000000000001E-3</v>
      </c>
      <c r="J20" s="15">
        <f>ROUND(G20/5380-1,2)</f>
        <v>-0.22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1000</v>
      </c>
      <c r="F21" s="10"/>
      <c r="G21" s="10">
        <f t="shared" si="0"/>
        <v>1000</v>
      </c>
      <c r="H21" s="16">
        <f t="shared" si="1"/>
        <v>0.27</v>
      </c>
      <c r="I21" s="15">
        <f t="shared" si="2"/>
        <v>1E-3</v>
      </c>
      <c r="J21" s="15">
        <f>ROUND(G21/970-1,2)</f>
        <v>0.03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400</v>
      </c>
      <c r="F22" s="10"/>
      <c r="G22" s="10">
        <f t="shared" si="0"/>
        <v>400</v>
      </c>
      <c r="H22" s="16">
        <f t="shared" si="1"/>
        <v>0.11</v>
      </c>
      <c r="I22" s="15">
        <f t="shared" si="2"/>
        <v>0</v>
      </c>
      <c r="J22" s="15">
        <f>ROUND(G22/520-1,2)</f>
        <v>-0.23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2715</v>
      </c>
      <c r="F23" s="10"/>
      <c r="G23" s="10">
        <f t="shared" si="0"/>
        <v>2715</v>
      </c>
      <c r="H23" s="16">
        <f t="shared" si="1"/>
        <v>0.74</v>
      </c>
      <c r="I23" s="15">
        <f t="shared" si="2"/>
        <v>3.0000000000000001E-3</v>
      </c>
      <c r="J23" s="15">
        <f>ROUND(G23/2025-1,2)</f>
        <v>0.34</v>
      </c>
    </row>
    <row r="24" spans="1:10" x14ac:dyDescent="0.25">
      <c r="A24" s="1" t="s">
        <v>16</v>
      </c>
      <c r="B24" s="1" t="s">
        <v>33</v>
      </c>
      <c r="C24" s="10"/>
      <c r="D24" s="10">
        <v>384</v>
      </c>
      <c r="E24" s="10"/>
      <c r="F24" s="10"/>
      <c r="G24" s="10">
        <f t="shared" si="0"/>
        <v>384</v>
      </c>
      <c r="H24" s="16">
        <f t="shared" si="1"/>
        <v>0.1</v>
      </c>
      <c r="I24" s="15">
        <f t="shared" si="2"/>
        <v>0</v>
      </c>
      <c r="J24" s="15">
        <f>ROUND(G24/309-1,2)</f>
        <v>0.24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265</v>
      </c>
      <c r="F25" s="10"/>
      <c r="G25" s="10">
        <f t="shared" si="0"/>
        <v>265</v>
      </c>
      <c r="H25" s="16">
        <f t="shared" si="1"/>
        <v>7.0000000000000007E-2</v>
      </c>
      <c r="I25" s="15">
        <f t="shared" si="2"/>
        <v>0</v>
      </c>
      <c r="J25" s="15">
        <f>ROUND(G25/355-1,2)</f>
        <v>-0.25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1740</v>
      </c>
      <c r="F26" s="10"/>
      <c r="G26" s="10">
        <f t="shared" si="0"/>
        <v>1740</v>
      </c>
      <c r="H26" s="16">
        <f t="shared" si="1"/>
        <v>0.47</v>
      </c>
      <c r="I26" s="15">
        <f t="shared" si="2"/>
        <v>2E-3</v>
      </c>
      <c r="J26" s="15">
        <f>ROUND(G26/2450-1,2)</f>
        <v>-0.28999999999999998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11510</v>
      </c>
      <c r="F27" s="10"/>
      <c r="G27" s="10">
        <f t="shared" si="0"/>
        <v>11510</v>
      </c>
      <c r="H27" s="16">
        <f t="shared" si="1"/>
        <v>3.12</v>
      </c>
      <c r="I27" s="15">
        <f t="shared" si="2"/>
        <v>1.2E-2</v>
      </c>
      <c r="J27" s="15">
        <f>ROUND(G27/6434-1,2)</f>
        <v>0.79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3745</v>
      </c>
      <c r="F28" s="10"/>
      <c r="G28" s="10">
        <f t="shared" si="0"/>
        <v>3745</v>
      </c>
      <c r="H28" s="16">
        <f t="shared" si="1"/>
        <v>1.02</v>
      </c>
      <c r="I28" s="15">
        <f t="shared" si="2"/>
        <v>4.0000000000000001E-3</v>
      </c>
      <c r="J28" s="15">
        <f>ROUND(G28/12594-1,2)</f>
        <v>-0.7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65230</v>
      </c>
      <c r="F29" s="10"/>
      <c r="G29" s="10">
        <f t="shared" si="0"/>
        <v>65230</v>
      </c>
      <c r="H29" s="16">
        <f t="shared" si="1"/>
        <v>17.690000000000001</v>
      </c>
      <c r="I29" s="15">
        <f t="shared" si="2"/>
        <v>6.6000000000000003E-2</v>
      </c>
      <c r="J29" s="15">
        <f>ROUND(G29/45620-1,2)</f>
        <v>0.43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5710</v>
      </c>
      <c r="F30" s="10"/>
      <c r="G30" s="10">
        <f t="shared" si="0"/>
        <v>5710</v>
      </c>
      <c r="H30" s="16">
        <f t="shared" si="1"/>
        <v>1.55</v>
      </c>
      <c r="I30" s="15">
        <f t="shared" si="2"/>
        <v>6.0000000000000001E-3</v>
      </c>
      <c r="J30" s="15">
        <f>ROUND(G30/4910-1,2)</f>
        <v>0.16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24670</v>
      </c>
      <c r="F31" s="10"/>
      <c r="G31" s="10">
        <f t="shared" si="0"/>
        <v>24670</v>
      </c>
      <c r="H31" s="16">
        <f t="shared" si="1"/>
        <v>6.69</v>
      </c>
      <c r="I31" s="15">
        <f t="shared" si="2"/>
        <v>2.5000000000000001E-2</v>
      </c>
      <c r="J31" s="15">
        <f>ROUND(G31/23920-1,2)</f>
        <v>0.03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33260</v>
      </c>
      <c r="F32" s="10"/>
      <c r="G32" s="10">
        <f t="shared" si="0"/>
        <v>33260</v>
      </c>
      <c r="H32" s="16">
        <f t="shared" si="1"/>
        <v>9.02</v>
      </c>
      <c r="I32" s="15">
        <f t="shared" si="2"/>
        <v>3.4000000000000002E-2</v>
      </c>
      <c r="J32" s="15">
        <f>ROUND(G32/36580-1,2)</f>
        <v>-0.09</v>
      </c>
    </row>
    <row r="33" spans="1:10" x14ac:dyDescent="0.25">
      <c r="A33" s="1" t="s">
        <v>16</v>
      </c>
      <c r="B33" s="1" t="s">
        <v>98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ROUND(G33/125-1,2)</f>
        <v>-1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ROUND(G34/2818-1,2)</f>
        <v>-1</v>
      </c>
    </row>
    <row r="35" spans="1:10" x14ac:dyDescent="0.25">
      <c r="A35" s="1" t="s">
        <v>16</v>
      </c>
      <c r="B35" s="1" t="s">
        <v>22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219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ROUND(G37/157-1,2)</f>
        <v>-1</v>
      </c>
    </row>
    <row r="38" spans="1:10" x14ac:dyDescent="0.25">
      <c r="A38" s="1" t="s">
        <v>16</v>
      </c>
      <c r="B38" s="1" t="s">
        <v>99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145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44</v>
      </c>
      <c r="B40" s="1" t="s">
        <v>45</v>
      </c>
      <c r="C40" s="10">
        <v>146690</v>
      </c>
      <c r="D40" s="10"/>
      <c r="E40" s="10"/>
      <c r="F40" s="10"/>
      <c r="G40" s="10">
        <f t="shared" si="0"/>
        <v>146690</v>
      </c>
      <c r="H40" s="16">
        <f t="shared" si="1"/>
        <v>39.770000000000003</v>
      </c>
      <c r="I40" s="15">
        <f t="shared" si="2"/>
        <v>0.14899999999999999</v>
      </c>
      <c r="J40" s="15">
        <f>ROUND(G40/140870-1,2)</f>
        <v>0.04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>
        <v>35470</v>
      </c>
      <c r="G41" s="10">
        <f t="shared" si="0"/>
        <v>35470</v>
      </c>
      <c r="H41" s="16">
        <f t="shared" si="1"/>
        <v>9.6199999999999992</v>
      </c>
      <c r="I41" s="15">
        <f t="shared" si="2"/>
        <v>3.5999999999999997E-2</v>
      </c>
      <c r="J41" s="15">
        <f>ROUND(G41/42100-1,2)</f>
        <v>-0.16</v>
      </c>
    </row>
    <row r="42" spans="1:10" x14ac:dyDescent="0.25">
      <c r="A42" s="1" t="s">
        <v>44</v>
      </c>
      <c r="B42" s="1" t="s">
        <v>46</v>
      </c>
      <c r="C42" s="10"/>
      <c r="D42" s="10"/>
      <c r="E42" s="10">
        <v>70220</v>
      </c>
      <c r="F42" s="10"/>
      <c r="G42" s="10">
        <f t="shared" si="0"/>
        <v>70220</v>
      </c>
      <c r="H42" s="16">
        <f t="shared" si="1"/>
        <v>19.04</v>
      </c>
      <c r="I42" s="15">
        <f t="shared" si="2"/>
        <v>7.1999999999999995E-2</v>
      </c>
      <c r="J42" s="15">
        <f>ROUND(G42/60700-1,2)</f>
        <v>0.16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ROUND(G43/505-1,2)</f>
        <v>-1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5" t="s">
        <v>12</v>
      </c>
      <c r="B45" s="25"/>
      <c r="C45" s="11">
        <f t="shared" ref="C45:H45" si="3">SUM(C8:C44)</f>
        <v>664190</v>
      </c>
      <c r="D45" s="11">
        <f t="shared" si="3"/>
        <v>384</v>
      </c>
      <c r="E45" s="11">
        <f t="shared" si="3"/>
        <v>279855</v>
      </c>
      <c r="F45" s="11">
        <f t="shared" si="3"/>
        <v>37210</v>
      </c>
      <c r="G45" s="11">
        <f t="shared" si="3"/>
        <v>981639</v>
      </c>
      <c r="H45" s="14">
        <f t="shared" si="3"/>
        <v>266.18000000000006</v>
      </c>
      <c r="I45" s="17"/>
      <c r="J45" s="17"/>
    </row>
    <row r="46" spans="1:10" x14ac:dyDescent="0.25">
      <c r="A46" s="25" t="s">
        <v>14</v>
      </c>
      <c r="B46" s="25"/>
      <c r="C46" s="12">
        <f>ROUND(C45/G45,2)</f>
        <v>0.68</v>
      </c>
      <c r="D46" s="12">
        <f>ROUND(D45/G45,2)</f>
        <v>0</v>
      </c>
      <c r="E46" s="12">
        <f>ROUND(E45/G45,2)</f>
        <v>0.28999999999999998</v>
      </c>
      <c r="F46" s="12">
        <f>ROUND(F45/G45,2)</f>
        <v>0.04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53</v>
      </c>
      <c r="B51" s="25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0" t="s">
        <v>54</v>
      </c>
      <c r="B52" s="20"/>
      <c r="C52" s="10">
        <v>517500</v>
      </c>
      <c r="D52" s="10">
        <v>384</v>
      </c>
      <c r="E52" s="10">
        <v>209635</v>
      </c>
      <c r="F52" s="10">
        <v>1740</v>
      </c>
      <c r="G52" s="10">
        <f>SUM(C52:F52)</f>
        <v>729259</v>
      </c>
      <c r="H52" s="16">
        <f>ROUND(G52/3688,2)</f>
        <v>197.74</v>
      </c>
      <c r="I52" s="9"/>
      <c r="J52" s="9"/>
    </row>
    <row r="53" spans="1:10" x14ac:dyDescent="0.25">
      <c r="A53" s="20" t="s">
        <v>55</v>
      </c>
      <c r="B53" s="20"/>
      <c r="C53" s="10">
        <v>146690</v>
      </c>
      <c r="D53" s="10">
        <v>0</v>
      </c>
      <c r="E53" s="10">
        <v>70220</v>
      </c>
      <c r="F53" s="10">
        <v>35470</v>
      </c>
      <c r="G53" s="10">
        <f>SUM(C53:F53)</f>
        <v>252380</v>
      </c>
      <c r="H53" s="16">
        <f>ROUND(G53/3688,2)</f>
        <v>68.430000000000007</v>
      </c>
      <c r="I53" s="9"/>
      <c r="J53" s="9"/>
    </row>
    <row r="54" spans="1:10" x14ac:dyDescent="0.25">
      <c r="A54" s="20" t="s">
        <v>56</v>
      </c>
      <c r="B54" s="20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ROUND(G54/3688,2)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57</v>
      </c>
      <c r="B59" s="25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0" t="s">
        <v>58</v>
      </c>
      <c r="B60" s="20"/>
      <c r="C60" s="15">
        <f>ROUND(0.8348, 4)</f>
        <v>0.83479999999999999</v>
      </c>
      <c r="D60" s="15">
        <f>ROUND(0.8281, 4)</f>
        <v>0.82809999999999995</v>
      </c>
      <c r="E60" s="15">
        <f>ROUND(0.777, 4)</f>
        <v>0.77700000000000002</v>
      </c>
      <c r="F60" s="8"/>
      <c r="G60" s="14" t="s">
        <v>62</v>
      </c>
      <c r="H60" s="26" t="s">
        <v>63</v>
      </c>
      <c r="I60" s="23" t="s">
        <v>64</v>
      </c>
      <c r="J60" s="23" t="s">
        <v>65</v>
      </c>
    </row>
    <row r="61" spans="1:10" x14ac:dyDescent="0.25">
      <c r="A61" s="20" t="s">
        <v>66</v>
      </c>
      <c r="B61" s="20"/>
      <c r="C61" s="15">
        <f>ROUND(0.8188, 4)</f>
        <v>0.81879999999999997</v>
      </c>
      <c r="D61" s="15">
        <f>ROUND(0.8133, 4)</f>
        <v>0.81330000000000002</v>
      </c>
      <c r="E61" s="15">
        <f>ROUND(0.7608, 4)</f>
        <v>0.76080000000000003</v>
      </c>
      <c r="F61" s="8"/>
      <c r="G61" s="14" t="s">
        <v>67</v>
      </c>
      <c r="H61" s="27"/>
      <c r="I61" s="24"/>
      <c r="J61" s="24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5" t="s">
        <v>68</v>
      </c>
      <c r="B65" s="25"/>
      <c r="C65" s="14" t="s">
        <v>2</v>
      </c>
      <c r="D65" s="14" t="s">
        <v>315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0" t="s">
        <v>73</v>
      </c>
      <c r="B66" s="20"/>
      <c r="C66" s="16">
        <v>39.770000000000003</v>
      </c>
      <c r="D66" s="16">
        <v>63.59</v>
      </c>
      <c r="E66" s="16">
        <v>91.13</v>
      </c>
      <c r="F66" s="16">
        <v>54.95</v>
      </c>
      <c r="G66" s="16">
        <f>12/10*C66</f>
        <v>47.724000000000004</v>
      </c>
      <c r="H66" s="8"/>
      <c r="I66" s="9"/>
      <c r="J66" s="9"/>
    </row>
    <row r="67" spans="1:10" x14ac:dyDescent="0.25">
      <c r="A67" s="20" t="s">
        <v>74</v>
      </c>
      <c r="B67" s="20"/>
      <c r="C67" s="16">
        <v>41.08</v>
      </c>
      <c r="D67" s="16">
        <v>46.65</v>
      </c>
      <c r="E67" s="16">
        <v>61.18</v>
      </c>
      <c r="F67" s="16">
        <v>62.89</v>
      </c>
      <c r="G67" s="16">
        <f>12/10*C67</f>
        <v>49.295999999999999</v>
      </c>
      <c r="H67" s="8"/>
      <c r="I67" s="9"/>
      <c r="J67" s="9"/>
    </row>
    <row r="68" spans="1:10" x14ac:dyDescent="0.25">
      <c r="A68" s="20" t="s">
        <v>75</v>
      </c>
      <c r="B68" s="20"/>
      <c r="C68" s="16">
        <v>197.74</v>
      </c>
      <c r="D68" s="16">
        <v>235.16</v>
      </c>
      <c r="E68" s="16">
        <v>287.25</v>
      </c>
      <c r="F68" s="16">
        <v>278.91000000000003</v>
      </c>
      <c r="G68" s="16">
        <f>12/10*C68</f>
        <v>237.28800000000001</v>
      </c>
      <c r="H68" s="8"/>
      <c r="I68" s="9"/>
      <c r="J68" s="9"/>
    </row>
    <row r="69" spans="1:10" x14ac:dyDescent="0.25">
      <c r="A69" s="20" t="s">
        <v>76</v>
      </c>
      <c r="B69" s="20"/>
      <c r="C69" s="16">
        <v>68.430000000000007</v>
      </c>
      <c r="D69" s="16">
        <v>90.8</v>
      </c>
      <c r="E69" s="16">
        <v>114.69</v>
      </c>
      <c r="F69" s="16">
        <v>78.319999999999993</v>
      </c>
      <c r="G69" s="16">
        <f>12/10*C69</f>
        <v>82.116</v>
      </c>
      <c r="H69" s="8"/>
      <c r="I69" s="9"/>
      <c r="J69" s="9"/>
    </row>
    <row r="72" spans="1:10" x14ac:dyDescent="0.25">
      <c r="A72" s="21" t="s">
        <v>60</v>
      </c>
      <c r="B72" s="22"/>
    </row>
    <row r="73" spans="1:10" x14ac:dyDescent="0.25">
      <c r="A73" s="3" t="s">
        <v>77</v>
      </c>
      <c r="B73" s="1" t="s">
        <v>316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4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872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7" si="0">SUM(C9:F9)</f>
        <v>19</v>
      </c>
      <c r="H9" s="16">
        <f t="shared" ref="H9:H37" si="1">ROUND(G9/872,2)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22530</v>
      </c>
      <c r="D10" s="10"/>
      <c r="E10" s="10">
        <v>3487</v>
      </c>
      <c r="F10" s="10">
        <v>80</v>
      </c>
      <c r="G10" s="10">
        <f t="shared" si="0"/>
        <v>26097</v>
      </c>
      <c r="H10" s="16">
        <f t="shared" si="1"/>
        <v>29.93</v>
      </c>
      <c r="I10" s="15">
        <f t="shared" si="2"/>
        <v>9.5000000000000001E-2</v>
      </c>
      <c r="J10" s="15">
        <f>ROUND(G10/24651.18-1,2)</f>
        <v>0.06</v>
      </c>
    </row>
    <row r="11" spans="1:10" x14ac:dyDescent="0.25">
      <c r="A11" s="1" t="s">
        <v>16</v>
      </c>
      <c r="B11" s="1" t="s">
        <v>20</v>
      </c>
      <c r="C11" s="10">
        <v>29890</v>
      </c>
      <c r="D11" s="10"/>
      <c r="E11" s="10"/>
      <c r="F11" s="10"/>
      <c r="G11" s="10">
        <f t="shared" si="0"/>
        <v>29890</v>
      </c>
      <c r="H11" s="16">
        <f t="shared" si="1"/>
        <v>34.28</v>
      </c>
      <c r="I11" s="15">
        <f t="shared" si="2"/>
        <v>0.109</v>
      </c>
      <c r="J11" s="15">
        <f>ROUND(G11/33740-1,2)</f>
        <v>-0.11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78</v>
      </c>
      <c r="F12" s="10"/>
      <c r="G12" s="10">
        <f t="shared" si="0"/>
        <v>78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965</v>
      </c>
      <c r="F13" s="10"/>
      <c r="G13" s="10">
        <f t="shared" si="0"/>
        <v>965</v>
      </c>
      <c r="H13" s="16">
        <f t="shared" si="1"/>
        <v>1.1100000000000001</v>
      </c>
      <c r="I13" s="15">
        <f t="shared" si="2"/>
        <v>4.0000000000000001E-3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21970</v>
      </c>
      <c r="F14" s="10"/>
      <c r="G14" s="10">
        <f t="shared" si="0"/>
        <v>21970</v>
      </c>
      <c r="H14" s="16">
        <f t="shared" si="1"/>
        <v>25.19</v>
      </c>
      <c r="I14" s="15">
        <f t="shared" si="2"/>
        <v>0.08</v>
      </c>
      <c r="J14" s="15">
        <f>ROUND(G14/6192.14-1,2)</f>
        <v>2.5499999999999998</v>
      </c>
    </row>
    <row r="15" spans="1:10" x14ac:dyDescent="0.25">
      <c r="A15" s="1" t="s">
        <v>16</v>
      </c>
      <c r="B15" s="1" t="s">
        <v>24</v>
      </c>
      <c r="C15" s="10">
        <v>26750</v>
      </c>
      <c r="D15" s="10"/>
      <c r="E15" s="10">
        <v>8567</v>
      </c>
      <c r="F15" s="10"/>
      <c r="G15" s="10">
        <f t="shared" si="0"/>
        <v>35317</v>
      </c>
      <c r="H15" s="16">
        <f t="shared" si="1"/>
        <v>40.5</v>
      </c>
      <c r="I15" s="15">
        <f t="shared" si="2"/>
        <v>0.128</v>
      </c>
      <c r="J15" s="15">
        <f>ROUND(G15/27467.15-1,2)</f>
        <v>0.28999999999999998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1412</v>
      </c>
      <c r="F16" s="10"/>
      <c r="G16" s="10">
        <f t="shared" si="0"/>
        <v>1412</v>
      </c>
      <c r="H16" s="16">
        <f t="shared" si="1"/>
        <v>1.62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28000</v>
      </c>
      <c r="D17" s="10"/>
      <c r="E17" s="10"/>
      <c r="F17" s="10">
        <v>10</v>
      </c>
      <c r="G17" s="10">
        <f t="shared" si="0"/>
        <v>28010</v>
      </c>
      <c r="H17" s="16">
        <f t="shared" si="1"/>
        <v>32.119999999999997</v>
      </c>
      <c r="I17" s="15">
        <f t="shared" si="2"/>
        <v>0.10199999999999999</v>
      </c>
      <c r="J17" s="15">
        <f>ROUND(G17/31100-1,2)</f>
        <v>-0.1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261</v>
      </c>
      <c r="F18" s="10"/>
      <c r="G18" s="10">
        <f t="shared" si="0"/>
        <v>261</v>
      </c>
      <c r="H18" s="16">
        <f t="shared" si="1"/>
        <v>0.3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171</v>
      </c>
      <c r="F19" s="10"/>
      <c r="G19" s="10">
        <f t="shared" si="0"/>
        <v>171</v>
      </c>
      <c r="H19" s="16">
        <f t="shared" si="1"/>
        <v>0.2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29</v>
      </c>
      <c r="F20" s="10"/>
      <c r="G20" s="10">
        <f t="shared" si="0"/>
        <v>29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667</v>
      </c>
      <c r="F21" s="10"/>
      <c r="G21" s="10">
        <f t="shared" si="0"/>
        <v>667</v>
      </c>
      <c r="H21" s="16">
        <f t="shared" si="1"/>
        <v>0.76</v>
      </c>
      <c r="I21" s="15">
        <f t="shared" si="2"/>
        <v>2E-3</v>
      </c>
      <c r="J21" s="15">
        <f>ROUND(G21/1053.75-1,2)</f>
        <v>-0.37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159</v>
      </c>
      <c r="F22" s="10"/>
      <c r="G22" s="10">
        <f t="shared" si="0"/>
        <v>159</v>
      </c>
      <c r="H22" s="16">
        <f t="shared" si="1"/>
        <v>0.18</v>
      </c>
      <c r="I22" s="15">
        <f t="shared" si="2"/>
        <v>1E-3</v>
      </c>
      <c r="J22" s="15">
        <f>ROUND(G22/104.12-1,2)</f>
        <v>0.53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184</v>
      </c>
      <c r="F23" s="10"/>
      <c r="G23" s="10">
        <f t="shared" si="0"/>
        <v>184</v>
      </c>
      <c r="H23" s="16">
        <f t="shared" si="1"/>
        <v>0.21</v>
      </c>
      <c r="I23" s="15">
        <f t="shared" si="2"/>
        <v>1E-3</v>
      </c>
      <c r="J23" s="15">
        <f>ROUND(G23/30-1,2)</f>
        <v>5.13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526</v>
      </c>
      <c r="F24" s="10"/>
      <c r="G24" s="10">
        <f t="shared" si="0"/>
        <v>526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73</v>
      </c>
      <c r="F25" s="10"/>
      <c r="G25" s="10">
        <f t="shared" si="0"/>
        <v>73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1197</v>
      </c>
      <c r="F26" s="10"/>
      <c r="G26" s="10">
        <f t="shared" si="0"/>
        <v>1197</v>
      </c>
      <c r="H26" s="16">
        <f t="shared" si="1"/>
        <v>1.37</v>
      </c>
      <c r="I26" s="15">
        <f t="shared" si="2"/>
        <v>4.0000000000000001E-3</v>
      </c>
      <c r="J26" s="15">
        <f>ROUND(G26/220.47-1,2)</f>
        <v>4.43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1181</v>
      </c>
      <c r="F27" s="10"/>
      <c r="G27" s="10">
        <f t="shared" si="0"/>
        <v>1181</v>
      </c>
      <c r="H27" s="16">
        <f t="shared" si="1"/>
        <v>1.35</v>
      </c>
      <c r="I27" s="15">
        <f t="shared" si="2"/>
        <v>4.0000000000000001E-3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21076</v>
      </c>
      <c r="F28" s="10"/>
      <c r="G28" s="10">
        <f t="shared" si="0"/>
        <v>21076</v>
      </c>
      <c r="H28" s="16">
        <f t="shared" si="1"/>
        <v>24.17</v>
      </c>
      <c r="I28" s="15">
        <f t="shared" si="2"/>
        <v>7.6999999999999999E-2</v>
      </c>
      <c r="J28" s="15">
        <f>ROUND(G28/8212.37-1,2)</f>
        <v>1.57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7810</v>
      </c>
      <c r="F29" s="10"/>
      <c r="G29" s="10">
        <f t="shared" si="0"/>
        <v>7810</v>
      </c>
      <c r="H29" s="16">
        <f t="shared" si="1"/>
        <v>8.9600000000000009</v>
      </c>
      <c r="I29" s="15">
        <f t="shared" si="2"/>
        <v>2.8000000000000001E-2</v>
      </c>
      <c r="J29" s="15">
        <f>ROUND(G29/3584.75-1,2)</f>
        <v>1.18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14878</v>
      </c>
      <c r="F30" s="10"/>
      <c r="G30" s="10">
        <f t="shared" si="0"/>
        <v>14878</v>
      </c>
      <c r="H30" s="16">
        <f t="shared" si="1"/>
        <v>17.059999999999999</v>
      </c>
      <c r="I30" s="15">
        <f t="shared" si="2"/>
        <v>5.3999999999999999E-2</v>
      </c>
      <c r="J30" s="15">
        <f>ROUND(G30/704.07-1,2)</f>
        <v>20.13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ROUND(G31/328.12-1,2)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63960</v>
      </c>
      <c r="D34" s="10"/>
      <c r="E34" s="10"/>
      <c r="F34" s="10">
        <v>40</v>
      </c>
      <c r="G34" s="10">
        <f t="shared" si="0"/>
        <v>64000</v>
      </c>
      <c r="H34" s="16">
        <f t="shared" si="1"/>
        <v>73.39</v>
      </c>
      <c r="I34" s="15">
        <f t="shared" si="2"/>
        <v>0.23300000000000001</v>
      </c>
      <c r="J34" s="15">
        <f>ROUND(G34/69990-1,2)</f>
        <v>-0.09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>
        <v>6370</v>
      </c>
      <c r="G35" s="10">
        <f t="shared" si="0"/>
        <v>6370</v>
      </c>
      <c r="H35" s="16">
        <f t="shared" si="1"/>
        <v>7.31</v>
      </c>
      <c r="I35" s="15">
        <f t="shared" si="2"/>
        <v>2.3E-2</v>
      </c>
      <c r="J35" s="15"/>
    </row>
    <row r="36" spans="1:10" x14ac:dyDescent="0.25">
      <c r="A36" s="1" t="s">
        <v>44</v>
      </c>
      <c r="B36" s="1" t="s">
        <v>46</v>
      </c>
      <c r="C36" s="10"/>
      <c r="D36" s="10"/>
      <c r="E36" s="10">
        <v>12865</v>
      </c>
      <c r="F36" s="10"/>
      <c r="G36" s="10">
        <f t="shared" si="0"/>
        <v>12865</v>
      </c>
      <c r="H36" s="16">
        <f t="shared" si="1"/>
        <v>14.75</v>
      </c>
      <c r="I36" s="15">
        <f t="shared" si="2"/>
        <v>4.7E-2</v>
      </c>
      <c r="J36" s="15">
        <f>ROUND(G36/4719.52-1,2)</f>
        <v>1.73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5" t="s">
        <v>12</v>
      </c>
      <c r="B38" s="25"/>
      <c r="C38" s="11">
        <f t="shared" ref="C38:H38" si="3">SUM(C8:C37)</f>
        <v>171130</v>
      </c>
      <c r="D38" s="11">
        <f t="shared" si="3"/>
        <v>0</v>
      </c>
      <c r="E38" s="11">
        <f t="shared" si="3"/>
        <v>97575</v>
      </c>
      <c r="F38" s="11">
        <f t="shared" si="3"/>
        <v>6500</v>
      </c>
      <c r="G38" s="11">
        <f t="shared" si="3"/>
        <v>275205</v>
      </c>
      <c r="H38" s="14">
        <f t="shared" si="3"/>
        <v>315.58000000000004</v>
      </c>
      <c r="I38" s="17"/>
      <c r="J38" s="17"/>
    </row>
    <row r="39" spans="1:10" x14ac:dyDescent="0.25">
      <c r="A39" s="25" t="s">
        <v>14</v>
      </c>
      <c r="B39" s="25"/>
      <c r="C39" s="12">
        <f>ROUND(C38/G38,2)</f>
        <v>0.62</v>
      </c>
      <c r="D39" s="12">
        <f>ROUND(D38/G38,2)</f>
        <v>0</v>
      </c>
      <c r="E39" s="12">
        <f>ROUND(E38/G38,2)</f>
        <v>0.35</v>
      </c>
      <c r="F39" s="12">
        <f>ROUND(F38/G38,2)</f>
        <v>0.02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5" t="s">
        <v>53</v>
      </c>
      <c r="B44" s="25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0" t="s">
        <v>54</v>
      </c>
      <c r="B45" s="20"/>
      <c r="C45" s="10">
        <v>107170</v>
      </c>
      <c r="D45" s="10">
        <v>0</v>
      </c>
      <c r="E45" s="10">
        <v>84710</v>
      </c>
      <c r="F45" s="10">
        <v>90</v>
      </c>
      <c r="G45" s="10">
        <f>SUM(C45:F45)</f>
        <v>191970</v>
      </c>
      <c r="H45" s="16">
        <f>ROUND(G45/872,2)</f>
        <v>220.15</v>
      </c>
      <c r="I45" s="9"/>
      <c r="J45" s="9"/>
    </row>
    <row r="46" spans="1:10" x14ac:dyDescent="0.25">
      <c r="A46" s="20" t="s">
        <v>55</v>
      </c>
      <c r="B46" s="20"/>
      <c r="C46" s="10">
        <v>63960</v>
      </c>
      <c r="D46" s="10">
        <v>0</v>
      </c>
      <c r="E46" s="10">
        <v>12865</v>
      </c>
      <c r="F46" s="10">
        <v>6410</v>
      </c>
      <c r="G46" s="10">
        <f>SUM(C46:F46)</f>
        <v>83235</v>
      </c>
      <c r="H46" s="16">
        <f>ROUND(G46/872,2)</f>
        <v>95.45</v>
      </c>
      <c r="I46" s="9"/>
      <c r="J46" s="9"/>
    </row>
    <row r="47" spans="1:10" x14ac:dyDescent="0.25">
      <c r="A47" s="20" t="s">
        <v>56</v>
      </c>
      <c r="B47" s="20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ROUND(G47/872,2)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5" t="s">
        <v>57</v>
      </c>
      <c r="B52" s="25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0" t="s">
        <v>58</v>
      </c>
      <c r="B53" s="20"/>
      <c r="C53" s="15">
        <f>ROUND(0.7396, 4)</f>
        <v>0.73960000000000004</v>
      </c>
      <c r="D53" s="15">
        <f>ROUND(0.6403, 4)</f>
        <v>0.64029999999999998</v>
      </c>
      <c r="E53" s="15">
        <f>ROUND(0.777, 4)</f>
        <v>0.77700000000000002</v>
      </c>
      <c r="F53" s="8"/>
      <c r="G53" s="14" t="s">
        <v>62</v>
      </c>
      <c r="H53" s="26" t="s">
        <v>63</v>
      </c>
      <c r="I53" s="23" t="s">
        <v>64</v>
      </c>
      <c r="J53" s="23" t="s">
        <v>65</v>
      </c>
    </row>
    <row r="54" spans="1:10" x14ac:dyDescent="0.25">
      <c r="A54" s="20" t="s">
        <v>66</v>
      </c>
      <c r="B54" s="20"/>
      <c r="C54" s="15">
        <f>ROUND(0.7012, 4)</f>
        <v>0.70120000000000005</v>
      </c>
      <c r="D54" s="15">
        <f>ROUND(0.5967, 4)</f>
        <v>0.59670000000000001</v>
      </c>
      <c r="E54" s="15">
        <f>ROUND(0.7608, 4)</f>
        <v>0.76080000000000003</v>
      </c>
      <c r="F54" s="8"/>
      <c r="G54" s="14" t="s">
        <v>67</v>
      </c>
      <c r="H54" s="27"/>
      <c r="I54" s="24"/>
      <c r="J54" s="24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68</v>
      </c>
      <c r="B58" s="25"/>
      <c r="C58" s="14" t="s">
        <v>2</v>
      </c>
      <c r="D58" s="14" t="s">
        <v>318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0" t="s">
        <v>73</v>
      </c>
      <c r="B59" s="20"/>
      <c r="C59" s="16">
        <v>73.39</v>
      </c>
      <c r="D59" s="16">
        <v>85.73</v>
      </c>
      <c r="E59" s="16">
        <v>91.13</v>
      </c>
      <c r="F59" s="16">
        <v>54.95</v>
      </c>
      <c r="G59" s="16">
        <f>12/10*C59</f>
        <v>88.067999999999998</v>
      </c>
      <c r="H59" s="8"/>
      <c r="I59" s="9"/>
      <c r="J59" s="9"/>
    </row>
    <row r="60" spans="1:10" x14ac:dyDescent="0.25">
      <c r="A60" s="20" t="s">
        <v>74</v>
      </c>
      <c r="B60" s="20"/>
      <c r="C60" s="16">
        <v>32.119999999999997</v>
      </c>
      <c r="D60" s="16">
        <v>44.43</v>
      </c>
      <c r="E60" s="16">
        <v>61.18</v>
      </c>
      <c r="F60" s="16">
        <v>62.89</v>
      </c>
      <c r="G60" s="16">
        <f>12/10*C60</f>
        <v>38.543999999999997</v>
      </c>
      <c r="H60" s="8"/>
      <c r="I60" s="9"/>
      <c r="J60" s="9"/>
    </row>
    <row r="61" spans="1:10" x14ac:dyDescent="0.25">
      <c r="A61" s="20" t="s">
        <v>75</v>
      </c>
      <c r="B61" s="20"/>
      <c r="C61" s="16">
        <v>220.15</v>
      </c>
      <c r="D61" s="16">
        <v>208.61</v>
      </c>
      <c r="E61" s="16">
        <v>287.25</v>
      </c>
      <c r="F61" s="16">
        <v>278.91000000000003</v>
      </c>
      <c r="G61" s="16">
        <f>12/10*C61</f>
        <v>264.18</v>
      </c>
      <c r="H61" s="8"/>
      <c r="I61" s="9"/>
      <c r="J61" s="9"/>
    </row>
    <row r="62" spans="1:10" x14ac:dyDescent="0.25">
      <c r="A62" s="20" t="s">
        <v>76</v>
      </c>
      <c r="B62" s="20"/>
      <c r="C62" s="16">
        <v>95.45</v>
      </c>
      <c r="D62" s="16">
        <v>103.4</v>
      </c>
      <c r="E62" s="16">
        <v>114.69</v>
      </c>
      <c r="F62" s="16">
        <v>78.319999999999993</v>
      </c>
      <c r="G62" s="16">
        <f>12/10*C62</f>
        <v>114.54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1" t="s">
        <v>60</v>
      </c>
      <c r="B65" s="22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319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0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1228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25</v>
      </c>
      <c r="F9" s="10"/>
      <c r="G9" s="10">
        <f t="shared" ref="G9:G44" si="0">SUM(C9:F9)</f>
        <v>25</v>
      </c>
      <c r="H9" s="16">
        <f t="shared" ref="H9:H44" si="1">ROUND(G9/1228,2)</f>
        <v>0.02</v>
      </c>
      <c r="I9" s="15">
        <f t="shared" ref="I9:I44" si="2">ROUND(G9/$G$45,3)</f>
        <v>0</v>
      </c>
      <c r="J9" s="15">
        <f>ROUND(G9/75-1,2)</f>
        <v>-0.67</v>
      </c>
    </row>
    <row r="10" spans="1:10" x14ac:dyDescent="0.25">
      <c r="A10" s="1" t="s">
        <v>16</v>
      </c>
      <c r="B10" s="1" t="s">
        <v>19</v>
      </c>
      <c r="C10" s="10">
        <v>35160</v>
      </c>
      <c r="D10" s="10"/>
      <c r="E10" s="10">
        <v>4499</v>
      </c>
      <c r="F10" s="10"/>
      <c r="G10" s="10">
        <f t="shared" si="0"/>
        <v>39659</v>
      </c>
      <c r="H10" s="16">
        <f t="shared" si="1"/>
        <v>32.299999999999997</v>
      </c>
      <c r="I10" s="15">
        <f t="shared" si="2"/>
        <v>7.8E-2</v>
      </c>
      <c r="J10" s="15">
        <f>ROUND(G10/51468.06-1,2)</f>
        <v>-0.23</v>
      </c>
    </row>
    <row r="11" spans="1:10" x14ac:dyDescent="0.25">
      <c r="A11" s="1" t="s">
        <v>16</v>
      </c>
      <c r="B11" s="1" t="s">
        <v>20</v>
      </c>
      <c r="C11" s="10">
        <v>52900</v>
      </c>
      <c r="D11" s="10"/>
      <c r="E11" s="10"/>
      <c r="F11" s="10"/>
      <c r="G11" s="10">
        <f t="shared" si="0"/>
        <v>52900</v>
      </c>
      <c r="H11" s="16">
        <f t="shared" si="1"/>
        <v>43.08</v>
      </c>
      <c r="I11" s="15">
        <f t="shared" si="2"/>
        <v>0.104</v>
      </c>
      <c r="J11" s="15">
        <f>ROUND(G11/54755-1,2)</f>
        <v>-0.03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117</v>
      </c>
      <c r="F12" s="10"/>
      <c r="G12" s="10">
        <f t="shared" si="0"/>
        <v>117</v>
      </c>
      <c r="H12" s="16">
        <f t="shared" si="1"/>
        <v>0.1</v>
      </c>
      <c r="I12" s="15">
        <f t="shared" si="2"/>
        <v>0</v>
      </c>
      <c r="J12" s="15">
        <f>ROUND(G12/344.28-1,2)</f>
        <v>-0.66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879</v>
      </c>
      <c r="F13" s="10"/>
      <c r="G13" s="10">
        <f t="shared" si="0"/>
        <v>879</v>
      </c>
      <c r="H13" s="16">
        <f t="shared" si="1"/>
        <v>0.72</v>
      </c>
      <c r="I13" s="15">
        <f t="shared" si="2"/>
        <v>2E-3</v>
      </c>
      <c r="J13" s="15">
        <f>ROUND(G13/2045.72-1,2)</f>
        <v>-0.56999999999999995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42427</v>
      </c>
      <c r="F14" s="10"/>
      <c r="G14" s="10">
        <f t="shared" si="0"/>
        <v>42427</v>
      </c>
      <c r="H14" s="16">
        <f t="shared" si="1"/>
        <v>34.549999999999997</v>
      </c>
      <c r="I14" s="15">
        <f t="shared" si="2"/>
        <v>8.3000000000000004E-2</v>
      </c>
      <c r="J14" s="15">
        <f>ROUND(G14/96165.97-1,2)</f>
        <v>-0.56000000000000005</v>
      </c>
    </row>
    <row r="15" spans="1:10" x14ac:dyDescent="0.25">
      <c r="A15" s="1" t="s">
        <v>16</v>
      </c>
      <c r="B15" s="1" t="s">
        <v>24</v>
      </c>
      <c r="C15" s="10">
        <v>46930</v>
      </c>
      <c r="D15" s="10"/>
      <c r="E15" s="10">
        <v>15864</v>
      </c>
      <c r="F15" s="10"/>
      <c r="G15" s="10">
        <f t="shared" si="0"/>
        <v>62794</v>
      </c>
      <c r="H15" s="16">
        <f t="shared" si="1"/>
        <v>51.14</v>
      </c>
      <c r="I15" s="15">
        <f t="shared" si="2"/>
        <v>0.123</v>
      </c>
      <c r="J15" s="15">
        <f>ROUND(G15/79026.67-1,2)</f>
        <v>-0.21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3926</v>
      </c>
      <c r="F16" s="10"/>
      <c r="G16" s="10">
        <f t="shared" si="0"/>
        <v>3926</v>
      </c>
      <c r="H16" s="16">
        <f t="shared" si="1"/>
        <v>3.2</v>
      </c>
      <c r="I16" s="15">
        <f t="shared" si="2"/>
        <v>8.0000000000000002E-3</v>
      </c>
      <c r="J16" s="15">
        <f>ROUND(G16/8010-1,2)</f>
        <v>-0.51</v>
      </c>
    </row>
    <row r="17" spans="1:10" x14ac:dyDescent="0.25">
      <c r="A17" s="1" t="s">
        <v>16</v>
      </c>
      <c r="B17" s="1" t="s">
        <v>26</v>
      </c>
      <c r="C17" s="10">
        <v>32180</v>
      </c>
      <c r="D17" s="10"/>
      <c r="E17" s="10"/>
      <c r="F17" s="10"/>
      <c r="G17" s="10">
        <f t="shared" si="0"/>
        <v>32180</v>
      </c>
      <c r="H17" s="16">
        <f t="shared" si="1"/>
        <v>26.21</v>
      </c>
      <c r="I17" s="15">
        <f t="shared" si="2"/>
        <v>6.3E-2</v>
      </c>
      <c r="J17" s="15">
        <f>ROUND(G17/36040-1,2)</f>
        <v>-0.11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490</v>
      </c>
      <c r="F18" s="10"/>
      <c r="G18" s="10">
        <f t="shared" si="0"/>
        <v>490</v>
      </c>
      <c r="H18" s="16">
        <f t="shared" si="1"/>
        <v>0.4</v>
      </c>
      <c r="I18" s="15">
        <f t="shared" si="2"/>
        <v>1E-3</v>
      </c>
      <c r="J18" s="15">
        <f>ROUND(G18/1310-1,2)</f>
        <v>-0.63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253</v>
      </c>
      <c r="F19" s="10"/>
      <c r="G19" s="10">
        <f t="shared" si="0"/>
        <v>253</v>
      </c>
      <c r="H19" s="16">
        <f t="shared" si="1"/>
        <v>0.21</v>
      </c>
      <c r="I19" s="15">
        <f t="shared" si="2"/>
        <v>0</v>
      </c>
      <c r="J19" s="15">
        <f>ROUND(G19/799-1,2)</f>
        <v>-0.68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67</v>
      </c>
      <c r="F20" s="10"/>
      <c r="G20" s="10">
        <f t="shared" si="0"/>
        <v>67</v>
      </c>
      <c r="H20" s="16">
        <f t="shared" si="1"/>
        <v>0.05</v>
      </c>
      <c r="I20" s="15">
        <f t="shared" si="2"/>
        <v>0</v>
      </c>
      <c r="J20" s="15">
        <f>ROUND(G20/51.48-1,2)</f>
        <v>0.3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794</v>
      </c>
      <c r="F21" s="10"/>
      <c r="G21" s="10">
        <f t="shared" si="0"/>
        <v>794</v>
      </c>
      <c r="H21" s="16">
        <f t="shared" si="1"/>
        <v>0.65</v>
      </c>
      <c r="I21" s="15">
        <f t="shared" si="2"/>
        <v>2E-3</v>
      </c>
      <c r="J21" s="15">
        <f>ROUND(G21/3785.39-1,2)</f>
        <v>-0.79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279</v>
      </c>
      <c r="F22" s="10"/>
      <c r="G22" s="10">
        <f t="shared" si="0"/>
        <v>279</v>
      </c>
      <c r="H22" s="16">
        <f t="shared" si="1"/>
        <v>0.23</v>
      </c>
      <c r="I22" s="15">
        <f t="shared" si="2"/>
        <v>1E-3</v>
      </c>
      <c r="J22" s="15">
        <f>ROUND(G22/765.6-1,2)</f>
        <v>-0.64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71</v>
      </c>
      <c r="F23" s="10"/>
      <c r="G23" s="10">
        <f t="shared" si="0"/>
        <v>71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1047</v>
      </c>
      <c r="F24" s="10"/>
      <c r="G24" s="10">
        <f t="shared" si="0"/>
        <v>1047</v>
      </c>
      <c r="H24" s="16">
        <f t="shared" si="1"/>
        <v>0.85</v>
      </c>
      <c r="I24" s="15">
        <f t="shared" si="2"/>
        <v>2E-3</v>
      </c>
      <c r="J24" s="15">
        <f>ROUND(G24/2902.37-1,2)</f>
        <v>-0.64</v>
      </c>
    </row>
    <row r="25" spans="1:10" x14ac:dyDescent="0.25">
      <c r="A25" s="1" t="s">
        <v>16</v>
      </c>
      <c r="B25" s="1" t="s">
        <v>33</v>
      </c>
      <c r="C25" s="10"/>
      <c r="D25" s="10">
        <v>87</v>
      </c>
      <c r="E25" s="10">
        <v>92</v>
      </c>
      <c r="F25" s="10"/>
      <c r="G25" s="10">
        <f t="shared" si="0"/>
        <v>179</v>
      </c>
      <c r="H25" s="16">
        <f t="shared" si="1"/>
        <v>0.15</v>
      </c>
      <c r="I25" s="15">
        <f t="shared" si="2"/>
        <v>0</v>
      </c>
      <c r="J25" s="15">
        <f>ROUND(G25/232.73-1,2)</f>
        <v>-0.23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133</v>
      </c>
      <c r="F26" s="10"/>
      <c r="G26" s="10">
        <f t="shared" si="0"/>
        <v>133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199</v>
      </c>
      <c r="F27" s="10"/>
      <c r="G27" s="10">
        <f t="shared" si="0"/>
        <v>199</v>
      </c>
      <c r="H27" s="16">
        <f t="shared" si="1"/>
        <v>0.16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43</v>
      </c>
      <c r="C28" s="10"/>
      <c r="D28" s="10"/>
      <c r="E28" s="10">
        <v>1384</v>
      </c>
      <c r="F28" s="10"/>
      <c r="G28" s="10">
        <f t="shared" si="0"/>
        <v>1384</v>
      </c>
      <c r="H28" s="16">
        <f t="shared" si="1"/>
        <v>1.1299999999999999</v>
      </c>
      <c r="I28" s="15">
        <f t="shared" si="2"/>
        <v>3.0000000000000001E-3</v>
      </c>
      <c r="J28" s="15">
        <f>ROUND(G28/12825-1,2)</f>
        <v>-0.89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2469</v>
      </c>
      <c r="F29" s="10"/>
      <c r="G29" s="10">
        <f t="shared" si="0"/>
        <v>2469</v>
      </c>
      <c r="H29" s="16">
        <f t="shared" si="1"/>
        <v>2.0099999999999998</v>
      </c>
      <c r="I29" s="15">
        <f t="shared" si="2"/>
        <v>5.0000000000000001E-3</v>
      </c>
      <c r="J29" s="15">
        <f>ROUND(G29/7933.66-1,2)</f>
        <v>-0.69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39872</v>
      </c>
      <c r="F30" s="10"/>
      <c r="G30" s="10">
        <f t="shared" si="0"/>
        <v>39872</v>
      </c>
      <c r="H30" s="16">
        <f t="shared" si="1"/>
        <v>32.47</v>
      </c>
      <c r="I30" s="15">
        <f t="shared" si="2"/>
        <v>7.8E-2</v>
      </c>
      <c r="J30" s="15">
        <f>ROUND(G30/103533.73-1,2)</f>
        <v>-0.61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3331</v>
      </c>
      <c r="F31" s="10"/>
      <c r="G31" s="10">
        <f t="shared" si="0"/>
        <v>3331</v>
      </c>
      <c r="H31" s="16">
        <f t="shared" si="1"/>
        <v>2.71</v>
      </c>
      <c r="I31" s="15">
        <f t="shared" si="2"/>
        <v>7.0000000000000001E-3</v>
      </c>
      <c r="J31" s="15">
        <f>ROUND(G31/6551.35-1,2)</f>
        <v>-0.49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10474</v>
      </c>
      <c r="F32" s="10"/>
      <c r="G32" s="10">
        <f t="shared" si="0"/>
        <v>10474</v>
      </c>
      <c r="H32" s="16">
        <f t="shared" si="1"/>
        <v>8.5299999999999994</v>
      </c>
      <c r="I32" s="15">
        <f t="shared" si="2"/>
        <v>2.1000000000000001E-2</v>
      </c>
      <c r="J32" s="15">
        <f>ROUND(G32/26637.41-1,2)</f>
        <v>-0.61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12458</v>
      </c>
      <c r="F33" s="10"/>
      <c r="G33" s="10">
        <f t="shared" si="0"/>
        <v>12458</v>
      </c>
      <c r="H33" s="16">
        <f t="shared" si="1"/>
        <v>10.14</v>
      </c>
      <c r="I33" s="15">
        <f t="shared" si="2"/>
        <v>2.4E-2</v>
      </c>
      <c r="J33" s="15">
        <f>ROUND(G33/31149.47-1,2)</f>
        <v>-0.6</v>
      </c>
    </row>
    <row r="34" spans="1:10" x14ac:dyDescent="0.25">
      <c r="A34" s="1" t="s">
        <v>16</v>
      </c>
      <c r="B34" s="1" t="s">
        <v>18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ROUND(G34/4600-1,2)</f>
        <v>-1</v>
      </c>
    </row>
    <row r="35" spans="1:10" x14ac:dyDescent="0.25">
      <c r="A35" s="1" t="s">
        <v>16</v>
      </c>
      <c r="B35" s="1" t="s">
        <v>243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ROUND(G35/1540-1,2)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ROUND(G36/2023.26-1,2)</f>
        <v>-1</v>
      </c>
    </row>
    <row r="37" spans="1:10" x14ac:dyDescent="0.25">
      <c r="A37" s="1" t="s">
        <v>16</v>
      </c>
      <c r="B37" s="1" t="s">
        <v>95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ROUND(G37/60-1,2)</f>
        <v>-1</v>
      </c>
    </row>
    <row r="38" spans="1:10" x14ac:dyDescent="0.25">
      <c r="A38" s="1" t="s">
        <v>16</v>
      </c>
      <c r="B38" s="1" t="s">
        <v>96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ROUND(G38/65-1,2)</f>
        <v>-1</v>
      </c>
    </row>
    <row r="39" spans="1:10" x14ac:dyDescent="0.25">
      <c r="A39" s="1" t="s">
        <v>44</v>
      </c>
      <c r="B39" s="1" t="s">
        <v>45</v>
      </c>
      <c r="C39" s="10">
        <v>178370</v>
      </c>
      <c r="D39" s="10"/>
      <c r="E39" s="10"/>
      <c r="F39" s="10"/>
      <c r="G39" s="10">
        <f t="shared" si="0"/>
        <v>178370</v>
      </c>
      <c r="H39" s="16">
        <f t="shared" si="1"/>
        <v>145.25</v>
      </c>
      <c r="I39" s="15">
        <f t="shared" si="2"/>
        <v>0.35099999999999998</v>
      </c>
      <c r="J39" s="15">
        <f>ROUND(G39/162900-1,2)</f>
        <v>0.09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21863</v>
      </c>
      <c r="F40" s="10"/>
      <c r="G40" s="10">
        <f t="shared" si="0"/>
        <v>21863</v>
      </c>
      <c r="H40" s="16">
        <f t="shared" si="1"/>
        <v>17.8</v>
      </c>
      <c r="I40" s="15">
        <f t="shared" si="2"/>
        <v>4.2999999999999997E-2</v>
      </c>
      <c r="J40" s="15">
        <f>ROUND(G40/42937.92-1,2)</f>
        <v>-0.49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ROUND(G42/12-1,2)</f>
        <v>-1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ROUND(G43/270-1,2)</f>
        <v>-1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ROUND(G44/33-1,2)</f>
        <v>-1</v>
      </c>
    </row>
    <row r="45" spans="1:10" x14ac:dyDescent="0.25">
      <c r="A45" s="25" t="s">
        <v>12</v>
      </c>
      <c r="B45" s="25"/>
      <c r="C45" s="11">
        <f t="shared" ref="C45:H45" si="3">SUM(C8:C44)</f>
        <v>345540</v>
      </c>
      <c r="D45" s="11">
        <f t="shared" si="3"/>
        <v>87</v>
      </c>
      <c r="E45" s="11">
        <f t="shared" si="3"/>
        <v>163013</v>
      </c>
      <c r="F45" s="11">
        <f t="shared" si="3"/>
        <v>0</v>
      </c>
      <c r="G45" s="11">
        <f t="shared" si="3"/>
        <v>508640</v>
      </c>
      <c r="H45" s="14">
        <f t="shared" si="3"/>
        <v>414.23</v>
      </c>
      <c r="I45" s="17"/>
      <c r="J45" s="17"/>
    </row>
    <row r="46" spans="1:10" x14ac:dyDescent="0.25">
      <c r="A46" s="25" t="s">
        <v>14</v>
      </c>
      <c r="B46" s="25"/>
      <c r="C46" s="12">
        <f>ROUND(C45/G45,2)</f>
        <v>0.68</v>
      </c>
      <c r="D46" s="12">
        <f>ROUND(D45/G45,2)</f>
        <v>0</v>
      </c>
      <c r="E46" s="12">
        <f>ROUND(E45/G45,2)</f>
        <v>0.32</v>
      </c>
      <c r="F46" s="12">
        <f>ROUND(F45/G45,2)</f>
        <v>0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53</v>
      </c>
      <c r="B51" s="25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0" t="s">
        <v>54</v>
      </c>
      <c r="B52" s="20"/>
      <c r="C52" s="10">
        <v>167170</v>
      </c>
      <c r="D52" s="10">
        <v>87</v>
      </c>
      <c r="E52" s="10">
        <v>141150</v>
      </c>
      <c r="F52" s="10">
        <v>0</v>
      </c>
      <c r="G52" s="10">
        <f>SUM(C52:F52)</f>
        <v>308407</v>
      </c>
      <c r="H52" s="16">
        <f>ROUND(G52/1228,2)</f>
        <v>251.15</v>
      </c>
      <c r="I52" s="9"/>
      <c r="J52" s="9"/>
    </row>
    <row r="53" spans="1:10" x14ac:dyDescent="0.25">
      <c r="A53" s="20" t="s">
        <v>55</v>
      </c>
      <c r="B53" s="20"/>
      <c r="C53" s="10">
        <v>178370</v>
      </c>
      <c r="D53" s="10">
        <v>0</v>
      </c>
      <c r="E53" s="10">
        <v>21863</v>
      </c>
      <c r="F53" s="10">
        <v>0</v>
      </c>
      <c r="G53" s="10">
        <f>SUM(C53:F53)</f>
        <v>200233</v>
      </c>
      <c r="H53" s="16">
        <f>ROUND(G53/1228,2)</f>
        <v>163.06</v>
      </c>
      <c r="I53" s="9"/>
      <c r="J53" s="9"/>
    </row>
    <row r="54" spans="1:10" x14ac:dyDescent="0.25">
      <c r="A54" s="20" t="s">
        <v>56</v>
      </c>
      <c r="B54" s="20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ROUND(G54/1228,2)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5" t="s">
        <v>57</v>
      </c>
      <c r="B59" s="25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0" t="s">
        <v>58</v>
      </c>
      <c r="B60" s="20"/>
      <c r="C60" s="15">
        <f>ROUND(0.6152, 4)</f>
        <v>0.61519999999999997</v>
      </c>
      <c r="D60" s="15">
        <f>ROUND(0.7347, 4)</f>
        <v>0.73470000000000002</v>
      </c>
      <c r="E60" s="15">
        <f>ROUND(0.777, 4)</f>
        <v>0.77700000000000002</v>
      </c>
      <c r="F60" s="8"/>
      <c r="G60" s="14" t="s">
        <v>62</v>
      </c>
      <c r="H60" s="26" t="s">
        <v>63</v>
      </c>
      <c r="I60" s="23" t="s">
        <v>64</v>
      </c>
      <c r="J60" s="23" t="s">
        <v>65</v>
      </c>
    </row>
    <row r="61" spans="1:10" x14ac:dyDescent="0.25">
      <c r="A61" s="20" t="s">
        <v>66</v>
      </c>
      <c r="B61" s="20"/>
      <c r="C61" s="15">
        <f>ROUND(0.5835, 4)</f>
        <v>0.58350000000000002</v>
      </c>
      <c r="D61" s="15">
        <f>ROUND(0.7053, 4)</f>
        <v>0.70530000000000004</v>
      </c>
      <c r="E61" s="15">
        <f>ROUND(0.7608, 4)</f>
        <v>0.76080000000000003</v>
      </c>
      <c r="F61" s="8"/>
      <c r="G61" s="14" t="s">
        <v>67</v>
      </c>
      <c r="H61" s="27"/>
      <c r="I61" s="24"/>
      <c r="J61" s="24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5" t="s">
        <v>68</v>
      </c>
      <c r="B65" s="25"/>
      <c r="C65" s="14" t="s">
        <v>2</v>
      </c>
      <c r="D65" s="14" t="s">
        <v>321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0" t="s">
        <v>73</v>
      </c>
      <c r="B66" s="20"/>
      <c r="C66" s="16">
        <v>145.25</v>
      </c>
      <c r="D66" s="16">
        <v>115.1</v>
      </c>
      <c r="E66" s="16">
        <v>91.13</v>
      </c>
      <c r="F66" s="16">
        <v>54.95</v>
      </c>
      <c r="G66" s="16">
        <f>12/10*C66</f>
        <v>174.29999999999998</v>
      </c>
      <c r="H66" s="8"/>
      <c r="I66" s="9"/>
      <c r="J66" s="9"/>
    </row>
    <row r="67" spans="1:10" x14ac:dyDescent="0.25">
      <c r="A67" s="20" t="s">
        <v>74</v>
      </c>
      <c r="B67" s="20"/>
      <c r="C67" s="16">
        <v>26.21</v>
      </c>
      <c r="D67" s="16">
        <v>47.04</v>
      </c>
      <c r="E67" s="16">
        <v>61.18</v>
      </c>
      <c r="F67" s="16">
        <v>62.89</v>
      </c>
      <c r="G67" s="16">
        <f>12/10*C67</f>
        <v>31.451999999999998</v>
      </c>
      <c r="H67" s="8"/>
      <c r="I67" s="9"/>
      <c r="J67" s="9"/>
    </row>
    <row r="68" spans="1:10" x14ac:dyDescent="0.25">
      <c r="A68" s="20" t="s">
        <v>75</v>
      </c>
      <c r="B68" s="20"/>
      <c r="C68" s="16">
        <v>251.15</v>
      </c>
      <c r="D68" s="16">
        <v>384.75</v>
      </c>
      <c r="E68" s="16">
        <v>287.25</v>
      </c>
      <c r="F68" s="16">
        <v>278.91000000000003</v>
      </c>
      <c r="G68" s="16">
        <f>12/10*C68</f>
        <v>301.38</v>
      </c>
      <c r="H68" s="8"/>
      <c r="I68" s="9"/>
      <c r="J68" s="9"/>
    </row>
    <row r="69" spans="1:10" x14ac:dyDescent="0.25">
      <c r="A69" s="20" t="s">
        <v>76</v>
      </c>
      <c r="B69" s="20"/>
      <c r="C69" s="1">
        <v>163.06</v>
      </c>
      <c r="D69" s="1">
        <v>139.12</v>
      </c>
      <c r="E69" s="1">
        <v>114.69</v>
      </c>
      <c r="F69" s="1">
        <v>78.319999999999993</v>
      </c>
      <c r="G69" s="1">
        <f>12/10*C69</f>
        <v>195.672</v>
      </c>
    </row>
    <row r="72" spans="1:10" x14ac:dyDescent="0.25">
      <c r="A72" s="21" t="s">
        <v>60</v>
      </c>
      <c r="B72" s="22"/>
    </row>
    <row r="73" spans="1:10" x14ac:dyDescent="0.25">
      <c r="A73" s="3" t="s">
        <v>77</v>
      </c>
      <c r="B73" s="1" t="s">
        <v>322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2:J6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568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15690</v>
      </c>
      <c r="D9" s="10"/>
      <c r="E9" s="10"/>
      <c r="F9" s="10"/>
      <c r="G9" s="10">
        <f t="shared" ref="G9:G36" si="0">SUM(C9:F9)</f>
        <v>15690</v>
      </c>
      <c r="H9" s="16">
        <f t="shared" ref="H9:H36" si="1">ROUND(G9/568,2)</f>
        <v>27.62</v>
      </c>
      <c r="I9" s="15">
        <f t="shared" ref="I9:I36" si="2">ROUND(G9/$G$37,3)</f>
        <v>9.1999999999999998E-2</v>
      </c>
      <c r="J9" s="15">
        <f>ROUND(G9/17410-1,2)</f>
        <v>-0.1</v>
      </c>
    </row>
    <row r="10" spans="1:10" x14ac:dyDescent="0.25">
      <c r="A10" s="1" t="s">
        <v>16</v>
      </c>
      <c r="B10" s="1" t="s">
        <v>20</v>
      </c>
      <c r="C10" s="10">
        <v>25960</v>
      </c>
      <c r="D10" s="10"/>
      <c r="E10" s="10"/>
      <c r="F10" s="10"/>
      <c r="G10" s="10">
        <f t="shared" si="0"/>
        <v>25960</v>
      </c>
      <c r="H10" s="16">
        <f t="shared" si="1"/>
        <v>45.7</v>
      </c>
      <c r="I10" s="15">
        <f t="shared" si="2"/>
        <v>0.152</v>
      </c>
      <c r="J10" s="15">
        <f>ROUND(G10/25800-1,2)</f>
        <v>0.01</v>
      </c>
    </row>
    <row r="11" spans="1:10" x14ac:dyDescent="0.25">
      <c r="A11" s="1" t="s">
        <v>16</v>
      </c>
      <c r="B11" s="1" t="s">
        <v>95</v>
      </c>
      <c r="C11" s="10"/>
      <c r="D11" s="10"/>
      <c r="E11" s="10"/>
      <c r="F11" s="10">
        <v>12</v>
      </c>
      <c r="G11" s="10">
        <f t="shared" si="0"/>
        <v>12</v>
      </c>
      <c r="H11" s="16">
        <f t="shared" si="1"/>
        <v>0.02</v>
      </c>
      <c r="I11" s="15">
        <f t="shared" si="2"/>
        <v>0</v>
      </c>
      <c r="J11" s="15">
        <f>ROUND(G11/43-1,2)</f>
        <v>-0.72</v>
      </c>
    </row>
    <row r="12" spans="1:10" x14ac:dyDescent="0.25">
      <c r="A12" s="1" t="s">
        <v>16</v>
      </c>
      <c r="B12" s="1" t="s">
        <v>21</v>
      </c>
      <c r="C12" s="10"/>
      <c r="D12" s="10"/>
      <c r="E12" s="10"/>
      <c r="F12" s="10">
        <v>36</v>
      </c>
      <c r="G12" s="10">
        <f t="shared" si="0"/>
        <v>36</v>
      </c>
      <c r="H12" s="16">
        <f t="shared" si="1"/>
        <v>0.06</v>
      </c>
      <c r="I12" s="15">
        <f t="shared" si="2"/>
        <v>0</v>
      </c>
      <c r="J12" s="15">
        <f>ROUND(G12/19-1,2)</f>
        <v>0.89</v>
      </c>
    </row>
    <row r="13" spans="1:10" x14ac:dyDescent="0.25">
      <c r="A13" s="1" t="s">
        <v>16</v>
      </c>
      <c r="B13" s="1" t="s">
        <v>24</v>
      </c>
      <c r="C13" s="10">
        <v>18080</v>
      </c>
      <c r="D13" s="10"/>
      <c r="E13" s="10"/>
      <c r="F13" s="10"/>
      <c r="G13" s="10">
        <f t="shared" si="0"/>
        <v>18080</v>
      </c>
      <c r="H13" s="16">
        <f t="shared" si="1"/>
        <v>31.83</v>
      </c>
      <c r="I13" s="15">
        <f t="shared" si="2"/>
        <v>0.106</v>
      </c>
      <c r="J13" s="15">
        <f>ROUND(G13/16820-1,2)</f>
        <v>7.0000000000000007E-2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1000</v>
      </c>
      <c r="F14" s="10"/>
      <c r="G14" s="10">
        <f t="shared" si="0"/>
        <v>1000</v>
      </c>
      <c r="H14" s="16">
        <f t="shared" si="1"/>
        <v>1.76</v>
      </c>
      <c r="I14" s="15">
        <f t="shared" si="2"/>
        <v>6.0000000000000001E-3</v>
      </c>
      <c r="J14" s="15"/>
    </row>
    <row r="15" spans="1:10" x14ac:dyDescent="0.25">
      <c r="A15" s="1" t="s">
        <v>16</v>
      </c>
      <c r="B15" s="1" t="s">
        <v>26</v>
      </c>
      <c r="C15" s="10">
        <v>23640</v>
      </c>
      <c r="D15" s="10"/>
      <c r="E15" s="10"/>
      <c r="F15" s="10">
        <v>240</v>
      </c>
      <c r="G15" s="10">
        <f t="shared" si="0"/>
        <v>23880</v>
      </c>
      <c r="H15" s="16">
        <f t="shared" si="1"/>
        <v>42.04</v>
      </c>
      <c r="I15" s="15">
        <f t="shared" si="2"/>
        <v>0.14000000000000001</v>
      </c>
      <c r="J15" s="15">
        <f>ROUND(G15/22820-1,2)</f>
        <v>0.05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614</v>
      </c>
      <c r="F16" s="10"/>
      <c r="G16" s="10">
        <f t="shared" si="0"/>
        <v>614</v>
      </c>
      <c r="H16" s="16">
        <f t="shared" si="1"/>
        <v>1.08</v>
      </c>
      <c r="I16" s="15">
        <f t="shared" si="2"/>
        <v>4.0000000000000001E-3</v>
      </c>
      <c r="J16" s="15">
        <f>ROUND(G16/726-1,2)</f>
        <v>-0.15</v>
      </c>
    </row>
    <row r="17" spans="1:10" x14ac:dyDescent="0.25">
      <c r="A17" s="1" t="s">
        <v>16</v>
      </c>
      <c r="B17" s="1" t="s">
        <v>42</v>
      </c>
      <c r="C17" s="10"/>
      <c r="D17" s="10"/>
      <c r="E17" s="10">
        <v>20</v>
      </c>
      <c r="F17" s="10"/>
      <c r="G17" s="10">
        <f t="shared" si="0"/>
        <v>20</v>
      </c>
      <c r="H17" s="16">
        <f t="shared" si="1"/>
        <v>0.04</v>
      </c>
      <c r="I17" s="15">
        <f t="shared" si="2"/>
        <v>0</v>
      </c>
      <c r="J17" s="15">
        <f>ROUND(G17/20-1,2)</f>
        <v>0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90</v>
      </c>
      <c r="F18" s="10"/>
      <c r="G18" s="10">
        <f t="shared" si="0"/>
        <v>90</v>
      </c>
      <c r="H18" s="16">
        <f t="shared" si="1"/>
        <v>0.16</v>
      </c>
      <c r="I18" s="15">
        <f t="shared" si="2"/>
        <v>1E-3</v>
      </c>
      <c r="J18" s="15">
        <f>ROUND(G18/120-1,2)</f>
        <v>-0.25</v>
      </c>
    </row>
    <row r="19" spans="1:10" x14ac:dyDescent="0.25">
      <c r="A19" s="1" t="s">
        <v>16</v>
      </c>
      <c r="B19" s="1" t="s">
        <v>31</v>
      </c>
      <c r="C19" s="10"/>
      <c r="D19" s="10"/>
      <c r="E19" s="10">
        <v>80</v>
      </c>
      <c r="F19" s="10"/>
      <c r="G19" s="10">
        <f t="shared" si="0"/>
        <v>80</v>
      </c>
      <c r="H19" s="16">
        <f t="shared" si="1"/>
        <v>0.14000000000000001</v>
      </c>
      <c r="I19" s="15">
        <f t="shared" si="2"/>
        <v>0</v>
      </c>
      <c r="J19" s="15">
        <f>ROUND(G19/120-1,2)</f>
        <v>-0.33</v>
      </c>
    </row>
    <row r="20" spans="1:10" x14ac:dyDescent="0.25">
      <c r="A20" s="1" t="s">
        <v>16</v>
      </c>
      <c r="B20" s="1" t="s">
        <v>32</v>
      </c>
      <c r="C20" s="10"/>
      <c r="D20" s="10"/>
      <c r="E20" s="10"/>
      <c r="F20" s="10">
        <v>465</v>
      </c>
      <c r="G20" s="10">
        <f t="shared" si="0"/>
        <v>465</v>
      </c>
      <c r="H20" s="16">
        <f t="shared" si="1"/>
        <v>0.82</v>
      </c>
      <c r="I20" s="15">
        <f t="shared" si="2"/>
        <v>3.0000000000000001E-3</v>
      </c>
      <c r="J20" s="15">
        <f>ROUND(G20/260-1,2)</f>
        <v>0.79</v>
      </c>
    </row>
    <row r="21" spans="1:10" x14ac:dyDescent="0.25">
      <c r="A21" s="1" t="s">
        <v>16</v>
      </c>
      <c r="B21" s="1" t="s">
        <v>33</v>
      </c>
      <c r="C21" s="10"/>
      <c r="D21" s="10">
        <v>52</v>
      </c>
      <c r="E21" s="10"/>
      <c r="F21" s="10"/>
      <c r="G21" s="10">
        <f t="shared" si="0"/>
        <v>52</v>
      </c>
      <c r="H21" s="16">
        <f t="shared" si="1"/>
        <v>0.09</v>
      </c>
      <c r="I21" s="15">
        <f t="shared" si="2"/>
        <v>0</v>
      </c>
      <c r="J21" s="15">
        <f>ROUND(G21/48-1,2)</f>
        <v>0.08</v>
      </c>
    </row>
    <row r="22" spans="1:10" x14ac:dyDescent="0.25">
      <c r="A22" s="1" t="s">
        <v>16</v>
      </c>
      <c r="B22" s="1" t="s">
        <v>35</v>
      </c>
      <c r="C22" s="10"/>
      <c r="D22" s="10">
        <v>25</v>
      </c>
      <c r="E22" s="10"/>
      <c r="F22" s="10">
        <v>243</v>
      </c>
      <c r="G22" s="10">
        <f t="shared" si="0"/>
        <v>268</v>
      </c>
      <c r="H22" s="16">
        <f t="shared" si="1"/>
        <v>0.47</v>
      </c>
      <c r="I22" s="15">
        <f t="shared" si="2"/>
        <v>2E-3</v>
      </c>
      <c r="J22" s="15">
        <f>ROUND(G22/293-1,2)</f>
        <v>-0.09</v>
      </c>
    </row>
    <row r="23" spans="1:10" x14ac:dyDescent="0.25">
      <c r="A23" s="1" t="s">
        <v>16</v>
      </c>
      <c r="B23" s="1" t="s">
        <v>36</v>
      </c>
      <c r="C23" s="10"/>
      <c r="D23" s="10"/>
      <c r="E23" s="10"/>
      <c r="F23" s="10">
        <v>130</v>
      </c>
      <c r="G23" s="10">
        <f t="shared" si="0"/>
        <v>130</v>
      </c>
      <c r="H23" s="16">
        <f t="shared" si="1"/>
        <v>0.23</v>
      </c>
      <c r="I23" s="15">
        <f t="shared" si="2"/>
        <v>1E-3</v>
      </c>
      <c r="J23" s="15">
        <f>ROUND(G23/540-1,2)</f>
        <v>-0.76</v>
      </c>
    </row>
    <row r="24" spans="1:10" x14ac:dyDescent="0.25">
      <c r="A24" s="1" t="s">
        <v>16</v>
      </c>
      <c r="B24" s="1" t="s">
        <v>43</v>
      </c>
      <c r="C24" s="10"/>
      <c r="D24" s="10"/>
      <c r="E24" s="10"/>
      <c r="F24" s="10">
        <v>460</v>
      </c>
      <c r="G24" s="10">
        <f t="shared" si="0"/>
        <v>460</v>
      </c>
      <c r="H24" s="16">
        <f t="shared" si="1"/>
        <v>0.81</v>
      </c>
      <c r="I24" s="15">
        <f t="shared" si="2"/>
        <v>3.0000000000000001E-3</v>
      </c>
      <c r="J24" s="15">
        <f>ROUND(G24/465-1,2)</f>
        <v>-0.01</v>
      </c>
    </row>
    <row r="25" spans="1:10" x14ac:dyDescent="0.25">
      <c r="A25" s="1" t="s">
        <v>16</v>
      </c>
      <c r="B25" s="1" t="s">
        <v>37</v>
      </c>
      <c r="C25" s="10"/>
      <c r="D25" s="10"/>
      <c r="E25" s="10"/>
      <c r="F25" s="10">
        <v>960</v>
      </c>
      <c r="G25" s="10">
        <f t="shared" si="0"/>
        <v>960</v>
      </c>
      <c r="H25" s="16">
        <f t="shared" si="1"/>
        <v>1.69</v>
      </c>
      <c r="I25" s="15">
        <f t="shared" si="2"/>
        <v>6.0000000000000001E-3</v>
      </c>
      <c r="J25" s="15">
        <f>ROUND(G25/970-1,2)</f>
        <v>-0.01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15980</v>
      </c>
      <c r="F26" s="10"/>
      <c r="G26" s="10">
        <f t="shared" si="0"/>
        <v>15980</v>
      </c>
      <c r="H26" s="16">
        <f t="shared" si="1"/>
        <v>28.13</v>
      </c>
      <c r="I26" s="15">
        <f t="shared" si="2"/>
        <v>9.4E-2</v>
      </c>
      <c r="J26" s="15">
        <f>ROUND(G26/16040-1,2)</f>
        <v>0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2770</v>
      </c>
      <c r="F27" s="10"/>
      <c r="G27" s="10">
        <f t="shared" si="0"/>
        <v>2770</v>
      </c>
      <c r="H27" s="16">
        <f t="shared" si="1"/>
        <v>4.88</v>
      </c>
      <c r="I27" s="15">
        <f t="shared" si="2"/>
        <v>1.6E-2</v>
      </c>
      <c r="J27" s="15">
        <f>ROUND(G27/1430-1,2)</f>
        <v>0.94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3410</v>
      </c>
      <c r="F28" s="10"/>
      <c r="G28" s="10">
        <f t="shared" si="0"/>
        <v>3410</v>
      </c>
      <c r="H28" s="16">
        <f t="shared" si="1"/>
        <v>6</v>
      </c>
      <c r="I28" s="15">
        <f t="shared" si="2"/>
        <v>0.02</v>
      </c>
      <c r="J28" s="15">
        <f>ROUND(G28/3070-1,2)</f>
        <v>0.11</v>
      </c>
    </row>
    <row r="29" spans="1:10" x14ac:dyDescent="0.25">
      <c r="A29" s="1" t="s">
        <v>16</v>
      </c>
      <c r="B29" s="1" t="s">
        <v>29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ROUND(G29/810-1,2)</f>
        <v>-1</v>
      </c>
    </row>
    <row r="30" spans="1:10" x14ac:dyDescent="0.25">
      <c r="A30" s="1" t="s">
        <v>16</v>
      </c>
      <c r="B30" s="1" t="s">
        <v>34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44</v>
      </c>
      <c r="B32" s="1" t="s">
        <v>45</v>
      </c>
      <c r="C32" s="10">
        <v>50225</v>
      </c>
      <c r="D32" s="10"/>
      <c r="E32" s="10"/>
      <c r="F32" s="10"/>
      <c r="G32" s="10">
        <f t="shared" si="0"/>
        <v>50225</v>
      </c>
      <c r="H32" s="16">
        <f t="shared" si="1"/>
        <v>88.42</v>
      </c>
      <c r="I32" s="15">
        <f t="shared" si="2"/>
        <v>0.29399999999999998</v>
      </c>
      <c r="J32" s="15">
        <f>ROUND(G32/51985-1,2)</f>
        <v>-0.03</v>
      </c>
    </row>
    <row r="33" spans="1:10" x14ac:dyDescent="0.25">
      <c r="A33" s="1" t="s">
        <v>44</v>
      </c>
      <c r="B33" s="1" t="s">
        <v>46</v>
      </c>
      <c r="C33" s="10"/>
      <c r="D33" s="10"/>
      <c r="E33" s="10">
        <v>10540</v>
      </c>
      <c r="F33" s="10"/>
      <c r="G33" s="10">
        <f t="shared" si="0"/>
        <v>10540</v>
      </c>
      <c r="H33" s="16">
        <f t="shared" si="1"/>
        <v>18.559999999999999</v>
      </c>
      <c r="I33" s="15">
        <f t="shared" si="2"/>
        <v>6.2E-2</v>
      </c>
      <c r="J33" s="15">
        <f>ROUND(G33/5760-1,2)</f>
        <v>0.83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48</v>
      </c>
      <c r="B35" s="1" t="s">
        <v>49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86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5" t="s">
        <v>12</v>
      </c>
      <c r="B37" s="25"/>
      <c r="C37" s="11">
        <f t="shared" ref="C37:H37" si="3">SUM(C8:C36)</f>
        <v>133595</v>
      </c>
      <c r="D37" s="11">
        <f t="shared" si="3"/>
        <v>77</v>
      </c>
      <c r="E37" s="11">
        <f t="shared" si="3"/>
        <v>34504</v>
      </c>
      <c r="F37" s="11">
        <f t="shared" si="3"/>
        <v>2546</v>
      </c>
      <c r="G37" s="11">
        <f t="shared" si="3"/>
        <v>170722</v>
      </c>
      <c r="H37" s="14">
        <f t="shared" si="3"/>
        <v>300.54999999999995</v>
      </c>
      <c r="I37" s="17"/>
      <c r="J37" s="17"/>
    </row>
    <row r="38" spans="1:10" x14ac:dyDescent="0.25">
      <c r="A38" s="25" t="s">
        <v>14</v>
      </c>
      <c r="B38" s="25"/>
      <c r="C38" s="12">
        <f>ROUND(C37/G37,2)</f>
        <v>0.78</v>
      </c>
      <c r="D38" s="12">
        <f>ROUND(D37/G37,2)</f>
        <v>0</v>
      </c>
      <c r="E38" s="12">
        <f>ROUND(E37/G37,2)</f>
        <v>0.2</v>
      </c>
      <c r="F38" s="12">
        <f>ROUND(F37/G37,2)</f>
        <v>0.01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5" t="s">
        <v>53</v>
      </c>
      <c r="B43" s="25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0" t="s">
        <v>54</v>
      </c>
      <c r="B44" s="20"/>
      <c r="C44" s="10">
        <v>83370</v>
      </c>
      <c r="D44" s="10">
        <v>77</v>
      </c>
      <c r="E44" s="10">
        <v>23964</v>
      </c>
      <c r="F44" s="10">
        <v>2546</v>
      </c>
      <c r="G44" s="10">
        <f>SUM(C44:F44)</f>
        <v>109957</v>
      </c>
      <c r="H44" s="16">
        <f>ROUND(G44/568,2)</f>
        <v>193.59</v>
      </c>
      <c r="I44" s="9"/>
      <c r="J44" s="9"/>
    </row>
    <row r="45" spans="1:10" x14ac:dyDescent="0.25">
      <c r="A45" s="20" t="s">
        <v>55</v>
      </c>
      <c r="B45" s="20"/>
      <c r="C45" s="10">
        <v>50225</v>
      </c>
      <c r="D45" s="10">
        <v>0</v>
      </c>
      <c r="E45" s="10">
        <v>10540</v>
      </c>
      <c r="F45" s="10">
        <v>0</v>
      </c>
      <c r="G45" s="10">
        <f>SUM(C45:F45)</f>
        <v>60765</v>
      </c>
      <c r="H45" s="16">
        <f>ROUND(G45/568,2)</f>
        <v>106.98</v>
      </c>
      <c r="I45" s="9"/>
      <c r="J45" s="9"/>
    </row>
    <row r="46" spans="1:10" x14ac:dyDescent="0.25">
      <c r="A46" s="20" t="s">
        <v>56</v>
      </c>
      <c r="B46" s="20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ROUND(G46/568,2)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57</v>
      </c>
      <c r="B51" s="25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0" t="s">
        <v>58</v>
      </c>
      <c r="B52" s="20"/>
      <c r="C52" s="15">
        <f>ROUND(0.6991, 4)</f>
        <v>0.69910000000000005</v>
      </c>
      <c r="D52" s="15">
        <f>ROUND(0.6779, 4)</f>
        <v>0.67789999999999995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3" t="s">
        <v>64</v>
      </c>
      <c r="J52" s="23" t="s">
        <v>65</v>
      </c>
    </row>
    <row r="53" spans="1:10" x14ac:dyDescent="0.25">
      <c r="A53" s="20" t="s">
        <v>66</v>
      </c>
      <c r="B53" s="20"/>
      <c r="C53" s="15">
        <f>ROUND(0.6873, 4)</f>
        <v>0.68730000000000002</v>
      </c>
      <c r="D53" s="15">
        <f>ROUND(0.6635, 4)</f>
        <v>0.66349999999999998</v>
      </c>
      <c r="E53" s="15">
        <f>ROUND(0.7608, 4)</f>
        <v>0.76080000000000003</v>
      </c>
      <c r="F53" s="8"/>
      <c r="G53" s="14" t="s">
        <v>67</v>
      </c>
      <c r="H53" s="27"/>
      <c r="I53" s="24"/>
      <c r="J53" s="24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68</v>
      </c>
      <c r="B57" s="25"/>
      <c r="C57" s="14" t="s">
        <v>2</v>
      </c>
      <c r="D57" s="14" t="s">
        <v>324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0" t="s">
        <v>73</v>
      </c>
      <c r="B58" s="20"/>
      <c r="C58" s="16">
        <v>88.42</v>
      </c>
      <c r="D58" s="16">
        <v>103.2</v>
      </c>
      <c r="E58" s="16">
        <v>91.13</v>
      </c>
      <c r="F58" s="16">
        <v>54.95</v>
      </c>
      <c r="G58" s="16">
        <f>12/10*C58</f>
        <v>106.104</v>
      </c>
      <c r="H58" s="8"/>
      <c r="I58" s="9"/>
      <c r="J58" s="9"/>
    </row>
    <row r="59" spans="1:10" x14ac:dyDescent="0.25">
      <c r="A59" s="20" t="s">
        <v>74</v>
      </c>
      <c r="B59" s="20"/>
      <c r="C59" s="16">
        <v>42.04</v>
      </c>
      <c r="D59" s="16">
        <v>45.08</v>
      </c>
      <c r="E59" s="16">
        <v>61.18</v>
      </c>
      <c r="F59" s="16">
        <v>62.89</v>
      </c>
      <c r="G59" s="16">
        <f>12/10*C59</f>
        <v>50.448</v>
      </c>
      <c r="H59" s="8"/>
      <c r="I59" s="9"/>
      <c r="J59" s="9"/>
    </row>
    <row r="60" spans="1:10" x14ac:dyDescent="0.25">
      <c r="A60" s="20" t="s">
        <v>75</v>
      </c>
      <c r="B60" s="20"/>
      <c r="C60" s="16">
        <v>193.59</v>
      </c>
      <c r="D60" s="16">
        <v>203.37</v>
      </c>
      <c r="E60" s="16">
        <v>287.25</v>
      </c>
      <c r="F60" s="16">
        <v>278.91000000000003</v>
      </c>
      <c r="G60" s="16">
        <f>12/10*C60</f>
        <v>232.30799999999999</v>
      </c>
      <c r="H60" s="8"/>
      <c r="I60" s="9"/>
      <c r="J60" s="9"/>
    </row>
    <row r="61" spans="1:10" x14ac:dyDescent="0.25">
      <c r="A61" s="20" t="s">
        <v>76</v>
      </c>
      <c r="B61" s="20"/>
      <c r="C61" s="16">
        <v>106.98</v>
      </c>
      <c r="D61" s="16">
        <v>118.86</v>
      </c>
      <c r="E61" s="16">
        <v>114.69</v>
      </c>
      <c r="F61" s="16">
        <v>78.319999999999993</v>
      </c>
      <c r="G61" s="16">
        <f>12/10*C61</f>
        <v>128.376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2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325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8842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114</v>
      </c>
      <c r="F9" s="10"/>
      <c r="G9" s="10">
        <f t="shared" ref="G9:G35" si="0">SUM(C9:F9)</f>
        <v>114</v>
      </c>
      <c r="H9" s="16">
        <f t="shared" ref="H9:H35" si="1">ROUND(G9/8842,2)</f>
        <v>0.01</v>
      </c>
      <c r="I9" s="15">
        <f t="shared" ref="I9:I35" si="2">ROUND(G9/$G$36,3)</f>
        <v>0</v>
      </c>
      <c r="J9" s="15">
        <f>ROUND(G9/172-1,2)</f>
        <v>-0.34</v>
      </c>
    </row>
    <row r="10" spans="1:10" x14ac:dyDescent="0.25">
      <c r="A10" s="1" t="s">
        <v>16</v>
      </c>
      <c r="B10" s="1" t="s">
        <v>19</v>
      </c>
      <c r="C10" s="10"/>
      <c r="D10" s="10"/>
      <c r="E10" s="10">
        <v>1440</v>
      </c>
      <c r="F10" s="10"/>
      <c r="G10" s="10">
        <f t="shared" si="0"/>
        <v>1440</v>
      </c>
      <c r="H10" s="16">
        <f t="shared" si="1"/>
        <v>0.16</v>
      </c>
      <c r="I10" s="15">
        <f t="shared" si="2"/>
        <v>2E-3</v>
      </c>
      <c r="J10" s="15">
        <f>ROUND(G10/2080-1,2)</f>
        <v>-0.31</v>
      </c>
    </row>
    <row r="11" spans="1:10" x14ac:dyDescent="0.25">
      <c r="A11" s="1" t="s">
        <v>16</v>
      </c>
      <c r="B11" s="1" t="s">
        <v>95</v>
      </c>
      <c r="C11" s="10"/>
      <c r="D11" s="10"/>
      <c r="E11" s="10">
        <v>367</v>
      </c>
      <c r="F11" s="10"/>
      <c r="G11" s="10">
        <f t="shared" si="0"/>
        <v>367</v>
      </c>
      <c r="H11" s="16">
        <f t="shared" si="1"/>
        <v>0.04</v>
      </c>
      <c r="I11" s="15">
        <f t="shared" si="2"/>
        <v>0</v>
      </c>
      <c r="J11" s="15">
        <f>ROUND(G11/270-1,2)</f>
        <v>0.36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441</v>
      </c>
      <c r="F12" s="10"/>
      <c r="G12" s="10">
        <f t="shared" si="0"/>
        <v>441</v>
      </c>
      <c r="H12" s="16">
        <f t="shared" si="1"/>
        <v>0.05</v>
      </c>
      <c r="I12" s="15">
        <f t="shared" si="2"/>
        <v>1E-3</v>
      </c>
      <c r="J12" s="15">
        <f>ROUND(G12/355-1,2)</f>
        <v>0.24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4100</v>
      </c>
      <c r="F13" s="10"/>
      <c r="G13" s="10">
        <f t="shared" si="0"/>
        <v>4100</v>
      </c>
      <c r="H13" s="16">
        <f t="shared" si="1"/>
        <v>0.46</v>
      </c>
      <c r="I13" s="15">
        <f t="shared" si="2"/>
        <v>5.0000000000000001E-3</v>
      </c>
      <c r="J13" s="15">
        <f>ROUND(G13/2880-1,2)</f>
        <v>0.42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62720</v>
      </c>
      <c r="F14" s="10"/>
      <c r="G14" s="10">
        <f t="shared" si="0"/>
        <v>62720</v>
      </c>
      <c r="H14" s="16">
        <f t="shared" si="1"/>
        <v>7.09</v>
      </c>
      <c r="I14" s="15">
        <f t="shared" si="2"/>
        <v>7.5999999999999998E-2</v>
      </c>
      <c r="J14" s="15">
        <f>ROUND(G14/70340-1,2)</f>
        <v>-0.11</v>
      </c>
    </row>
    <row r="15" spans="1:10" x14ac:dyDescent="0.25">
      <c r="A15" s="1" t="s">
        <v>16</v>
      </c>
      <c r="B15" s="1" t="s">
        <v>24</v>
      </c>
      <c r="C15" s="10"/>
      <c r="D15" s="10"/>
      <c r="E15" s="10">
        <v>18880</v>
      </c>
      <c r="F15" s="10"/>
      <c r="G15" s="10">
        <f t="shared" si="0"/>
        <v>18880</v>
      </c>
      <c r="H15" s="16">
        <f t="shared" si="1"/>
        <v>2.14</v>
      </c>
      <c r="I15" s="15">
        <f t="shared" si="2"/>
        <v>2.3E-2</v>
      </c>
      <c r="J15" s="15">
        <f>ROUND(G15/12550-1,2)</f>
        <v>0.5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10040</v>
      </c>
      <c r="F16" s="10"/>
      <c r="G16" s="10">
        <f t="shared" si="0"/>
        <v>10040</v>
      </c>
      <c r="H16" s="16">
        <f t="shared" si="1"/>
        <v>1.1399999999999999</v>
      </c>
      <c r="I16" s="15">
        <f t="shared" si="2"/>
        <v>1.2E-2</v>
      </c>
      <c r="J16" s="15">
        <f>ROUND(G16/9510-1,2)</f>
        <v>0.06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412</v>
      </c>
      <c r="F17" s="10"/>
      <c r="G17" s="10">
        <f t="shared" si="0"/>
        <v>412</v>
      </c>
      <c r="H17" s="16">
        <f t="shared" si="1"/>
        <v>0.05</v>
      </c>
      <c r="I17" s="15">
        <f t="shared" si="2"/>
        <v>0</v>
      </c>
      <c r="J17" s="15">
        <f>ROUND(G17/209-1,2)</f>
        <v>0.97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151</v>
      </c>
      <c r="F18" s="10"/>
      <c r="G18" s="10">
        <f t="shared" si="0"/>
        <v>151</v>
      </c>
      <c r="H18" s="16">
        <f t="shared" si="1"/>
        <v>0.02</v>
      </c>
      <c r="I18" s="15">
        <f t="shared" si="2"/>
        <v>0</v>
      </c>
      <c r="J18" s="15">
        <f>ROUND(G18/189-1,2)</f>
        <v>-0.2</v>
      </c>
    </row>
    <row r="19" spans="1:10" x14ac:dyDescent="0.25">
      <c r="A19" s="1" t="s">
        <v>16</v>
      </c>
      <c r="B19" s="1" t="s">
        <v>42</v>
      </c>
      <c r="C19" s="10"/>
      <c r="D19" s="10"/>
      <c r="E19" s="10">
        <v>200</v>
      </c>
      <c r="F19" s="10"/>
      <c r="G19" s="10">
        <f t="shared" si="0"/>
        <v>200</v>
      </c>
      <c r="H19" s="16">
        <f t="shared" si="1"/>
        <v>0.02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5980</v>
      </c>
      <c r="F20" s="10"/>
      <c r="G20" s="10">
        <f t="shared" si="0"/>
        <v>5980</v>
      </c>
      <c r="H20" s="16">
        <f t="shared" si="1"/>
        <v>0.68</v>
      </c>
      <c r="I20" s="15">
        <f t="shared" si="2"/>
        <v>7.0000000000000001E-3</v>
      </c>
      <c r="J20" s="15">
        <f>ROUND(G20/16960-1,2)</f>
        <v>-0.65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2480</v>
      </c>
      <c r="F21" s="10"/>
      <c r="G21" s="10">
        <f t="shared" si="0"/>
        <v>2480</v>
      </c>
      <c r="H21" s="16">
        <f t="shared" si="1"/>
        <v>0.28000000000000003</v>
      </c>
      <c r="I21" s="15">
        <f t="shared" si="2"/>
        <v>3.0000000000000001E-3</v>
      </c>
      <c r="J21" s="15">
        <f>ROUND(G21/1990-1,2)</f>
        <v>0.25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180</v>
      </c>
      <c r="F22" s="10"/>
      <c r="G22" s="10">
        <f t="shared" si="0"/>
        <v>180</v>
      </c>
      <c r="H22" s="16">
        <f t="shared" si="1"/>
        <v>0.02</v>
      </c>
      <c r="I22" s="15">
        <f t="shared" si="2"/>
        <v>0</v>
      </c>
      <c r="J22" s="15"/>
    </row>
    <row r="23" spans="1:10" x14ac:dyDescent="0.25">
      <c r="A23" s="1" t="s">
        <v>16</v>
      </c>
      <c r="B23" s="1" t="s">
        <v>32</v>
      </c>
      <c r="C23" s="10"/>
      <c r="D23" s="10"/>
      <c r="E23" s="10">
        <v>4309</v>
      </c>
      <c r="F23" s="10"/>
      <c r="G23" s="10">
        <f t="shared" si="0"/>
        <v>4309</v>
      </c>
      <c r="H23" s="16">
        <f t="shared" si="1"/>
        <v>0.49</v>
      </c>
      <c r="I23" s="15">
        <f t="shared" si="2"/>
        <v>5.0000000000000001E-3</v>
      </c>
      <c r="J23" s="15">
        <f>ROUND(G23/3125-1,2)</f>
        <v>0.38</v>
      </c>
    </row>
    <row r="24" spans="1:10" x14ac:dyDescent="0.25">
      <c r="A24" s="1" t="s">
        <v>16</v>
      </c>
      <c r="B24" s="1" t="s">
        <v>33</v>
      </c>
      <c r="C24" s="10"/>
      <c r="D24" s="10">
        <v>89</v>
      </c>
      <c r="E24" s="10">
        <v>54</v>
      </c>
      <c r="F24" s="10"/>
      <c r="G24" s="10">
        <f t="shared" si="0"/>
        <v>143</v>
      </c>
      <c r="H24" s="16">
        <f t="shared" si="1"/>
        <v>0.02</v>
      </c>
      <c r="I24" s="15">
        <f t="shared" si="2"/>
        <v>0</v>
      </c>
      <c r="J24" s="15">
        <f>ROUND(G24/156-1,2)</f>
        <v>-0.08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1125</v>
      </c>
      <c r="F25" s="10"/>
      <c r="G25" s="10">
        <f t="shared" si="0"/>
        <v>1125</v>
      </c>
      <c r="H25" s="16">
        <f t="shared" si="1"/>
        <v>0.13</v>
      </c>
      <c r="I25" s="15">
        <f t="shared" si="2"/>
        <v>1E-3</v>
      </c>
      <c r="J25" s="15">
        <f>ROUND(G25/504-1,2)</f>
        <v>1.23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1860</v>
      </c>
      <c r="F26" s="10"/>
      <c r="G26" s="10">
        <f t="shared" si="0"/>
        <v>1860</v>
      </c>
      <c r="H26" s="16">
        <f t="shared" si="1"/>
        <v>0.21</v>
      </c>
      <c r="I26" s="15">
        <f t="shared" si="2"/>
        <v>2E-3</v>
      </c>
      <c r="J26" s="15">
        <f>ROUND(G26/4222-1,2)</f>
        <v>-0.56000000000000005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11790</v>
      </c>
      <c r="F27" s="10"/>
      <c r="G27" s="10">
        <f t="shared" si="0"/>
        <v>11790</v>
      </c>
      <c r="H27" s="16">
        <f t="shared" si="1"/>
        <v>1.33</v>
      </c>
      <c r="I27" s="15">
        <f t="shared" si="2"/>
        <v>1.4E-2</v>
      </c>
      <c r="J27" s="15">
        <f>ROUND(G27/20170-1,2)</f>
        <v>-0.42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172120</v>
      </c>
      <c r="F28" s="10"/>
      <c r="G28" s="10">
        <f t="shared" si="0"/>
        <v>172120</v>
      </c>
      <c r="H28" s="16">
        <f t="shared" si="1"/>
        <v>19.47</v>
      </c>
      <c r="I28" s="15">
        <f t="shared" si="2"/>
        <v>0.20799999999999999</v>
      </c>
      <c r="J28" s="15">
        <f>ROUND(G28/149285-1,2)</f>
        <v>0.15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8210</v>
      </c>
      <c r="F29" s="10"/>
      <c r="G29" s="10">
        <f t="shared" si="0"/>
        <v>8210</v>
      </c>
      <c r="H29" s="16">
        <f t="shared" si="1"/>
        <v>0.93</v>
      </c>
      <c r="I29" s="15">
        <f t="shared" si="2"/>
        <v>0.01</v>
      </c>
      <c r="J29" s="15">
        <f>ROUND(G29/5770-1,2)</f>
        <v>0.42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37860</v>
      </c>
      <c r="F30" s="10"/>
      <c r="G30" s="10">
        <f t="shared" si="0"/>
        <v>37860</v>
      </c>
      <c r="H30" s="16">
        <f t="shared" si="1"/>
        <v>4.28</v>
      </c>
      <c r="I30" s="15">
        <f t="shared" si="2"/>
        <v>4.5999999999999999E-2</v>
      </c>
      <c r="J30" s="15">
        <f>ROUND(G30/30840-1,2)</f>
        <v>0.23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401250</v>
      </c>
      <c r="F31" s="10"/>
      <c r="G31" s="10">
        <f t="shared" si="0"/>
        <v>401250</v>
      </c>
      <c r="H31" s="16">
        <f t="shared" si="1"/>
        <v>45.38</v>
      </c>
      <c r="I31" s="15">
        <f t="shared" si="2"/>
        <v>0.48499999999999999</v>
      </c>
      <c r="J31" s="15">
        <f>ROUND(G31/326720-1,2)</f>
        <v>0.23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ROUND(G32/4380-1,2)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ROUND(G33/13910-1,2)</f>
        <v>-1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81390</v>
      </c>
      <c r="F34" s="10"/>
      <c r="G34" s="10">
        <f t="shared" si="0"/>
        <v>81390</v>
      </c>
      <c r="H34" s="16">
        <f t="shared" si="1"/>
        <v>9.1999999999999993</v>
      </c>
      <c r="I34" s="15">
        <f t="shared" si="2"/>
        <v>9.8000000000000004E-2</v>
      </c>
      <c r="J34" s="15">
        <f>ROUND(G34/67020-1,2)</f>
        <v>0.21</v>
      </c>
    </row>
    <row r="35" spans="1:10" x14ac:dyDescent="0.25">
      <c r="A35" s="1" t="s">
        <v>48</v>
      </c>
      <c r="B35" s="1" t="s">
        <v>51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25" t="s">
        <v>12</v>
      </c>
      <c r="B36" s="25"/>
      <c r="C36" s="11">
        <f t="shared" ref="C36:H36" si="3">SUM(C8:C35)</f>
        <v>0</v>
      </c>
      <c r="D36" s="11">
        <f t="shared" si="3"/>
        <v>89</v>
      </c>
      <c r="E36" s="11">
        <f t="shared" si="3"/>
        <v>827473</v>
      </c>
      <c r="F36" s="11">
        <f t="shared" si="3"/>
        <v>0</v>
      </c>
      <c r="G36" s="11">
        <f t="shared" si="3"/>
        <v>827562</v>
      </c>
      <c r="H36" s="14">
        <f t="shared" si="3"/>
        <v>93.600000000000009</v>
      </c>
      <c r="I36" s="17"/>
      <c r="J36" s="17"/>
    </row>
    <row r="37" spans="1:10" x14ac:dyDescent="0.25">
      <c r="A37" s="25" t="s">
        <v>14</v>
      </c>
      <c r="B37" s="25"/>
      <c r="C37" s="12">
        <f>ROUND(C36/G36,2)</f>
        <v>0</v>
      </c>
      <c r="D37" s="12">
        <f>ROUND(D36/G36,2)</f>
        <v>0</v>
      </c>
      <c r="E37" s="12">
        <f>ROUND(E36/G36,2)</f>
        <v>1</v>
      </c>
      <c r="F37" s="12">
        <f>ROUND(F36/G36,2)</f>
        <v>0</v>
      </c>
      <c r="G37" s="13"/>
      <c r="H37" s="13"/>
      <c r="I37" s="17"/>
      <c r="J37" s="17"/>
    </row>
    <row r="38" spans="1:10" x14ac:dyDescent="0.25">
      <c r="A38" s="2" t="s">
        <v>52</v>
      </c>
      <c r="B38" s="2"/>
      <c r="C38" s="13"/>
      <c r="D38" s="13"/>
      <c r="E38" s="13"/>
      <c r="F38" s="13"/>
      <c r="G38" s="13"/>
      <c r="H38" s="13"/>
      <c r="I38" s="17"/>
      <c r="J38" s="17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A42" s="25" t="s">
        <v>53</v>
      </c>
      <c r="B42" s="25"/>
      <c r="C42" s="11" t="s">
        <v>8</v>
      </c>
      <c r="D42" s="11" t="s">
        <v>9</v>
      </c>
      <c r="E42" s="11" t="s">
        <v>10</v>
      </c>
      <c r="F42" s="11" t="s">
        <v>11</v>
      </c>
      <c r="G42" s="11" t="s">
        <v>12</v>
      </c>
      <c r="H42" s="14" t="s">
        <v>13</v>
      </c>
      <c r="I42" s="17"/>
      <c r="J42" s="17"/>
    </row>
    <row r="43" spans="1:10" x14ac:dyDescent="0.25">
      <c r="A43" s="20" t="s">
        <v>54</v>
      </c>
      <c r="B43" s="20"/>
      <c r="C43" s="10">
        <v>0</v>
      </c>
      <c r="D43" s="10">
        <v>89</v>
      </c>
      <c r="E43" s="10">
        <v>746083</v>
      </c>
      <c r="F43" s="10">
        <v>0</v>
      </c>
      <c r="G43" s="10">
        <f>SUM(C43:F43)</f>
        <v>746172</v>
      </c>
      <c r="H43" s="16">
        <f>ROUND(G43/8842,2)</f>
        <v>84.39</v>
      </c>
      <c r="I43" s="9"/>
      <c r="J43" s="9"/>
    </row>
    <row r="44" spans="1:10" x14ac:dyDescent="0.25">
      <c r="A44" s="20" t="s">
        <v>55</v>
      </c>
      <c r="B44" s="20"/>
      <c r="C44" s="10">
        <v>0</v>
      </c>
      <c r="D44" s="10">
        <v>0</v>
      </c>
      <c r="E44" s="10">
        <v>81390</v>
      </c>
      <c r="F44" s="10">
        <v>0</v>
      </c>
      <c r="G44" s="10">
        <f>SUM(C44:F44)</f>
        <v>81390</v>
      </c>
      <c r="H44" s="16">
        <f>ROUND(G44/8842,2)</f>
        <v>9.1999999999999993</v>
      </c>
      <c r="I44" s="9"/>
      <c r="J44" s="9"/>
    </row>
    <row r="45" spans="1:10" x14ac:dyDescent="0.25">
      <c r="A45" s="20" t="s">
        <v>56</v>
      </c>
      <c r="B45" s="20"/>
      <c r="C45" s="10">
        <v>0</v>
      </c>
      <c r="D45" s="10">
        <v>0</v>
      </c>
      <c r="E45" s="10">
        <v>0</v>
      </c>
      <c r="F45" s="10">
        <v>0</v>
      </c>
      <c r="G45" s="10">
        <f>SUM(C45:F45)</f>
        <v>0</v>
      </c>
      <c r="H45" s="16">
        <f>ROUND(G45/8842,2)</f>
        <v>0</v>
      </c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57</v>
      </c>
      <c r="B50" s="25"/>
      <c r="C50" s="14" t="s">
        <v>2</v>
      </c>
      <c r="D50" s="14">
        <v>2023</v>
      </c>
      <c r="E50" s="14" t="s">
        <v>59</v>
      </c>
      <c r="F50" s="13"/>
      <c r="G50" s="14" t="s">
        <v>60</v>
      </c>
      <c r="H50" s="14" t="s">
        <v>2</v>
      </c>
      <c r="I50" s="12" t="s">
        <v>61</v>
      </c>
      <c r="J50" s="12" t="s">
        <v>59</v>
      </c>
    </row>
    <row r="51" spans="1:10" x14ac:dyDescent="0.25">
      <c r="A51" s="20" t="s">
        <v>58</v>
      </c>
      <c r="B51" s="20"/>
      <c r="C51" s="15">
        <f>ROUND(0.9917, 4)</f>
        <v>0.99170000000000003</v>
      </c>
      <c r="D51" s="15">
        <f>ROUND(0.989, 4)</f>
        <v>0.98899999999999999</v>
      </c>
      <c r="E51" s="15">
        <f>ROUND(0.777, 4)</f>
        <v>0.77700000000000002</v>
      </c>
      <c r="F51" s="8"/>
      <c r="G51" s="14" t="s">
        <v>62</v>
      </c>
      <c r="H51" s="26" t="s">
        <v>63</v>
      </c>
      <c r="I51" s="23" t="s">
        <v>64</v>
      </c>
      <c r="J51" s="23" t="s">
        <v>65</v>
      </c>
    </row>
    <row r="52" spans="1:10" x14ac:dyDescent="0.25">
      <c r="A52" s="20" t="s">
        <v>66</v>
      </c>
      <c r="B52" s="20"/>
      <c r="C52" s="15">
        <f>ROUND(0.991, 4)</f>
        <v>0.99099999999999999</v>
      </c>
      <c r="D52" s="15">
        <f>ROUND(0.9878, 4)</f>
        <v>0.98780000000000001</v>
      </c>
      <c r="E52" s="15">
        <f>ROUND(0.7608, 4)</f>
        <v>0.76080000000000003</v>
      </c>
      <c r="F52" s="8"/>
      <c r="G52" s="14" t="s">
        <v>67</v>
      </c>
      <c r="H52" s="27"/>
      <c r="I52" s="24"/>
      <c r="J52" s="24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5" t="s">
        <v>68</v>
      </c>
      <c r="B56" s="25"/>
      <c r="C56" s="14" t="s">
        <v>2</v>
      </c>
      <c r="D56" s="14" t="s">
        <v>327</v>
      </c>
      <c r="E56" s="14" t="s">
        <v>70</v>
      </c>
      <c r="F56" s="14" t="s">
        <v>71</v>
      </c>
      <c r="G56" s="14" t="s">
        <v>72</v>
      </c>
      <c r="H56" s="13"/>
      <c r="I56" s="17"/>
      <c r="J56" s="17"/>
    </row>
    <row r="57" spans="1:10" x14ac:dyDescent="0.25">
      <c r="A57" s="20" t="s">
        <v>73</v>
      </c>
      <c r="B57" s="20"/>
      <c r="C57" s="16"/>
      <c r="D57" s="16"/>
      <c r="E57" s="16">
        <v>91.13</v>
      </c>
      <c r="F57" s="16">
        <v>54.95</v>
      </c>
      <c r="G57" s="16">
        <f>12/10*C57</f>
        <v>0</v>
      </c>
      <c r="H57" s="8"/>
      <c r="I57" s="9"/>
      <c r="J57" s="9"/>
    </row>
    <row r="58" spans="1:10" x14ac:dyDescent="0.25">
      <c r="A58" s="20" t="s">
        <v>74</v>
      </c>
      <c r="B58" s="20"/>
      <c r="C58" s="16"/>
      <c r="D58" s="16"/>
      <c r="E58" s="16">
        <v>61.18</v>
      </c>
      <c r="F58" s="16">
        <v>62.89</v>
      </c>
      <c r="G58" s="16">
        <f>12/10*C58</f>
        <v>0</v>
      </c>
      <c r="H58" s="8"/>
      <c r="I58" s="9"/>
      <c r="J58" s="9"/>
    </row>
    <row r="59" spans="1:10" x14ac:dyDescent="0.25">
      <c r="A59" s="20" t="s">
        <v>75</v>
      </c>
      <c r="B59" s="20"/>
      <c r="C59" s="16">
        <v>84.39</v>
      </c>
      <c r="D59" s="16">
        <v>90.34</v>
      </c>
      <c r="E59" s="16">
        <v>287.25</v>
      </c>
      <c r="F59" s="16">
        <v>278.91000000000003</v>
      </c>
      <c r="G59" s="16">
        <f>12/10*C59</f>
        <v>101.268</v>
      </c>
      <c r="H59" s="8"/>
      <c r="I59" s="9"/>
      <c r="J59" s="9"/>
    </row>
    <row r="60" spans="1:10" x14ac:dyDescent="0.25">
      <c r="A60" s="20" t="s">
        <v>76</v>
      </c>
      <c r="B60" s="20"/>
      <c r="C60" s="16">
        <v>9.1999999999999993</v>
      </c>
      <c r="D60" s="16">
        <v>9.52</v>
      </c>
      <c r="E60" s="16">
        <v>114.69</v>
      </c>
      <c r="F60" s="16">
        <v>78.319999999999993</v>
      </c>
      <c r="G60" s="16">
        <f>12/10*C60</f>
        <v>11.04</v>
      </c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1" t="s">
        <v>60</v>
      </c>
      <c r="B63" s="22"/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77</v>
      </c>
      <c r="B64" s="1" t="s">
        <v>328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70</v>
      </c>
      <c r="B65" s="1" t="s">
        <v>79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71</v>
      </c>
      <c r="B66" s="1" t="s">
        <v>80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72</v>
      </c>
      <c r="B67" s="1" t="s">
        <v>81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36:B36"/>
    <mergeCell ref="A37:B37"/>
    <mergeCell ref="A42:B42"/>
    <mergeCell ref="A43:B43"/>
    <mergeCell ref="J51:J52"/>
    <mergeCell ref="A52:B52"/>
    <mergeCell ref="A56:B56"/>
    <mergeCell ref="A57:B57"/>
    <mergeCell ref="A44:B44"/>
    <mergeCell ref="A45:B45"/>
    <mergeCell ref="A50:B50"/>
    <mergeCell ref="A51:B51"/>
    <mergeCell ref="H51:H52"/>
    <mergeCell ref="A58:B58"/>
    <mergeCell ref="A59:B59"/>
    <mergeCell ref="A60:B60"/>
    <mergeCell ref="A63:B63"/>
    <mergeCell ref="I51:I5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9781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332</v>
      </c>
      <c r="F9" s="10"/>
      <c r="G9" s="10">
        <f t="shared" ref="G9:G47" si="0">SUM(C9:F9)</f>
        <v>332</v>
      </c>
      <c r="H9" s="16">
        <f t="shared" ref="H9:H47" si="1">ROUND(G9/9781,2)</f>
        <v>0.03</v>
      </c>
      <c r="I9" s="15">
        <f t="shared" ref="I9:I47" si="2">ROUND(G9/$G$48,3)</f>
        <v>0</v>
      </c>
      <c r="J9" s="15">
        <f>ROUND(G9/833-1,2)</f>
        <v>-0.6</v>
      </c>
    </row>
    <row r="10" spans="1:10" x14ac:dyDescent="0.25">
      <c r="A10" s="1" t="s">
        <v>16</v>
      </c>
      <c r="B10" s="1" t="s">
        <v>18</v>
      </c>
      <c r="C10" s="10">
        <v>960</v>
      </c>
      <c r="D10" s="10"/>
      <c r="E10" s="10">
        <v>35166</v>
      </c>
      <c r="F10" s="10">
        <v>4880</v>
      </c>
      <c r="G10" s="10">
        <f t="shared" si="0"/>
        <v>41006</v>
      </c>
      <c r="H10" s="16">
        <f t="shared" si="1"/>
        <v>4.1900000000000004</v>
      </c>
      <c r="I10" s="15">
        <f t="shared" si="2"/>
        <v>8.9999999999999993E-3</v>
      </c>
      <c r="J10" s="15">
        <f>ROUND(G10/49980-1,2)</f>
        <v>-0.18</v>
      </c>
    </row>
    <row r="11" spans="1:10" x14ac:dyDescent="0.25">
      <c r="A11" s="1" t="s">
        <v>16</v>
      </c>
      <c r="B11" s="1" t="s">
        <v>19</v>
      </c>
      <c r="C11" s="10">
        <v>278560</v>
      </c>
      <c r="D11" s="10"/>
      <c r="E11" s="10">
        <v>60910</v>
      </c>
      <c r="F11" s="10">
        <v>9440</v>
      </c>
      <c r="G11" s="10">
        <f t="shared" si="0"/>
        <v>348910</v>
      </c>
      <c r="H11" s="16">
        <f t="shared" si="1"/>
        <v>35.67</v>
      </c>
      <c r="I11" s="15">
        <f t="shared" si="2"/>
        <v>8.1000000000000003E-2</v>
      </c>
      <c r="J11" s="15">
        <f>ROUND(G11/366210.96-1,2)</f>
        <v>-0.05</v>
      </c>
    </row>
    <row r="12" spans="1:10" x14ac:dyDescent="0.25">
      <c r="A12" s="1" t="s">
        <v>16</v>
      </c>
      <c r="B12" s="1" t="s">
        <v>20</v>
      </c>
      <c r="C12" s="10">
        <v>368145</v>
      </c>
      <c r="D12" s="10"/>
      <c r="E12" s="10"/>
      <c r="F12" s="10"/>
      <c r="G12" s="10">
        <f t="shared" si="0"/>
        <v>368145</v>
      </c>
      <c r="H12" s="16">
        <f t="shared" si="1"/>
        <v>37.64</v>
      </c>
      <c r="I12" s="15">
        <f t="shared" si="2"/>
        <v>8.5000000000000006E-2</v>
      </c>
      <c r="J12" s="15">
        <f>ROUND(G12/367815.12-1,2)</f>
        <v>0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941</v>
      </c>
      <c r="F13" s="10"/>
      <c r="G13" s="10">
        <f t="shared" si="0"/>
        <v>941</v>
      </c>
      <c r="H13" s="16">
        <f t="shared" si="1"/>
        <v>0.1</v>
      </c>
      <c r="I13" s="15">
        <f t="shared" si="2"/>
        <v>0</v>
      </c>
      <c r="J13" s="15">
        <f>ROUND(G13/928.66-1,2)</f>
        <v>0.01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5981</v>
      </c>
      <c r="F14" s="10"/>
      <c r="G14" s="10">
        <f t="shared" si="0"/>
        <v>5981</v>
      </c>
      <c r="H14" s="16">
        <f t="shared" si="1"/>
        <v>0.61</v>
      </c>
      <c r="I14" s="15">
        <f t="shared" si="2"/>
        <v>1E-3</v>
      </c>
      <c r="J14" s="15">
        <f>ROUND(G14/4318.75-1,2)</f>
        <v>0.38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192</v>
      </c>
      <c r="G15" s="10">
        <f t="shared" si="0"/>
        <v>192</v>
      </c>
      <c r="H15" s="16">
        <f t="shared" si="1"/>
        <v>0.02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267335</v>
      </c>
      <c r="F16" s="10"/>
      <c r="G16" s="10">
        <f t="shared" si="0"/>
        <v>267335</v>
      </c>
      <c r="H16" s="16">
        <f t="shared" si="1"/>
        <v>27.33</v>
      </c>
      <c r="I16" s="15">
        <f t="shared" si="2"/>
        <v>6.2E-2</v>
      </c>
      <c r="J16" s="15">
        <f>ROUND(G16/321663.98-1,2)</f>
        <v>-0.17</v>
      </c>
    </row>
    <row r="17" spans="1:10" x14ac:dyDescent="0.25">
      <c r="A17" s="1" t="s">
        <v>16</v>
      </c>
      <c r="B17" s="1" t="s">
        <v>24</v>
      </c>
      <c r="C17" s="10">
        <v>408250</v>
      </c>
      <c r="D17" s="10"/>
      <c r="E17" s="10">
        <v>145406</v>
      </c>
      <c r="F17" s="10">
        <v>5250</v>
      </c>
      <c r="G17" s="10">
        <f t="shared" si="0"/>
        <v>558906</v>
      </c>
      <c r="H17" s="16">
        <f t="shared" si="1"/>
        <v>57.14</v>
      </c>
      <c r="I17" s="15">
        <f t="shared" si="2"/>
        <v>0.129</v>
      </c>
      <c r="J17" s="15">
        <f>ROUND(G17/590478.86-1,2)</f>
        <v>-0.05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16897</v>
      </c>
      <c r="F18" s="10"/>
      <c r="G18" s="10">
        <f t="shared" si="0"/>
        <v>16897</v>
      </c>
      <c r="H18" s="16">
        <f t="shared" si="1"/>
        <v>1.73</v>
      </c>
      <c r="I18" s="15">
        <f t="shared" si="2"/>
        <v>4.0000000000000001E-3</v>
      </c>
      <c r="J18" s="15">
        <f>ROUND(G18/14670-1,2)</f>
        <v>0.15</v>
      </c>
    </row>
    <row r="19" spans="1:10" x14ac:dyDescent="0.25">
      <c r="A19" s="1" t="s">
        <v>16</v>
      </c>
      <c r="B19" s="1" t="s">
        <v>26</v>
      </c>
      <c r="C19" s="10">
        <v>586500</v>
      </c>
      <c r="D19" s="10"/>
      <c r="E19" s="10"/>
      <c r="F19" s="10">
        <v>1680</v>
      </c>
      <c r="G19" s="10">
        <f t="shared" si="0"/>
        <v>588180</v>
      </c>
      <c r="H19" s="16">
        <f t="shared" si="1"/>
        <v>60.13</v>
      </c>
      <c r="I19" s="15">
        <f t="shared" si="2"/>
        <v>0.13600000000000001</v>
      </c>
      <c r="J19" s="15">
        <f>ROUND(G19/543510-1,2)</f>
        <v>0.08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2066</v>
      </c>
      <c r="F20" s="10"/>
      <c r="G20" s="10">
        <f t="shared" si="0"/>
        <v>2066</v>
      </c>
      <c r="H20" s="16">
        <f t="shared" si="1"/>
        <v>0.21</v>
      </c>
      <c r="I20" s="15">
        <f t="shared" si="2"/>
        <v>0</v>
      </c>
      <c r="J20" s="15">
        <f>ROUND(G20/3364-1,2)</f>
        <v>-0.39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983</v>
      </c>
      <c r="F21" s="10"/>
      <c r="G21" s="10">
        <f t="shared" si="0"/>
        <v>983</v>
      </c>
      <c r="H21" s="16">
        <f t="shared" si="1"/>
        <v>0.1</v>
      </c>
      <c r="I21" s="15">
        <f t="shared" si="2"/>
        <v>0</v>
      </c>
      <c r="J21" s="15">
        <f>ROUND(G21/1637-1,2)</f>
        <v>-0.4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4974</v>
      </c>
      <c r="F22" s="10"/>
      <c r="G22" s="10">
        <f t="shared" si="0"/>
        <v>4974</v>
      </c>
      <c r="H22" s="16">
        <f t="shared" si="1"/>
        <v>0.51</v>
      </c>
      <c r="I22" s="15">
        <f t="shared" si="2"/>
        <v>1E-3</v>
      </c>
      <c r="J22" s="15">
        <f>ROUND(G22/18674.64-1,2)</f>
        <v>-0.73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3784</v>
      </c>
      <c r="F23" s="10"/>
      <c r="G23" s="10">
        <f t="shared" si="0"/>
        <v>3784</v>
      </c>
      <c r="H23" s="16">
        <f t="shared" si="1"/>
        <v>0.39</v>
      </c>
      <c r="I23" s="15">
        <f t="shared" si="2"/>
        <v>1E-3</v>
      </c>
      <c r="J23" s="15">
        <f>ROUND(G23/4895.86-1,2)</f>
        <v>-0.23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1157</v>
      </c>
      <c r="F24" s="10"/>
      <c r="G24" s="10">
        <f t="shared" si="0"/>
        <v>1157</v>
      </c>
      <c r="H24" s="16">
        <f t="shared" si="1"/>
        <v>0.12</v>
      </c>
      <c r="I24" s="15">
        <f t="shared" si="2"/>
        <v>0</v>
      </c>
      <c r="J24" s="15">
        <f>ROUND(G24/914.62-1,2)</f>
        <v>0.27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4010</v>
      </c>
      <c r="F25" s="10"/>
      <c r="G25" s="10">
        <f t="shared" si="0"/>
        <v>4010</v>
      </c>
      <c r="H25" s="16">
        <f t="shared" si="1"/>
        <v>0.41</v>
      </c>
      <c r="I25" s="15">
        <f t="shared" si="2"/>
        <v>1E-3</v>
      </c>
      <c r="J25" s="15">
        <f>ROUND(G25/5140.57-1,2)</f>
        <v>-0.22</v>
      </c>
    </row>
    <row r="26" spans="1:10" x14ac:dyDescent="0.25">
      <c r="A26" s="1" t="s">
        <v>16</v>
      </c>
      <c r="B26" s="1" t="s">
        <v>33</v>
      </c>
      <c r="C26" s="10"/>
      <c r="D26" s="10">
        <v>590</v>
      </c>
      <c r="E26" s="10">
        <v>1380</v>
      </c>
      <c r="F26" s="10"/>
      <c r="G26" s="10">
        <f t="shared" si="0"/>
        <v>1970</v>
      </c>
      <c r="H26" s="16">
        <f t="shared" si="1"/>
        <v>0.2</v>
      </c>
      <c r="I26" s="15">
        <f t="shared" si="2"/>
        <v>0</v>
      </c>
      <c r="J26" s="15">
        <f>ROUND(G26/2440-1,2)</f>
        <v>-0.19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5155</v>
      </c>
      <c r="F27" s="10"/>
      <c r="G27" s="10">
        <f t="shared" si="0"/>
        <v>5155</v>
      </c>
      <c r="H27" s="16">
        <f t="shared" si="1"/>
        <v>0.53</v>
      </c>
      <c r="I27" s="15">
        <f t="shared" si="2"/>
        <v>1E-3</v>
      </c>
      <c r="J27" s="15">
        <f>ROUND(G27/7850-1,2)</f>
        <v>-0.34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1948</v>
      </c>
      <c r="F28" s="10"/>
      <c r="G28" s="10">
        <f t="shared" si="0"/>
        <v>1948</v>
      </c>
      <c r="H28" s="16">
        <f t="shared" si="1"/>
        <v>0.2</v>
      </c>
      <c r="I28" s="15">
        <f t="shared" si="2"/>
        <v>0</v>
      </c>
      <c r="J28" s="15">
        <f>ROUND(G28/1984.84-1,2)</f>
        <v>-0.02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1093</v>
      </c>
      <c r="F29" s="10"/>
      <c r="G29" s="10">
        <f t="shared" si="0"/>
        <v>1093</v>
      </c>
      <c r="H29" s="16">
        <f t="shared" si="1"/>
        <v>0.11</v>
      </c>
      <c r="I29" s="15">
        <f t="shared" si="2"/>
        <v>0</v>
      </c>
      <c r="J29" s="15">
        <f>ROUND(G29/12149.86-1,2)</f>
        <v>-0.91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296059</v>
      </c>
      <c r="F30" s="10"/>
      <c r="G30" s="10">
        <f t="shared" si="0"/>
        <v>296059</v>
      </c>
      <c r="H30" s="16">
        <f t="shared" si="1"/>
        <v>30.27</v>
      </c>
      <c r="I30" s="15">
        <f t="shared" si="2"/>
        <v>6.8000000000000005E-2</v>
      </c>
      <c r="J30" s="15">
        <f>ROUND(G30/357925.97-1,2)</f>
        <v>-0.17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25970</v>
      </c>
      <c r="F31" s="10"/>
      <c r="G31" s="10">
        <f t="shared" si="0"/>
        <v>25970</v>
      </c>
      <c r="H31" s="16">
        <f t="shared" si="1"/>
        <v>2.66</v>
      </c>
      <c r="I31" s="15">
        <f t="shared" si="2"/>
        <v>6.0000000000000001E-3</v>
      </c>
      <c r="J31" s="15">
        <f>ROUND(G31/28564.81-1,2)</f>
        <v>-0.09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99745</v>
      </c>
      <c r="F32" s="10"/>
      <c r="G32" s="10">
        <f t="shared" si="0"/>
        <v>99745</v>
      </c>
      <c r="H32" s="16">
        <f t="shared" si="1"/>
        <v>10.199999999999999</v>
      </c>
      <c r="I32" s="15">
        <f t="shared" si="2"/>
        <v>2.3E-2</v>
      </c>
      <c r="J32" s="15">
        <f>ROUND(G32/107611.93-1,2)</f>
        <v>-7.0000000000000007E-2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207411</v>
      </c>
      <c r="F33" s="10"/>
      <c r="G33" s="10">
        <f t="shared" si="0"/>
        <v>207411</v>
      </c>
      <c r="H33" s="16">
        <f t="shared" si="1"/>
        <v>21.21</v>
      </c>
      <c r="I33" s="15">
        <f t="shared" si="2"/>
        <v>4.8000000000000001E-2</v>
      </c>
      <c r="J33" s="15">
        <f>ROUND(G33/245223.72-1,2)</f>
        <v>-0.15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ROUND(G34/955.39-1,2)</f>
        <v>-1</v>
      </c>
    </row>
    <row r="35" spans="1:10" x14ac:dyDescent="0.25">
      <c r="A35" s="1" t="s">
        <v>16</v>
      </c>
      <c r="B35" s="1" t="s">
        <v>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ROUND(G35/39584-1,2)</f>
        <v>-1</v>
      </c>
    </row>
    <row r="36" spans="1:10" x14ac:dyDescent="0.25">
      <c r="A36" s="1" t="s">
        <v>16</v>
      </c>
      <c r="B36" s="1" t="s">
        <v>37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ROUND(G36/22896.78-1,2)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120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129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ROUND(G39/163-1,2)</f>
        <v>-1</v>
      </c>
    </row>
    <row r="40" spans="1:10" x14ac:dyDescent="0.25">
      <c r="A40" s="1" t="s">
        <v>16</v>
      </c>
      <c r="B40" s="1" t="s">
        <v>116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1108680</v>
      </c>
      <c r="D41" s="10"/>
      <c r="E41" s="10"/>
      <c r="F41" s="10">
        <v>3620</v>
      </c>
      <c r="G41" s="10">
        <f t="shared" si="0"/>
        <v>1112300</v>
      </c>
      <c r="H41" s="16">
        <f t="shared" si="1"/>
        <v>113.72</v>
      </c>
      <c r="I41" s="15">
        <f t="shared" si="2"/>
        <v>0.25700000000000001</v>
      </c>
      <c r="J41" s="15">
        <f>ROUND(G41/1016960-1,2)</f>
        <v>0.09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141815</v>
      </c>
      <c r="G42" s="10">
        <f t="shared" si="0"/>
        <v>141815</v>
      </c>
      <c r="H42" s="16">
        <f t="shared" si="1"/>
        <v>14.5</v>
      </c>
      <c r="I42" s="15">
        <f t="shared" si="2"/>
        <v>3.3000000000000002E-2</v>
      </c>
      <c r="J42" s="15">
        <f>ROUND(G42/80375-1,2)</f>
        <v>0.76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224609</v>
      </c>
      <c r="F43" s="10"/>
      <c r="G43" s="10">
        <f t="shared" si="0"/>
        <v>224609</v>
      </c>
      <c r="H43" s="16">
        <f t="shared" si="1"/>
        <v>22.96</v>
      </c>
      <c r="I43" s="15">
        <f t="shared" si="2"/>
        <v>5.1999999999999998E-2</v>
      </c>
      <c r="J43" s="15">
        <f>ROUND(G43/268732.56-1,2)</f>
        <v>-0.16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ROUND(G44/13-1,2)</f>
        <v>-1</v>
      </c>
    </row>
    <row r="45" spans="1:10" x14ac:dyDescent="0.25">
      <c r="A45" s="1" t="s">
        <v>48</v>
      </c>
      <c r="B45" s="1" t="s">
        <v>86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ROUND(G45/300-1,2)</f>
        <v>-1</v>
      </c>
    </row>
    <row r="46" spans="1:10" x14ac:dyDescent="0.25">
      <c r="A46" s="1" t="s">
        <v>48</v>
      </c>
      <c r="B46" s="1" t="s">
        <v>50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ROUND(G46/280-1,2)</f>
        <v>-1</v>
      </c>
    </row>
    <row r="47" spans="1:10" x14ac:dyDescent="0.25">
      <c r="A47" s="1" t="s">
        <v>48</v>
      </c>
      <c r="B47" s="1" t="s">
        <v>168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25" t="s">
        <v>12</v>
      </c>
      <c r="B48" s="25"/>
      <c r="C48" s="11">
        <f t="shared" ref="C48:H48" si="3">SUM(C8:C47)</f>
        <v>2751095</v>
      </c>
      <c r="D48" s="11">
        <f t="shared" si="3"/>
        <v>590</v>
      </c>
      <c r="E48" s="11">
        <f t="shared" si="3"/>
        <v>1413312</v>
      </c>
      <c r="F48" s="11">
        <f t="shared" si="3"/>
        <v>166877</v>
      </c>
      <c r="G48" s="11">
        <f t="shared" si="3"/>
        <v>4331874</v>
      </c>
      <c r="H48" s="14">
        <f t="shared" si="3"/>
        <v>442.88999999999993</v>
      </c>
      <c r="I48" s="17"/>
      <c r="J48" s="17"/>
    </row>
    <row r="49" spans="1:10" x14ac:dyDescent="0.25">
      <c r="A49" s="25" t="s">
        <v>14</v>
      </c>
      <c r="B49" s="25"/>
      <c r="C49" s="12">
        <f>ROUND(C48/G48,2)</f>
        <v>0.64</v>
      </c>
      <c r="D49" s="12">
        <f>ROUND(D48/G48,2)</f>
        <v>0</v>
      </c>
      <c r="E49" s="12">
        <f>ROUND(E48/G48,2)</f>
        <v>0.33</v>
      </c>
      <c r="F49" s="12">
        <f>ROUND(F48/G48,2)</f>
        <v>0.04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53</v>
      </c>
      <c r="B54" s="25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0" t="s">
        <v>54</v>
      </c>
      <c r="B55" s="20"/>
      <c r="C55" s="10">
        <v>1642415</v>
      </c>
      <c r="D55" s="10">
        <v>590</v>
      </c>
      <c r="E55" s="10">
        <v>1188703</v>
      </c>
      <c r="F55" s="10">
        <v>21442</v>
      </c>
      <c r="G55" s="10">
        <f>SUM(C55:F55)</f>
        <v>2853150</v>
      </c>
      <c r="H55" s="16">
        <f>ROUND(G55/9781,2)</f>
        <v>291.7</v>
      </c>
      <c r="I55" s="9"/>
      <c r="J55" s="9"/>
    </row>
    <row r="56" spans="1:10" x14ac:dyDescent="0.25">
      <c r="A56" s="20" t="s">
        <v>55</v>
      </c>
      <c r="B56" s="20"/>
      <c r="C56" s="10">
        <v>1108680</v>
      </c>
      <c r="D56" s="10">
        <v>0</v>
      </c>
      <c r="E56" s="10">
        <v>224609</v>
      </c>
      <c r="F56" s="10">
        <v>145435</v>
      </c>
      <c r="G56" s="10">
        <f>SUM(C56:F56)</f>
        <v>1478724</v>
      </c>
      <c r="H56" s="16">
        <f>ROUND(G56/9781,2)</f>
        <v>151.18</v>
      </c>
      <c r="I56" s="9"/>
      <c r="J56" s="9"/>
    </row>
    <row r="57" spans="1:10" x14ac:dyDescent="0.25">
      <c r="A57" s="20" t="s">
        <v>56</v>
      </c>
      <c r="B57" s="20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ROUND(G57/9781,2)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57</v>
      </c>
      <c r="B62" s="25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0" t="s">
        <v>58</v>
      </c>
      <c r="B63" s="20"/>
      <c r="C63" s="15">
        <f>ROUND(0.715, 4)</f>
        <v>0.71499999999999997</v>
      </c>
      <c r="D63" s="15">
        <f>ROUND(0.7412, 4)</f>
        <v>0.74119999999999997</v>
      </c>
      <c r="E63" s="15">
        <f>ROUND(0.777, 4)</f>
        <v>0.77700000000000002</v>
      </c>
      <c r="F63" s="8"/>
      <c r="G63" s="14" t="s">
        <v>62</v>
      </c>
      <c r="H63" s="26" t="s">
        <v>63</v>
      </c>
      <c r="I63" s="23" t="s">
        <v>64</v>
      </c>
      <c r="J63" s="23" t="s">
        <v>65</v>
      </c>
    </row>
    <row r="64" spans="1:10" x14ac:dyDescent="0.25">
      <c r="A64" s="20" t="s">
        <v>66</v>
      </c>
      <c r="B64" s="20"/>
      <c r="C64" s="15">
        <f>ROUND(0.683, 4)</f>
        <v>0.68300000000000005</v>
      </c>
      <c r="D64" s="15">
        <f>ROUND(0.7088, 4)</f>
        <v>0.70879999999999999</v>
      </c>
      <c r="E64" s="15">
        <f>ROUND(0.7608, 4)</f>
        <v>0.76080000000000003</v>
      </c>
      <c r="F64" s="8"/>
      <c r="G64" s="14" t="s">
        <v>67</v>
      </c>
      <c r="H64" s="27"/>
      <c r="I64" s="24"/>
      <c r="J64" s="24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5" t="s">
        <v>68</v>
      </c>
      <c r="B68" s="25"/>
      <c r="C68" s="14" t="s">
        <v>2</v>
      </c>
      <c r="D68" s="14" t="s">
        <v>330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0" t="s">
        <v>73</v>
      </c>
      <c r="B69" s="20"/>
      <c r="C69" s="16">
        <v>113.72</v>
      </c>
      <c r="D69" s="16">
        <v>121.42</v>
      </c>
      <c r="E69" s="16">
        <v>91.13</v>
      </c>
      <c r="F69" s="16">
        <v>54.95</v>
      </c>
      <c r="G69" s="16">
        <f>12/10*C69</f>
        <v>136.464</v>
      </c>
      <c r="H69" s="8"/>
      <c r="I69" s="9"/>
      <c r="J69" s="9"/>
    </row>
    <row r="70" spans="1:10" x14ac:dyDescent="0.25">
      <c r="A70" s="20" t="s">
        <v>74</v>
      </c>
      <c r="B70" s="20"/>
      <c r="C70" s="16">
        <v>60.13</v>
      </c>
      <c r="D70" s="16">
        <v>73.790000000000006</v>
      </c>
      <c r="E70" s="16">
        <v>61.18</v>
      </c>
      <c r="F70" s="16">
        <v>62.89</v>
      </c>
      <c r="G70" s="16">
        <f>12/10*C70</f>
        <v>72.156000000000006</v>
      </c>
      <c r="H70" s="8"/>
      <c r="I70" s="9"/>
      <c r="J70" s="9"/>
    </row>
    <row r="71" spans="1:10" x14ac:dyDescent="0.25">
      <c r="A71" s="20" t="s">
        <v>75</v>
      </c>
      <c r="B71" s="20"/>
      <c r="C71" s="16">
        <v>291.7</v>
      </c>
      <c r="D71" s="16">
        <v>359.7</v>
      </c>
      <c r="E71" s="16">
        <v>287.25</v>
      </c>
      <c r="F71" s="16">
        <v>278.91000000000003</v>
      </c>
      <c r="G71" s="16">
        <f>12/10*C71</f>
        <v>350.03999999999996</v>
      </c>
      <c r="H71" s="8"/>
      <c r="I71" s="9"/>
      <c r="J71" s="9"/>
    </row>
    <row r="72" spans="1:10" x14ac:dyDescent="0.25">
      <c r="A72" s="20" t="s">
        <v>76</v>
      </c>
      <c r="B72" s="20"/>
      <c r="C72" s="16">
        <v>151.18</v>
      </c>
      <c r="D72" s="16">
        <v>155.1</v>
      </c>
      <c r="E72" s="16">
        <v>114.69</v>
      </c>
      <c r="F72" s="16">
        <v>78.319999999999993</v>
      </c>
      <c r="G72" s="16">
        <f>12/10*C72</f>
        <v>181.416</v>
      </c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21" t="s">
        <v>60</v>
      </c>
      <c r="B75" s="22"/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77</v>
      </c>
      <c r="B76" s="1" t="s">
        <v>331</v>
      </c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4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2084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70</v>
      </c>
      <c r="F9" s="10"/>
      <c r="G9" s="10">
        <f t="shared" ref="G9:G44" si="0">SUM(C9:F9)</f>
        <v>70</v>
      </c>
      <c r="H9" s="16">
        <f t="shared" ref="H9:H44" si="1">ROUND(G9/2084,2)</f>
        <v>0.03</v>
      </c>
      <c r="I9" s="15">
        <f t="shared" ref="I9:I44" si="2">ROUND(G9/$G$45,3)</f>
        <v>0</v>
      </c>
      <c r="J9" s="15">
        <f>ROUND(G9/50-1,2)</f>
        <v>0.4</v>
      </c>
    </row>
    <row r="10" spans="1:10" x14ac:dyDescent="0.25">
      <c r="A10" s="1" t="s">
        <v>16</v>
      </c>
      <c r="B10" s="1" t="s">
        <v>19</v>
      </c>
      <c r="C10" s="10">
        <v>58385</v>
      </c>
      <c r="D10" s="10"/>
      <c r="E10" s="10"/>
      <c r="F10" s="10"/>
      <c r="G10" s="10">
        <f t="shared" si="0"/>
        <v>58385</v>
      </c>
      <c r="H10" s="16">
        <f t="shared" si="1"/>
        <v>28.02</v>
      </c>
      <c r="I10" s="15">
        <f t="shared" si="2"/>
        <v>7.2999999999999995E-2</v>
      </c>
      <c r="J10" s="15">
        <f>ROUND(G10/58070-1,2)</f>
        <v>0.01</v>
      </c>
    </row>
    <row r="11" spans="1:10" x14ac:dyDescent="0.25">
      <c r="A11" s="1" t="s">
        <v>16</v>
      </c>
      <c r="B11" s="1" t="s">
        <v>20</v>
      </c>
      <c r="C11" s="10">
        <v>92515</v>
      </c>
      <c r="D11" s="10"/>
      <c r="E11" s="10"/>
      <c r="F11" s="10"/>
      <c r="G11" s="10">
        <f t="shared" si="0"/>
        <v>92515</v>
      </c>
      <c r="H11" s="16">
        <f t="shared" si="1"/>
        <v>44.39</v>
      </c>
      <c r="I11" s="15">
        <f t="shared" si="2"/>
        <v>0.11600000000000001</v>
      </c>
      <c r="J11" s="15">
        <f>ROUND(G11/88135-1,2)</f>
        <v>0.05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167</v>
      </c>
      <c r="F12" s="10"/>
      <c r="G12" s="10">
        <f t="shared" si="0"/>
        <v>167</v>
      </c>
      <c r="H12" s="16">
        <f t="shared" si="1"/>
        <v>0.08</v>
      </c>
      <c r="I12" s="15">
        <f t="shared" si="2"/>
        <v>0</v>
      </c>
      <c r="J12" s="15">
        <f>ROUND(G12/142-1,2)</f>
        <v>0.18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149</v>
      </c>
      <c r="F13" s="10"/>
      <c r="G13" s="10">
        <f t="shared" si="0"/>
        <v>149</v>
      </c>
      <c r="H13" s="16">
        <f t="shared" si="1"/>
        <v>7.0000000000000007E-2</v>
      </c>
      <c r="I13" s="15">
        <f t="shared" si="2"/>
        <v>0</v>
      </c>
      <c r="J13" s="15">
        <f>ROUND(G13/175-1,2)</f>
        <v>-0.15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2520</v>
      </c>
      <c r="F14" s="10"/>
      <c r="G14" s="10">
        <f t="shared" si="0"/>
        <v>2520</v>
      </c>
      <c r="H14" s="16">
        <f t="shared" si="1"/>
        <v>1.21</v>
      </c>
      <c r="I14" s="15">
        <f t="shared" si="2"/>
        <v>3.0000000000000001E-3</v>
      </c>
      <c r="J14" s="15">
        <f>ROUND(G14/1960-1,2)</f>
        <v>0.28999999999999998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91320</v>
      </c>
      <c r="F15" s="10"/>
      <c r="G15" s="10">
        <f t="shared" si="0"/>
        <v>91320</v>
      </c>
      <c r="H15" s="16">
        <f t="shared" si="1"/>
        <v>43.82</v>
      </c>
      <c r="I15" s="15">
        <f t="shared" si="2"/>
        <v>0.115</v>
      </c>
      <c r="J15" s="15">
        <f>ROUND(G15/97200-1,2)</f>
        <v>-0.06</v>
      </c>
    </row>
    <row r="16" spans="1:10" x14ac:dyDescent="0.25">
      <c r="A16" s="1" t="s">
        <v>16</v>
      </c>
      <c r="B16" s="1" t="s">
        <v>24</v>
      </c>
      <c r="C16" s="10">
        <v>73200</v>
      </c>
      <c r="D16" s="10"/>
      <c r="E16" s="10"/>
      <c r="F16" s="10"/>
      <c r="G16" s="10">
        <f t="shared" si="0"/>
        <v>73200</v>
      </c>
      <c r="H16" s="16">
        <f t="shared" si="1"/>
        <v>35.119999999999997</v>
      </c>
      <c r="I16" s="15">
        <f t="shared" si="2"/>
        <v>9.1999999999999998E-2</v>
      </c>
      <c r="J16" s="15">
        <f>ROUND(G16/73180-1,2)</f>
        <v>0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2740</v>
      </c>
      <c r="F17" s="10"/>
      <c r="G17" s="10">
        <f t="shared" si="0"/>
        <v>2740</v>
      </c>
      <c r="H17" s="16">
        <f t="shared" si="1"/>
        <v>1.31</v>
      </c>
      <c r="I17" s="15">
        <f t="shared" si="2"/>
        <v>3.0000000000000001E-3</v>
      </c>
      <c r="J17" s="15">
        <f>ROUND(G17/4230-1,2)</f>
        <v>-0.35</v>
      </c>
    </row>
    <row r="18" spans="1:10" x14ac:dyDescent="0.25">
      <c r="A18" s="1" t="s">
        <v>16</v>
      </c>
      <c r="B18" s="1" t="s">
        <v>26</v>
      </c>
      <c r="C18" s="10">
        <v>105320</v>
      </c>
      <c r="D18" s="10"/>
      <c r="E18" s="10"/>
      <c r="F18" s="10">
        <v>1280</v>
      </c>
      <c r="G18" s="10">
        <f t="shared" si="0"/>
        <v>106600</v>
      </c>
      <c r="H18" s="16">
        <f t="shared" si="1"/>
        <v>51.15</v>
      </c>
      <c r="I18" s="15">
        <f t="shared" si="2"/>
        <v>0.13400000000000001</v>
      </c>
      <c r="J18" s="15">
        <f>ROUND(G18/100300-1,2)</f>
        <v>0.06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120</v>
      </c>
      <c r="F19" s="10"/>
      <c r="G19" s="10">
        <f t="shared" si="0"/>
        <v>120</v>
      </c>
      <c r="H19" s="16">
        <f t="shared" si="1"/>
        <v>0.06</v>
      </c>
      <c r="I19" s="15">
        <f t="shared" si="2"/>
        <v>0</v>
      </c>
      <c r="J19" s="15">
        <f>ROUND(G19/178-1,2)</f>
        <v>-0.33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206</v>
      </c>
      <c r="F20" s="10"/>
      <c r="G20" s="10">
        <f t="shared" si="0"/>
        <v>206</v>
      </c>
      <c r="H20" s="16">
        <f t="shared" si="1"/>
        <v>0.1</v>
      </c>
      <c r="I20" s="15">
        <f t="shared" si="2"/>
        <v>0</v>
      </c>
      <c r="J20" s="15">
        <f>ROUND(G20/40-1,2)</f>
        <v>4.1500000000000004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3480</v>
      </c>
      <c r="F21" s="10"/>
      <c r="G21" s="10">
        <f t="shared" si="0"/>
        <v>3480</v>
      </c>
      <c r="H21" s="16">
        <f t="shared" si="1"/>
        <v>1.67</v>
      </c>
      <c r="I21" s="15">
        <f t="shared" si="2"/>
        <v>4.0000000000000001E-3</v>
      </c>
      <c r="J21" s="15">
        <f>ROUND(G21/2360-1,2)</f>
        <v>0.47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410</v>
      </c>
      <c r="F22" s="10"/>
      <c r="G22" s="10">
        <f t="shared" si="0"/>
        <v>410</v>
      </c>
      <c r="H22" s="16">
        <f t="shared" si="1"/>
        <v>0.2</v>
      </c>
      <c r="I22" s="15">
        <f t="shared" si="2"/>
        <v>1E-3</v>
      </c>
      <c r="J22" s="15">
        <f>ROUND(G22/650-1,2)</f>
        <v>-0.37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620</v>
      </c>
      <c r="F23" s="10"/>
      <c r="G23" s="10">
        <f t="shared" si="0"/>
        <v>620</v>
      </c>
      <c r="H23" s="16">
        <f t="shared" si="1"/>
        <v>0.3</v>
      </c>
      <c r="I23" s="15">
        <f t="shared" si="2"/>
        <v>1E-3</v>
      </c>
      <c r="J23" s="15">
        <f>ROUND(G23/780-1,2)</f>
        <v>-0.21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2385</v>
      </c>
      <c r="F24" s="10"/>
      <c r="G24" s="10">
        <f t="shared" si="0"/>
        <v>2385</v>
      </c>
      <c r="H24" s="16">
        <f t="shared" si="1"/>
        <v>1.1399999999999999</v>
      </c>
      <c r="I24" s="15">
        <f t="shared" si="2"/>
        <v>3.0000000000000001E-3</v>
      </c>
      <c r="J24" s="15">
        <f>ROUND(G24/2420-1,2)</f>
        <v>-0.01</v>
      </c>
    </row>
    <row r="25" spans="1:10" x14ac:dyDescent="0.25">
      <c r="A25" s="1" t="s">
        <v>16</v>
      </c>
      <c r="B25" s="1" t="s">
        <v>33</v>
      </c>
      <c r="C25" s="10"/>
      <c r="D25" s="10">
        <v>234</v>
      </c>
      <c r="E25" s="10"/>
      <c r="F25" s="10"/>
      <c r="G25" s="10">
        <f t="shared" si="0"/>
        <v>234</v>
      </c>
      <c r="H25" s="16">
        <f t="shared" si="1"/>
        <v>0.11</v>
      </c>
      <c r="I25" s="15">
        <f t="shared" si="2"/>
        <v>0</v>
      </c>
      <c r="J25" s="15">
        <f>ROUND(G25/237-1,2)</f>
        <v>-0.01</v>
      </c>
    </row>
    <row r="26" spans="1:10" x14ac:dyDescent="0.25">
      <c r="A26" s="1" t="s">
        <v>16</v>
      </c>
      <c r="B26" s="1" t="s">
        <v>35</v>
      </c>
      <c r="C26" s="10"/>
      <c r="D26" s="10">
        <v>25</v>
      </c>
      <c r="E26" s="10"/>
      <c r="F26" s="10"/>
      <c r="G26" s="10">
        <f t="shared" si="0"/>
        <v>25</v>
      </c>
      <c r="H26" s="16">
        <f t="shared" si="1"/>
        <v>0.01</v>
      </c>
      <c r="I26" s="15">
        <f t="shared" si="2"/>
        <v>0</v>
      </c>
      <c r="J26" s="15">
        <f>ROUND(G26/290-1,2)</f>
        <v>-0.91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880</v>
      </c>
      <c r="F27" s="10"/>
      <c r="G27" s="10">
        <f t="shared" si="0"/>
        <v>880</v>
      </c>
      <c r="H27" s="16">
        <f t="shared" si="1"/>
        <v>0.42</v>
      </c>
      <c r="I27" s="15">
        <f t="shared" si="2"/>
        <v>1E-3</v>
      </c>
      <c r="J27" s="15">
        <f>ROUND(G27/2370-1,2)</f>
        <v>-0.63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2220</v>
      </c>
      <c r="F28" s="10"/>
      <c r="G28" s="10">
        <f t="shared" si="0"/>
        <v>2220</v>
      </c>
      <c r="H28" s="16">
        <f t="shared" si="1"/>
        <v>1.07</v>
      </c>
      <c r="I28" s="15">
        <f t="shared" si="2"/>
        <v>3.0000000000000001E-3</v>
      </c>
      <c r="J28" s="15">
        <f>ROUND(G28/4378-1,2)</f>
        <v>-0.49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1540</v>
      </c>
      <c r="F29" s="10"/>
      <c r="G29" s="10">
        <f t="shared" si="0"/>
        <v>1540</v>
      </c>
      <c r="H29" s="16">
        <f t="shared" si="1"/>
        <v>0.74</v>
      </c>
      <c r="I29" s="15">
        <f t="shared" si="2"/>
        <v>2E-3</v>
      </c>
      <c r="J29" s="15">
        <f>ROUND(G29/1640-1,2)</f>
        <v>-0.06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57575</v>
      </c>
      <c r="F30" s="10"/>
      <c r="G30" s="10">
        <f t="shared" si="0"/>
        <v>57575</v>
      </c>
      <c r="H30" s="16">
        <f t="shared" si="1"/>
        <v>27.63</v>
      </c>
      <c r="I30" s="15">
        <f t="shared" si="2"/>
        <v>7.1999999999999995E-2</v>
      </c>
      <c r="J30" s="15">
        <f>ROUND(G30/49550-1,2)</f>
        <v>0.16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4890</v>
      </c>
      <c r="F31" s="10"/>
      <c r="G31" s="10">
        <f t="shared" si="0"/>
        <v>4890</v>
      </c>
      <c r="H31" s="16">
        <f t="shared" si="1"/>
        <v>2.35</v>
      </c>
      <c r="I31" s="15">
        <f t="shared" si="2"/>
        <v>6.0000000000000001E-3</v>
      </c>
      <c r="J31" s="15">
        <f>ROUND(G31/6620-1,2)</f>
        <v>-0.26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13110</v>
      </c>
      <c r="F32" s="10"/>
      <c r="G32" s="10">
        <f t="shared" si="0"/>
        <v>13110</v>
      </c>
      <c r="H32" s="16">
        <f t="shared" si="1"/>
        <v>6.29</v>
      </c>
      <c r="I32" s="15">
        <f t="shared" si="2"/>
        <v>1.6E-2</v>
      </c>
      <c r="J32" s="15">
        <f>ROUND(G32/15840-1,2)</f>
        <v>-0.17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40310</v>
      </c>
      <c r="F33" s="10"/>
      <c r="G33" s="10">
        <f t="shared" si="0"/>
        <v>40310</v>
      </c>
      <c r="H33" s="16">
        <f t="shared" si="1"/>
        <v>19.34</v>
      </c>
      <c r="I33" s="15">
        <f t="shared" si="2"/>
        <v>5.0999999999999997E-2</v>
      </c>
      <c r="J33" s="15">
        <f>ROUND(G33/36440-1,2)</f>
        <v>0.11</v>
      </c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ROUND(G34/850-1,2)</f>
        <v>-1</v>
      </c>
    </row>
    <row r="35" spans="1:10" x14ac:dyDescent="0.25">
      <c r="A35" s="1" t="s">
        <v>16</v>
      </c>
      <c r="B35" s="1" t="s">
        <v>227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98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ROUND(G37/926-1,2)</f>
        <v>-1</v>
      </c>
    </row>
    <row r="38" spans="1:10" x14ac:dyDescent="0.25">
      <c r="A38" s="1" t="s">
        <v>44</v>
      </c>
      <c r="B38" s="1" t="s">
        <v>45</v>
      </c>
      <c r="C38" s="10">
        <v>208620</v>
      </c>
      <c r="D38" s="10"/>
      <c r="E38" s="10">
        <v>340</v>
      </c>
      <c r="F38" s="10"/>
      <c r="G38" s="10">
        <f t="shared" si="0"/>
        <v>208960</v>
      </c>
      <c r="H38" s="16">
        <f t="shared" si="1"/>
        <v>100.27</v>
      </c>
      <c r="I38" s="15">
        <f t="shared" si="2"/>
        <v>0.26200000000000001</v>
      </c>
      <c r="J38" s="15">
        <f>ROUND(G38/195125-1,2)</f>
        <v>7.0000000000000007E-2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32760</v>
      </c>
      <c r="F39" s="10"/>
      <c r="G39" s="10">
        <f t="shared" si="0"/>
        <v>32760</v>
      </c>
      <c r="H39" s="16">
        <f t="shared" si="1"/>
        <v>15.72</v>
      </c>
      <c r="I39" s="15">
        <f t="shared" si="2"/>
        <v>4.1000000000000002E-2</v>
      </c>
      <c r="J39" s="15">
        <f>ROUND(G39/22880-1,2)</f>
        <v>0.43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ROUND(G40/19990-1,2)</f>
        <v>-1</v>
      </c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ROUND(G41/28-1,2)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ROUND(G43/1010-1,2)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5" t="s">
        <v>12</v>
      </c>
      <c r="B45" s="25"/>
      <c r="C45" s="11">
        <f t="shared" ref="C45:H45" si="3">SUM(C8:C44)</f>
        <v>538040</v>
      </c>
      <c r="D45" s="11">
        <f t="shared" si="3"/>
        <v>259</v>
      </c>
      <c r="E45" s="11">
        <f t="shared" si="3"/>
        <v>257812</v>
      </c>
      <c r="F45" s="11">
        <f t="shared" si="3"/>
        <v>1280</v>
      </c>
      <c r="G45" s="11">
        <f t="shared" si="3"/>
        <v>797391</v>
      </c>
      <c r="H45" s="14">
        <f t="shared" si="3"/>
        <v>382.61999999999995</v>
      </c>
      <c r="I45" s="17"/>
      <c r="J45" s="17"/>
    </row>
    <row r="46" spans="1:10" x14ac:dyDescent="0.25">
      <c r="A46" s="25" t="s">
        <v>14</v>
      </c>
      <c r="B46" s="25"/>
      <c r="C46" s="12">
        <f>ROUND(C45/G45,2)</f>
        <v>0.67</v>
      </c>
      <c r="D46" s="12">
        <f>ROUND(D45/G45,2)</f>
        <v>0</v>
      </c>
      <c r="E46" s="12">
        <f>ROUND(E45/G45,2)</f>
        <v>0.32</v>
      </c>
      <c r="F46" s="12">
        <f>ROUND(F45/G45,2)</f>
        <v>0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53</v>
      </c>
      <c r="B51" s="25"/>
      <c r="C51" s="5" t="s">
        <v>8</v>
      </c>
      <c r="D51" s="5" t="s">
        <v>9</v>
      </c>
      <c r="E51" s="5" t="s">
        <v>10</v>
      </c>
      <c r="F51" s="5" t="s">
        <v>11</v>
      </c>
      <c r="G51" s="5" t="s">
        <v>12</v>
      </c>
      <c r="H51" s="3" t="s">
        <v>13</v>
      </c>
      <c r="I51" s="2"/>
      <c r="J51" s="2"/>
    </row>
    <row r="52" spans="1:10" x14ac:dyDescent="0.25">
      <c r="A52" s="20" t="s">
        <v>54</v>
      </c>
      <c r="B52" s="20"/>
      <c r="C52" s="4">
        <v>329420</v>
      </c>
      <c r="D52" s="4">
        <v>259</v>
      </c>
      <c r="E52" s="4">
        <v>224712</v>
      </c>
      <c r="F52" s="4">
        <v>1280</v>
      </c>
      <c r="G52" s="4">
        <f>SUM(C52:F52)</f>
        <v>555671</v>
      </c>
      <c r="H52" s="1">
        <f>ROUND(G52/2084,2)</f>
        <v>266.64</v>
      </c>
    </row>
    <row r="53" spans="1:10" x14ac:dyDescent="0.25">
      <c r="A53" s="20" t="s">
        <v>55</v>
      </c>
      <c r="B53" s="20"/>
      <c r="C53" s="4">
        <v>208620</v>
      </c>
      <c r="D53" s="4">
        <v>0</v>
      </c>
      <c r="E53" s="4">
        <v>33100</v>
      </c>
      <c r="F53" s="4">
        <v>0</v>
      </c>
      <c r="G53" s="4">
        <f>SUM(C53:F53)</f>
        <v>241720</v>
      </c>
      <c r="H53" s="1">
        <f>ROUND(G53/2084,2)</f>
        <v>115.99</v>
      </c>
    </row>
    <row r="54" spans="1:10" x14ac:dyDescent="0.25">
      <c r="A54" s="20" t="s">
        <v>56</v>
      </c>
      <c r="B54" s="20"/>
      <c r="C54" s="4">
        <v>0</v>
      </c>
      <c r="D54" s="4">
        <v>0</v>
      </c>
      <c r="E54" s="4">
        <v>0</v>
      </c>
      <c r="F54" s="4">
        <v>0</v>
      </c>
      <c r="G54" s="4">
        <f>SUM(C54:F54)</f>
        <v>0</v>
      </c>
      <c r="H54" s="1">
        <f>ROUND(G54/2084,2)</f>
        <v>0</v>
      </c>
    </row>
    <row r="59" spans="1:10" x14ac:dyDescent="0.25">
      <c r="A59" s="25" t="s">
        <v>57</v>
      </c>
      <c r="B59" s="25"/>
      <c r="C59" s="3" t="s">
        <v>2</v>
      </c>
      <c r="D59" s="3">
        <v>2023</v>
      </c>
      <c r="E59" s="3" t="s">
        <v>59</v>
      </c>
      <c r="F59" s="2"/>
      <c r="G59" s="3" t="s">
        <v>60</v>
      </c>
      <c r="H59" s="3" t="s">
        <v>2</v>
      </c>
      <c r="I59" s="3" t="s">
        <v>61</v>
      </c>
      <c r="J59" s="3" t="s">
        <v>59</v>
      </c>
    </row>
    <row r="60" spans="1:10" x14ac:dyDescent="0.25">
      <c r="A60" s="20" t="s">
        <v>58</v>
      </c>
      <c r="B60" s="20"/>
      <c r="C60" s="7">
        <f>ROUND(0.7003, 4)</f>
        <v>0.70030000000000003</v>
      </c>
      <c r="D60" s="7">
        <f>ROUND(0.712, 4)</f>
        <v>0.71199999999999997</v>
      </c>
      <c r="E60" s="7">
        <f>ROUND(0.777, 4)</f>
        <v>0.77700000000000002</v>
      </c>
      <c r="G60" s="3" t="s">
        <v>62</v>
      </c>
      <c r="H60" s="28" t="s">
        <v>63</v>
      </c>
      <c r="I60" s="28" t="s">
        <v>64</v>
      </c>
      <c r="J60" s="28" t="s">
        <v>65</v>
      </c>
    </row>
    <row r="61" spans="1:10" x14ac:dyDescent="0.25">
      <c r="A61" s="20" t="s">
        <v>66</v>
      </c>
      <c r="B61" s="20"/>
      <c r="C61" s="7">
        <f>ROUND(0.6896, 4)</f>
        <v>0.68959999999999999</v>
      </c>
      <c r="D61" s="7">
        <f>ROUND(0.7016, 4)</f>
        <v>0.7016</v>
      </c>
      <c r="E61" s="7">
        <f>ROUND(0.7608, 4)</f>
        <v>0.76080000000000003</v>
      </c>
      <c r="G61" s="3" t="s">
        <v>67</v>
      </c>
      <c r="H61" s="20"/>
      <c r="I61" s="20"/>
      <c r="J61" s="20"/>
    </row>
    <row r="65" spans="1:10" x14ac:dyDescent="0.25">
      <c r="A65" s="25" t="s">
        <v>68</v>
      </c>
      <c r="B65" s="25"/>
      <c r="C65" s="3" t="s">
        <v>2</v>
      </c>
      <c r="D65" s="3" t="s">
        <v>333</v>
      </c>
      <c r="E65" s="3" t="s">
        <v>70</v>
      </c>
      <c r="F65" s="3" t="s">
        <v>71</v>
      </c>
      <c r="G65" s="3" t="s">
        <v>72</v>
      </c>
      <c r="H65" s="2"/>
      <c r="I65" s="2"/>
      <c r="J65" s="2"/>
    </row>
    <row r="66" spans="1:10" x14ac:dyDescent="0.25">
      <c r="A66" s="20" t="s">
        <v>73</v>
      </c>
      <c r="B66" s="20"/>
      <c r="C66" s="1">
        <v>100.27</v>
      </c>
      <c r="D66" s="1">
        <v>105.04</v>
      </c>
      <c r="E66" s="1">
        <v>91.13</v>
      </c>
      <c r="F66" s="1">
        <v>54.95</v>
      </c>
      <c r="G66" s="1">
        <f>12/10*C66</f>
        <v>120.32399999999998</v>
      </c>
    </row>
    <row r="67" spans="1:10" x14ac:dyDescent="0.25">
      <c r="A67" s="20" t="s">
        <v>74</v>
      </c>
      <c r="B67" s="20"/>
      <c r="C67" s="1">
        <v>51.15</v>
      </c>
      <c r="D67" s="1">
        <v>59.43</v>
      </c>
      <c r="E67" s="1">
        <v>61.18</v>
      </c>
      <c r="F67" s="1">
        <v>62.89</v>
      </c>
      <c r="G67" s="1">
        <f>12/10*C67</f>
        <v>61.379999999999995</v>
      </c>
    </row>
    <row r="68" spans="1:10" x14ac:dyDescent="0.25">
      <c r="A68" s="20" t="s">
        <v>75</v>
      </c>
      <c r="B68" s="20"/>
      <c r="C68" s="1">
        <v>266.64</v>
      </c>
      <c r="D68" s="1">
        <v>289.17</v>
      </c>
      <c r="E68" s="1">
        <v>287.25</v>
      </c>
      <c r="F68" s="1">
        <v>278.91000000000003</v>
      </c>
      <c r="G68" s="1">
        <f>12/10*C68</f>
        <v>319.96799999999996</v>
      </c>
    </row>
    <row r="69" spans="1:10" x14ac:dyDescent="0.25">
      <c r="A69" s="20" t="s">
        <v>76</v>
      </c>
      <c r="B69" s="20"/>
      <c r="C69" s="1">
        <v>115.99</v>
      </c>
      <c r="D69" s="1">
        <v>119.82</v>
      </c>
      <c r="E69" s="1">
        <v>114.69</v>
      </c>
      <c r="F69" s="1">
        <v>78.319999999999993</v>
      </c>
      <c r="G69" s="1">
        <f>12/10*C69</f>
        <v>139.18799999999999</v>
      </c>
    </row>
    <row r="72" spans="1:10" x14ac:dyDescent="0.25">
      <c r="A72" s="21" t="s">
        <v>60</v>
      </c>
      <c r="B72" s="22"/>
    </row>
    <row r="73" spans="1:10" x14ac:dyDescent="0.25">
      <c r="A73" s="3" t="s">
        <v>77</v>
      </c>
      <c r="B73" s="1" t="s">
        <v>334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2:J6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9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1715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36520</v>
      </c>
      <c r="D9" s="10"/>
      <c r="E9" s="10"/>
      <c r="F9" s="10"/>
      <c r="G9" s="10">
        <f t="shared" ref="G9:G18" si="0">SUM(C9:F9)</f>
        <v>36520</v>
      </c>
      <c r="H9" s="16">
        <f t="shared" ref="H9:H18" si="1">ROUND(G9/1715,2)</f>
        <v>21.29</v>
      </c>
      <c r="I9" s="15">
        <f t="shared" ref="I9:I18" si="2">ROUND(G9/$G$19,3)</f>
        <v>0.107</v>
      </c>
      <c r="J9" s="15">
        <f>ROUND(G9/36110-1,2)</f>
        <v>0.01</v>
      </c>
    </row>
    <row r="10" spans="1:10" x14ac:dyDescent="0.25">
      <c r="A10" s="1" t="s">
        <v>16</v>
      </c>
      <c r="B10" s="1" t="s">
        <v>20</v>
      </c>
      <c r="C10" s="10">
        <v>48550</v>
      </c>
      <c r="D10" s="10"/>
      <c r="E10" s="10"/>
      <c r="F10" s="10"/>
      <c r="G10" s="10">
        <f t="shared" si="0"/>
        <v>48550</v>
      </c>
      <c r="H10" s="16">
        <f t="shared" si="1"/>
        <v>28.31</v>
      </c>
      <c r="I10" s="15">
        <f t="shared" si="2"/>
        <v>0.14299999999999999</v>
      </c>
      <c r="J10" s="15">
        <f>ROUND(G10/49950-1,2)</f>
        <v>-0.03</v>
      </c>
    </row>
    <row r="11" spans="1:10" x14ac:dyDescent="0.25">
      <c r="A11" s="1" t="s">
        <v>16</v>
      </c>
      <c r="B11" s="1" t="s">
        <v>24</v>
      </c>
      <c r="C11" s="10">
        <v>44240</v>
      </c>
      <c r="D11" s="10"/>
      <c r="E11" s="10"/>
      <c r="F11" s="10"/>
      <c r="G11" s="10">
        <f t="shared" si="0"/>
        <v>44240</v>
      </c>
      <c r="H11" s="16">
        <f t="shared" si="1"/>
        <v>25.8</v>
      </c>
      <c r="I11" s="15">
        <f t="shared" si="2"/>
        <v>0.13</v>
      </c>
      <c r="J11" s="15">
        <f>ROUND(G11/45560-1,2)</f>
        <v>-0.03</v>
      </c>
    </row>
    <row r="12" spans="1:10" x14ac:dyDescent="0.25">
      <c r="A12" s="1" t="s">
        <v>16</v>
      </c>
      <c r="B12" s="1" t="s">
        <v>26</v>
      </c>
      <c r="C12" s="10">
        <v>92320</v>
      </c>
      <c r="D12" s="10"/>
      <c r="E12" s="10"/>
      <c r="F12" s="10"/>
      <c r="G12" s="10">
        <f t="shared" si="0"/>
        <v>92320</v>
      </c>
      <c r="H12" s="16">
        <f t="shared" si="1"/>
        <v>53.83</v>
      </c>
      <c r="I12" s="15">
        <f t="shared" si="2"/>
        <v>0.27100000000000002</v>
      </c>
      <c r="J12" s="15">
        <f>ROUND(G12/103460-1,2)</f>
        <v>-0.11</v>
      </c>
    </row>
    <row r="13" spans="1:10" x14ac:dyDescent="0.25">
      <c r="A13" s="1" t="s">
        <v>16</v>
      </c>
      <c r="B13" s="1" t="s">
        <v>33</v>
      </c>
      <c r="C13" s="10"/>
      <c r="D13" s="10">
        <v>155</v>
      </c>
      <c r="E13" s="10">
        <v>21</v>
      </c>
      <c r="F13" s="10"/>
      <c r="G13" s="10">
        <f t="shared" si="0"/>
        <v>176</v>
      </c>
      <c r="H13" s="16">
        <f t="shared" si="1"/>
        <v>0.1</v>
      </c>
      <c r="I13" s="15">
        <f t="shared" si="2"/>
        <v>1E-3</v>
      </c>
      <c r="J13" s="15">
        <f>ROUND(G13/165-1,2)</f>
        <v>7.0000000000000007E-2</v>
      </c>
    </row>
    <row r="14" spans="1:10" x14ac:dyDescent="0.25">
      <c r="A14" s="1" t="s">
        <v>16</v>
      </c>
      <c r="B14" s="1" t="s">
        <v>35</v>
      </c>
      <c r="C14" s="10"/>
      <c r="D14" s="10">
        <v>50</v>
      </c>
      <c r="E14" s="10"/>
      <c r="F14" s="10"/>
      <c r="G14" s="10">
        <f t="shared" si="0"/>
        <v>50</v>
      </c>
      <c r="H14" s="16">
        <f t="shared" si="1"/>
        <v>0.03</v>
      </c>
      <c r="I14" s="15">
        <f t="shared" si="2"/>
        <v>0</v>
      </c>
      <c r="J14" s="15">
        <f>ROUND(G14/255-1,2)</f>
        <v>-0.8</v>
      </c>
    </row>
    <row r="15" spans="1:10" x14ac:dyDescent="0.25">
      <c r="A15" s="1" t="s">
        <v>16</v>
      </c>
      <c r="B15" s="1" t="s">
        <v>23</v>
      </c>
      <c r="C15" s="10"/>
      <c r="D15" s="10"/>
      <c r="E15" s="10"/>
      <c r="F15" s="10"/>
      <c r="G15" s="10">
        <f t="shared" si="0"/>
        <v>0</v>
      </c>
      <c r="H15" s="16">
        <f t="shared" si="1"/>
        <v>0</v>
      </c>
      <c r="I15" s="15">
        <f t="shared" si="2"/>
        <v>0</v>
      </c>
      <c r="J15" s="15"/>
    </row>
    <row r="16" spans="1:10" x14ac:dyDescent="0.25">
      <c r="A16" s="1" t="s">
        <v>44</v>
      </c>
      <c r="B16" s="1" t="s">
        <v>45</v>
      </c>
      <c r="C16" s="10">
        <v>112880</v>
      </c>
      <c r="D16" s="10"/>
      <c r="E16" s="10"/>
      <c r="F16" s="10"/>
      <c r="G16" s="10">
        <f t="shared" si="0"/>
        <v>112880</v>
      </c>
      <c r="H16" s="16">
        <f t="shared" si="1"/>
        <v>65.819999999999993</v>
      </c>
      <c r="I16" s="15">
        <f t="shared" si="2"/>
        <v>0.33200000000000002</v>
      </c>
      <c r="J16" s="15">
        <f>ROUND(G16/110410-1,2)</f>
        <v>0.02</v>
      </c>
    </row>
    <row r="17" spans="1:10" x14ac:dyDescent="0.25">
      <c r="A17" s="1" t="s">
        <v>44</v>
      </c>
      <c r="B17" s="1" t="s">
        <v>47</v>
      </c>
      <c r="C17" s="10"/>
      <c r="D17" s="10"/>
      <c r="E17" s="10"/>
      <c r="F17" s="10">
        <v>5360</v>
      </c>
      <c r="G17" s="10">
        <f t="shared" si="0"/>
        <v>5360</v>
      </c>
      <c r="H17" s="16">
        <f t="shared" si="1"/>
        <v>3.13</v>
      </c>
      <c r="I17" s="15">
        <f t="shared" si="2"/>
        <v>1.6E-2</v>
      </c>
      <c r="J17" s="15">
        <f>ROUND(G17/6860-1,2)</f>
        <v>-0.22</v>
      </c>
    </row>
    <row r="18" spans="1:10" x14ac:dyDescent="0.25">
      <c r="A18" s="1" t="s">
        <v>48</v>
      </c>
      <c r="B18" s="1" t="s">
        <v>51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/>
    </row>
    <row r="19" spans="1:10" x14ac:dyDescent="0.25">
      <c r="A19" s="25" t="s">
        <v>12</v>
      </c>
      <c r="B19" s="25"/>
      <c r="C19" s="11">
        <f t="shared" ref="C19:H19" si="3">SUM(C8:C18)</f>
        <v>334510</v>
      </c>
      <c r="D19" s="11">
        <f t="shared" si="3"/>
        <v>205</v>
      </c>
      <c r="E19" s="11">
        <f t="shared" si="3"/>
        <v>21</v>
      </c>
      <c r="F19" s="11">
        <f t="shared" si="3"/>
        <v>5360</v>
      </c>
      <c r="G19" s="11">
        <f t="shared" si="3"/>
        <v>340096</v>
      </c>
      <c r="H19" s="14">
        <f t="shared" si="3"/>
        <v>198.30999999999997</v>
      </c>
      <c r="I19" s="17"/>
      <c r="J19" s="17"/>
    </row>
    <row r="20" spans="1:10" x14ac:dyDescent="0.25">
      <c r="A20" s="25" t="s">
        <v>14</v>
      </c>
      <c r="B20" s="25"/>
      <c r="C20" s="12">
        <f>ROUND(C19/G19,2)</f>
        <v>0.98</v>
      </c>
      <c r="D20" s="12">
        <f>ROUND(D19/G19,2)</f>
        <v>0</v>
      </c>
      <c r="E20" s="12">
        <f>ROUND(E19/G19,2)</f>
        <v>0</v>
      </c>
      <c r="F20" s="12">
        <f>ROUND(F19/G19,2)</f>
        <v>0.02</v>
      </c>
      <c r="G20" s="13"/>
      <c r="H20" s="13"/>
      <c r="I20" s="17"/>
      <c r="J20" s="17"/>
    </row>
    <row r="21" spans="1:10" x14ac:dyDescent="0.25">
      <c r="A21" s="2" t="s">
        <v>52</v>
      </c>
      <c r="B21" s="2"/>
      <c r="C21" s="13"/>
      <c r="D21" s="13"/>
      <c r="E21" s="13"/>
      <c r="F21" s="13"/>
      <c r="G21" s="13"/>
      <c r="H21" s="13"/>
      <c r="I21" s="17"/>
      <c r="J21" s="17"/>
    </row>
    <row r="22" spans="1:10" x14ac:dyDescent="0.25">
      <c r="C22" s="8"/>
      <c r="D22" s="8"/>
      <c r="E22" s="8"/>
      <c r="F22" s="8"/>
      <c r="G22" s="8"/>
      <c r="H22" s="8"/>
      <c r="I22" s="9"/>
      <c r="J22" s="9"/>
    </row>
    <row r="23" spans="1:10" x14ac:dyDescent="0.25">
      <c r="C23" s="8"/>
      <c r="D23" s="8"/>
      <c r="E23" s="8"/>
      <c r="F23" s="8"/>
      <c r="G23" s="8"/>
      <c r="H23" s="8"/>
      <c r="I23" s="9"/>
      <c r="J23" s="9"/>
    </row>
    <row r="24" spans="1:10" x14ac:dyDescent="0.25">
      <c r="C24" s="8"/>
      <c r="D24" s="8"/>
      <c r="E24" s="8"/>
      <c r="F24" s="8"/>
      <c r="G24" s="8"/>
      <c r="H24" s="8"/>
      <c r="I24" s="9"/>
      <c r="J24" s="9"/>
    </row>
    <row r="25" spans="1:10" x14ac:dyDescent="0.25">
      <c r="A25" s="25" t="s">
        <v>53</v>
      </c>
      <c r="B25" s="25"/>
      <c r="C25" s="11" t="s">
        <v>8</v>
      </c>
      <c r="D25" s="11" t="s">
        <v>9</v>
      </c>
      <c r="E25" s="11" t="s">
        <v>10</v>
      </c>
      <c r="F25" s="11" t="s">
        <v>11</v>
      </c>
      <c r="G25" s="11" t="s">
        <v>12</v>
      </c>
      <c r="H25" s="14" t="s">
        <v>13</v>
      </c>
      <c r="I25" s="17"/>
      <c r="J25" s="17"/>
    </row>
    <row r="26" spans="1:10" x14ac:dyDescent="0.25">
      <c r="A26" s="20" t="s">
        <v>54</v>
      </c>
      <c r="B26" s="20"/>
      <c r="C26" s="10">
        <v>221630</v>
      </c>
      <c r="D26" s="10">
        <v>205</v>
      </c>
      <c r="E26" s="10">
        <v>21</v>
      </c>
      <c r="F26" s="10">
        <v>0</v>
      </c>
      <c r="G26" s="10">
        <f>SUM(C26:F26)</f>
        <v>221856</v>
      </c>
      <c r="H26" s="16">
        <f>ROUND(G26/1715,2)</f>
        <v>129.36000000000001</v>
      </c>
      <c r="I26" s="9"/>
      <c r="J26" s="9"/>
    </row>
    <row r="27" spans="1:10" x14ac:dyDescent="0.25">
      <c r="A27" s="20" t="s">
        <v>55</v>
      </c>
      <c r="B27" s="20"/>
      <c r="C27" s="10">
        <v>112880</v>
      </c>
      <c r="D27" s="10">
        <v>0</v>
      </c>
      <c r="E27" s="10">
        <v>0</v>
      </c>
      <c r="F27" s="10">
        <v>5360</v>
      </c>
      <c r="G27" s="10">
        <f>SUM(C27:F27)</f>
        <v>118240</v>
      </c>
      <c r="H27" s="16">
        <f>ROUND(G27/1715,2)</f>
        <v>68.94</v>
      </c>
      <c r="I27" s="9"/>
      <c r="J27" s="9"/>
    </row>
    <row r="28" spans="1:10" x14ac:dyDescent="0.25">
      <c r="A28" s="20" t="s">
        <v>56</v>
      </c>
      <c r="B28" s="20"/>
      <c r="C28" s="10">
        <v>0</v>
      </c>
      <c r="D28" s="10">
        <v>0</v>
      </c>
      <c r="E28" s="10">
        <v>0</v>
      </c>
      <c r="F28" s="10">
        <v>0</v>
      </c>
      <c r="G28" s="10">
        <f>SUM(C28:F28)</f>
        <v>0</v>
      </c>
      <c r="H28" s="16">
        <f>ROUND(G28/1715,2)</f>
        <v>0</v>
      </c>
      <c r="I28" s="9"/>
      <c r="J28" s="9"/>
    </row>
    <row r="29" spans="1:10" x14ac:dyDescent="0.25">
      <c r="C29" s="8"/>
      <c r="D29" s="8"/>
      <c r="E29" s="8"/>
      <c r="F29" s="8"/>
      <c r="G29" s="8"/>
      <c r="H29" s="8"/>
      <c r="I29" s="9"/>
      <c r="J29" s="9"/>
    </row>
    <row r="30" spans="1:10" x14ac:dyDescent="0.25">
      <c r="C30" s="8"/>
      <c r="D30" s="8"/>
      <c r="E30" s="8"/>
      <c r="F30" s="8"/>
      <c r="G30" s="8"/>
      <c r="H30" s="8"/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A33" s="25" t="s">
        <v>57</v>
      </c>
      <c r="B33" s="25"/>
      <c r="C33" s="14" t="s">
        <v>2</v>
      </c>
      <c r="D33" s="14">
        <v>2023</v>
      </c>
      <c r="E33" s="14" t="s">
        <v>59</v>
      </c>
      <c r="F33" s="13"/>
      <c r="G33" s="14" t="s">
        <v>60</v>
      </c>
      <c r="H33" s="14" t="s">
        <v>2</v>
      </c>
      <c r="I33" s="12" t="s">
        <v>61</v>
      </c>
      <c r="J33" s="12" t="s">
        <v>59</v>
      </c>
    </row>
    <row r="34" spans="1:10" x14ac:dyDescent="0.25">
      <c r="A34" s="20" t="s">
        <v>58</v>
      </c>
      <c r="B34" s="20"/>
      <c r="C34" s="15">
        <f>ROUND(0.6658, 4)</f>
        <v>0.66579999999999995</v>
      </c>
      <c r="D34" s="15">
        <f>ROUND(0.6864, 4)</f>
        <v>0.68640000000000001</v>
      </c>
      <c r="E34" s="15">
        <f>ROUND(0.777, 4)</f>
        <v>0.77700000000000002</v>
      </c>
      <c r="F34" s="8"/>
      <c r="G34" s="14" t="s">
        <v>62</v>
      </c>
      <c r="H34" s="26" t="s">
        <v>63</v>
      </c>
      <c r="I34" s="23" t="s">
        <v>64</v>
      </c>
      <c r="J34" s="23" t="s">
        <v>65</v>
      </c>
    </row>
    <row r="35" spans="1:10" x14ac:dyDescent="0.25">
      <c r="A35" s="20" t="s">
        <v>66</v>
      </c>
      <c r="B35" s="20"/>
      <c r="C35" s="15">
        <f>ROUND(0.6521, 4)</f>
        <v>0.65210000000000001</v>
      </c>
      <c r="D35" s="15">
        <f>ROUND(0.673, 4)</f>
        <v>0.67300000000000004</v>
      </c>
      <c r="E35" s="15">
        <f>ROUND(0.7608, 4)</f>
        <v>0.76080000000000003</v>
      </c>
      <c r="F35" s="8"/>
      <c r="G35" s="14" t="s">
        <v>67</v>
      </c>
      <c r="H35" s="27"/>
      <c r="I35" s="24"/>
      <c r="J35" s="24"/>
    </row>
    <row r="36" spans="1:10" x14ac:dyDescent="0.25">
      <c r="C36" s="8"/>
      <c r="D36" s="8"/>
      <c r="E36" s="8"/>
      <c r="F36" s="8"/>
      <c r="G36" s="8"/>
      <c r="H36" s="8"/>
      <c r="I36" s="9"/>
      <c r="J36" s="9"/>
    </row>
    <row r="37" spans="1:10" x14ac:dyDescent="0.25">
      <c r="C37" s="8"/>
      <c r="D37" s="8"/>
      <c r="E37" s="8"/>
      <c r="F37" s="8"/>
      <c r="G37" s="8"/>
      <c r="H37" s="8"/>
      <c r="I37" s="9"/>
      <c r="J37" s="9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A39" s="25" t="s">
        <v>68</v>
      </c>
      <c r="B39" s="25"/>
      <c r="C39" s="14" t="s">
        <v>2</v>
      </c>
      <c r="D39" s="14" t="s">
        <v>336</v>
      </c>
      <c r="E39" s="14" t="s">
        <v>70</v>
      </c>
      <c r="F39" s="14" t="s">
        <v>71</v>
      </c>
      <c r="G39" s="14" t="s">
        <v>72</v>
      </c>
      <c r="H39" s="13"/>
      <c r="I39" s="17"/>
      <c r="J39" s="17"/>
    </row>
    <row r="40" spans="1:10" x14ac:dyDescent="0.25">
      <c r="A40" s="20" t="s">
        <v>73</v>
      </c>
      <c r="B40" s="20"/>
      <c r="C40" s="16">
        <v>65.819999999999993</v>
      </c>
      <c r="D40" s="16">
        <v>71.599999999999994</v>
      </c>
      <c r="E40" s="16">
        <v>91.13</v>
      </c>
      <c r="F40" s="16">
        <v>54.95</v>
      </c>
      <c r="G40" s="16">
        <f>12/10*C40</f>
        <v>78.983999999999995</v>
      </c>
      <c r="H40" s="8"/>
      <c r="I40" s="9"/>
      <c r="J40" s="9"/>
    </row>
    <row r="41" spans="1:10" x14ac:dyDescent="0.25">
      <c r="A41" s="20" t="s">
        <v>74</v>
      </c>
      <c r="B41" s="20"/>
      <c r="C41" s="16">
        <v>53.83</v>
      </c>
      <c r="D41" s="16">
        <v>71.8</v>
      </c>
      <c r="E41" s="16">
        <v>61.18</v>
      </c>
      <c r="F41" s="16">
        <v>62.89</v>
      </c>
      <c r="G41" s="16">
        <f>12/10*C41</f>
        <v>64.595999999999989</v>
      </c>
      <c r="H41" s="8"/>
      <c r="I41" s="9"/>
      <c r="J41" s="9"/>
    </row>
    <row r="42" spans="1:10" x14ac:dyDescent="0.25">
      <c r="A42" s="20" t="s">
        <v>75</v>
      </c>
      <c r="B42" s="20"/>
      <c r="C42" s="16">
        <v>129.36000000000001</v>
      </c>
      <c r="D42" s="16">
        <v>168.2</v>
      </c>
      <c r="E42" s="16">
        <v>287.25</v>
      </c>
      <c r="F42" s="16">
        <v>278.91000000000003</v>
      </c>
      <c r="G42" s="16">
        <f>12/10*C42</f>
        <v>155.232</v>
      </c>
      <c r="H42" s="8"/>
      <c r="I42" s="9"/>
      <c r="J42" s="9"/>
    </row>
    <row r="43" spans="1:10" x14ac:dyDescent="0.25">
      <c r="A43" s="20" t="s">
        <v>76</v>
      </c>
      <c r="B43" s="20"/>
      <c r="C43" s="16">
        <v>68.94</v>
      </c>
      <c r="D43" s="16">
        <v>80.05</v>
      </c>
      <c r="E43" s="16">
        <v>114.69</v>
      </c>
      <c r="F43" s="16">
        <v>78.319999999999993</v>
      </c>
      <c r="G43" s="16">
        <f>12/10*C43</f>
        <v>82.727999999999994</v>
      </c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1" t="s">
        <v>60</v>
      </c>
      <c r="B46" s="22"/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" t="s">
        <v>77</v>
      </c>
      <c r="B47" s="1" t="s">
        <v>337</v>
      </c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3" t="s">
        <v>70</v>
      </c>
      <c r="B48" s="1" t="s">
        <v>79</v>
      </c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" t="s">
        <v>71</v>
      </c>
      <c r="B49" s="1" t="s">
        <v>80</v>
      </c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" t="s">
        <v>72</v>
      </c>
      <c r="B50" s="1" t="s">
        <v>81</v>
      </c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</sheetData>
  <mergeCells count="19">
    <mergeCell ref="C7:G7"/>
    <mergeCell ref="A19:B19"/>
    <mergeCell ref="A20:B20"/>
    <mergeCell ref="A25:B25"/>
    <mergeCell ref="A26:B26"/>
    <mergeCell ref="J34:J35"/>
    <mergeCell ref="A35:B35"/>
    <mergeCell ref="A39:B39"/>
    <mergeCell ref="A40:B40"/>
    <mergeCell ref="A27:B27"/>
    <mergeCell ref="A28:B28"/>
    <mergeCell ref="A33:B33"/>
    <mergeCell ref="A34:B34"/>
    <mergeCell ref="H34:H35"/>
    <mergeCell ref="A41:B41"/>
    <mergeCell ref="A42:B42"/>
    <mergeCell ref="A43:B43"/>
    <mergeCell ref="A46:B46"/>
    <mergeCell ref="I34:I3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31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679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19</v>
      </c>
      <c r="C9" s="10">
        <v>15560</v>
      </c>
      <c r="D9" s="10"/>
      <c r="E9" s="10"/>
      <c r="F9" s="10"/>
      <c r="G9" s="10">
        <f t="shared" ref="G9:G36" si="0">SUM(C9:F9)</f>
        <v>15560</v>
      </c>
      <c r="H9" s="16">
        <f t="shared" ref="H9:H36" si="1">ROUND(G9/679,2)</f>
        <v>22.92</v>
      </c>
      <c r="I9" s="15">
        <f t="shared" ref="I9:I36" si="2">ROUND(G9/$G$37,3)</f>
        <v>6.9000000000000006E-2</v>
      </c>
      <c r="J9" s="15">
        <f>ROUND(G9/14000-1,2)</f>
        <v>0.11</v>
      </c>
    </row>
    <row r="10" spans="1:10" x14ac:dyDescent="0.25">
      <c r="A10" s="1" t="s">
        <v>16</v>
      </c>
      <c r="B10" s="1" t="s">
        <v>20</v>
      </c>
      <c r="C10" s="10">
        <v>33040</v>
      </c>
      <c r="D10" s="10"/>
      <c r="E10" s="10"/>
      <c r="F10" s="10"/>
      <c r="G10" s="10">
        <f t="shared" si="0"/>
        <v>33040</v>
      </c>
      <c r="H10" s="16">
        <f t="shared" si="1"/>
        <v>48.66</v>
      </c>
      <c r="I10" s="15">
        <f t="shared" si="2"/>
        <v>0.14699999999999999</v>
      </c>
      <c r="J10" s="15">
        <f>ROUND(G10/33070-1,2)</f>
        <v>0</v>
      </c>
    </row>
    <row r="11" spans="1:10" x14ac:dyDescent="0.25">
      <c r="A11" s="1" t="s">
        <v>16</v>
      </c>
      <c r="B11" s="1" t="s">
        <v>23</v>
      </c>
      <c r="C11" s="10"/>
      <c r="D11" s="10"/>
      <c r="E11" s="10">
        <v>30010</v>
      </c>
      <c r="F11" s="10"/>
      <c r="G11" s="10">
        <f t="shared" si="0"/>
        <v>30010</v>
      </c>
      <c r="H11" s="16">
        <f t="shared" si="1"/>
        <v>44.2</v>
      </c>
      <c r="I11" s="15">
        <f t="shared" si="2"/>
        <v>0.13400000000000001</v>
      </c>
      <c r="J11" s="15">
        <f>ROUND(G11/34120-1,2)</f>
        <v>-0.12</v>
      </c>
    </row>
    <row r="12" spans="1:10" x14ac:dyDescent="0.25">
      <c r="A12" s="1" t="s">
        <v>16</v>
      </c>
      <c r="B12" s="1" t="s">
        <v>24</v>
      </c>
      <c r="C12" s="10">
        <v>16970</v>
      </c>
      <c r="D12" s="10"/>
      <c r="E12" s="10"/>
      <c r="F12" s="10"/>
      <c r="G12" s="10">
        <f t="shared" si="0"/>
        <v>16970</v>
      </c>
      <c r="H12" s="16">
        <f t="shared" si="1"/>
        <v>24.99</v>
      </c>
      <c r="I12" s="15">
        <f t="shared" si="2"/>
        <v>7.5999999999999998E-2</v>
      </c>
      <c r="J12" s="15">
        <f>ROUND(G12/17840-1,2)</f>
        <v>-0.05</v>
      </c>
    </row>
    <row r="13" spans="1:10" x14ac:dyDescent="0.25">
      <c r="A13" s="1" t="s">
        <v>16</v>
      </c>
      <c r="B13" s="1" t="s">
        <v>25</v>
      </c>
      <c r="C13" s="10"/>
      <c r="D13" s="10"/>
      <c r="E13" s="10">
        <v>680</v>
      </c>
      <c r="F13" s="10"/>
      <c r="G13" s="10">
        <f t="shared" si="0"/>
        <v>680</v>
      </c>
      <c r="H13" s="16">
        <f t="shared" si="1"/>
        <v>1</v>
      </c>
      <c r="I13" s="15">
        <f t="shared" si="2"/>
        <v>3.0000000000000001E-3</v>
      </c>
      <c r="J13" s="15">
        <f>ROUND(G13/1180-1,2)</f>
        <v>-0.42</v>
      </c>
    </row>
    <row r="14" spans="1:10" x14ac:dyDescent="0.25">
      <c r="A14" s="1" t="s">
        <v>16</v>
      </c>
      <c r="B14" s="1" t="s">
        <v>26</v>
      </c>
      <c r="C14" s="10">
        <v>18060</v>
      </c>
      <c r="D14" s="10"/>
      <c r="E14" s="10"/>
      <c r="F14" s="10"/>
      <c r="G14" s="10">
        <f t="shared" si="0"/>
        <v>18060</v>
      </c>
      <c r="H14" s="16">
        <f t="shared" si="1"/>
        <v>26.6</v>
      </c>
      <c r="I14" s="15">
        <f t="shared" si="2"/>
        <v>8.1000000000000003E-2</v>
      </c>
      <c r="J14" s="15">
        <f>ROUND(G14/26830-1,2)</f>
        <v>-0.33</v>
      </c>
    </row>
    <row r="15" spans="1:10" x14ac:dyDescent="0.25">
      <c r="A15" s="1" t="s">
        <v>16</v>
      </c>
      <c r="B15" s="1" t="s">
        <v>27</v>
      </c>
      <c r="C15" s="10"/>
      <c r="D15" s="10"/>
      <c r="E15" s="10">
        <v>498</v>
      </c>
      <c r="F15" s="10"/>
      <c r="G15" s="10">
        <f t="shared" si="0"/>
        <v>498</v>
      </c>
      <c r="H15" s="16">
        <f t="shared" si="1"/>
        <v>0.73</v>
      </c>
      <c r="I15" s="15">
        <f t="shared" si="2"/>
        <v>2E-3</v>
      </c>
      <c r="J15" s="15">
        <f>ROUND(G15/427-1,2)</f>
        <v>0.17</v>
      </c>
    </row>
    <row r="16" spans="1:10" x14ac:dyDescent="0.25">
      <c r="A16" s="1" t="s">
        <v>16</v>
      </c>
      <c r="B16" s="1" t="s">
        <v>28</v>
      </c>
      <c r="C16" s="10"/>
      <c r="D16" s="10"/>
      <c r="E16" s="10">
        <v>238</v>
      </c>
      <c r="F16" s="10"/>
      <c r="G16" s="10">
        <f t="shared" si="0"/>
        <v>238</v>
      </c>
      <c r="H16" s="16">
        <f t="shared" si="1"/>
        <v>0.35</v>
      </c>
      <c r="I16" s="15">
        <f t="shared" si="2"/>
        <v>1E-3</v>
      </c>
      <c r="J16" s="15">
        <f>ROUND(G16/295-1,2)</f>
        <v>-0.19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590</v>
      </c>
      <c r="F17" s="10"/>
      <c r="G17" s="10">
        <f t="shared" si="0"/>
        <v>590</v>
      </c>
      <c r="H17" s="16">
        <f t="shared" si="1"/>
        <v>0.87</v>
      </c>
      <c r="I17" s="15">
        <f t="shared" si="2"/>
        <v>3.0000000000000001E-3</v>
      </c>
      <c r="J17" s="15">
        <f>ROUND(G17/410-1,2)</f>
        <v>0.44</v>
      </c>
    </row>
    <row r="18" spans="1:10" x14ac:dyDescent="0.25">
      <c r="A18" s="1" t="s">
        <v>16</v>
      </c>
      <c r="B18" s="1" t="s">
        <v>32</v>
      </c>
      <c r="C18" s="10"/>
      <c r="D18" s="10"/>
      <c r="E18" s="10">
        <v>420</v>
      </c>
      <c r="F18" s="10"/>
      <c r="G18" s="10">
        <f t="shared" si="0"/>
        <v>420</v>
      </c>
      <c r="H18" s="16">
        <f t="shared" si="1"/>
        <v>0.62</v>
      </c>
      <c r="I18" s="15">
        <f t="shared" si="2"/>
        <v>2E-3</v>
      </c>
      <c r="J18" s="15">
        <f>ROUND(G18/1765-1,2)</f>
        <v>-0.76</v>
      </c>
    </row>
    <row r="19" spans="1:10" x14ac:dyDescent="0.25">
      <c r="A19" s="1" t="s">
        <v>16</v>
      </c>
      <c r="B19" s="1" t="s">
        <v>33</v>
      </c>
      <c r="C19" s="10"/>
      <c r="D19" s="10"/>
      <c r="E19" s="10">
        <v>57</v>
      </c>
      <c r="F19" s="10"/>
      <c r="G19" s="10">
        <f t="shared" si="0"/>
        <v>57</v>
      </c>
      <c r="H19" s="16">
        <f t="shared" si="1"/>
        <v>0.08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43</v>
      </c>
      <c r="C20" s="10"/>
      <c r="D20" s="10"/>
      <c r="E20" s="10">
        <v>660</v>
      </c>
      <c r="F20" s="10"/>
      <c r="G20" s="10">
        <f t="shared" si="0"/>
        <v>660</v>
      </c>
      <c r="H20" s="16">
        <f t="shared" si="1"/>
        <v>0.97</v>
      </c>
      <c r="I20" s="15">
        <f t="shared" si="2"/>
        <v>3.0000000000000001E-3</v>
      </c>
      <c r="J20" s="15">
        <f>ROUND(G20/2570-1,2)</f>
        <v>-0.74</v>
      </c>
    </row>
    <row r="21" spans="1:10" x14ac:dyDescent="0.25">
      <c r="A21" s="1" t="s">
        <v>16</v>
      </c>
      <c r="B21" s="1" t="s">
        <v>37</v>
      </c>
      <c r="C21" s="10"/>
      <c r="D21" s="10"/>
      <c r="E21" s="10">
        <v>782</v>
      </c>
      <c r="F21" s="10"/>
      <c r="G21" s="10">
        <f t="shared" si="0"/>
        <v>782</v>
      </c>
      <c r="H21" s="16">
        <f t="shared" si="1"/>
        <v>1.1499999999999999</v>
      </c>
      <c r="I21" s="15">
        <f t="shared" si="2"/>
        <v>3.0000000000000001E-3</v>
      </c>
      <c r="J21" s="15">
        <f>ROUND(G21/968-1,2)</f>
        <v>-0.19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20935</v>
      </c>
      <c r="F22" s="10"/>
      <c r="G22" s="10">
        <f t="shared" si="0"/>
        <v>20935</v>
      </c>
      <c r="H22" s="16">
        <f t="shared" si="1"/>
        <v>30.83</v>
      </c>
      <c r="I22" s="15">
        <f t="shared" si="2"/>
        <v>9.2999999999999999E-2</v>
      </c>
      <c r="J22" s="15">
        <f>ROUND(G22/19520-1,2)</f>
        <v>7.0000000000000007E-2</v>
      </c>
    </row>
    <row r="23" spans="1:10" x14ac:dyDescent="0.25">
      <c r="A23" s="1" t="s">
        <v>16</v>
      </c>
      <c r="B23" s="1" t="s">
        <v>40</v>
      </c>
      <c r="C23" s="10"/>
      <c r="D23" s="10"/>
      <c r="E23" s="10">
        <v>13120</v>
      </c>
      <c r="F23" s="10"/>
      <c r="G23" s="10">
        <f t="shared" si="0"/>
        <v>13120</v>
      </c>
      <c r="H23" s="16">
        <f t="shared" si="1"/>
        <v>19.32</v>
      </c>
      <c r="I23" s="15">
        <f t="shared" si="2"/>
        <v>5.8999999999999997E-2</v>
      </c>
      <c r="J23" s="15">
        <f>ROUND(G23/10050-1,2)</f>
        <v>0.31</v>
      </c>
    </row>
    <row r="24" spans="1:10" x14ac:dyDescent="0.25">
      <c r="A24" s="1" t="s">
        <v>16</v>
      </c>
      <c r="B24" s="1" t="s">
        <v>41</v>
      </c>
      <c r="C24" s="10"/>
      <c r="D24" s="10"/>
      <c r="E24" s="10">
        <v>7700</v>
      </c>
      <c r="F24" s="10"/>
      <c r="G24" s="10">
        <f t="shared" si="0"/>
        <v>7700</v>
      </c>
      <c r="H24" s="16">
        <f t="shared" si="1"/>
        <v>11.34</v>
      </c>
      <c r="I24" s="15">
        <f t="shared" si="2"/>
        <v>3.4000000000000002E-2</v>
      </c>
      <c r="J24" s="15">
        <f>ROUND(G24/6785-1,2)</f>
        <v>0.13</v>
      </c>
    </row>
    <row r="25" spans="1:10" x14ac:dyDescent="0.25">
      <c r="A25" s="1" t="s">
        <v>16</v>
      </c>
      <c r="B25" s="1" t="s">
        <v>21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ROUND(G25/200-1,2)</f>
        <v>-1</v>
      </c>
    </row>
    <row r="26" spans="1:10" x14ac:dyDescent="0.25">
      <c r="A26" s="1" t="s">
        <v>16</v>
      </c>
      <c r="B26" s="1" t="s">
        <v>36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ROUND(G26/1478-1,2)</f>
        <v>-1</v>
      </c>
    </row>
    <row r="27" spans="1:10" x14ac:dyDescent="0.25">
      <c r="A27" s="1" t="s">
        <v>16</v>
      </c>
      <c r="B27" s="1" t="s">
        <v>30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ROUND(G27/60-1,2)</f>
        <v>-1</v>
      </c>
    </row>
    <row r="28" spans="1:10" x14ac:dyDescent="0.25">
      <c r="A28" s="1" t="s">
        <v>16</v>
      </c>
      <c r="B28" s="1" t="s">
        <v>22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51120</v>
      </c>
      <c r="D33" s="10"/>
      <c r="E33" s="10"/>
      <c r="F33" s="10"/>
      <c r="G33" s="10">
        <f t="shared" si="0"/>
        <v>51120</v>
      </c>
      <c r="H33" s="16">
        <f t="shared" si="1"/>
        <v>75.290000000000006</v>
      </c>
      <c r="I33" s="15">
        <f t="shared" si="2"/>
        <v>0.22800000000000001</v>
      </c>
      <c r="J33" s="15">
        <f>ROUND(G33/48500-1,2)</f>
        <v>0.05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13750</v>
      </c>
      <c r="F34" s="10"/>
      <c r="G34" s="10">
        <f t="shared" si="0"/>
        <v>13750</v>
      </c>
      <c r="H34" s="16">
        <f t="shared" si="1"/>
        <v>20.25</v>
      </c>
      <c r="I34" s="15">
        <f t="shared" si="2"/>
        <v>6.0999999999999999E-2</v>
      </c>
      <c r="J34" s="15">
        <f>ROUND(G34/11850-1,2)</f>
        <v>0.16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5" t="s">
        <v>12</v>
      </c>
      <c r="B37" s="25"/>
      <c r="C37" s="11">
        <f t="shared" ref="C37:H37" si="3">SUM(C8:C36)</f>
        <v>134750</v>
      </c>
      <c r="D37" s="11">
        <f t="shared" si="3"/>
        <v>0</v>
      </c>
      <c r="E37" s="11">
        <f t="shared" si="3"/>
        <v>89440</v>
      </c>
      <c r="F37" s="11">
        <f t="shared" si="3"/>
        <v>0</v>
      </c>
      <c r="G37" s="11">
        <f t="shared" si="3"/>
        <v>224190</v>
      </c>
      <c r="H37" s="14">
        <f t="shared" si="3"/>
        <v>330.17</v>
      </c>
      <c r="I37" s="17"/>
      <c r="J37" s="17"/>
    </row>
    <row r="38" spans="1:10" x14ac:dyDescent="0.25">
      <c r="A38" s="25" t="s">
        <v>14</v>
      </c>
      <c r="B38" s="25"/>
      <c r="C38" s="12">
        <f>ROUND(C37/G37,2)</f>
        <v>0.6</v>
      </c>
      <c r="D38" s="12">
        <f>ROUND(D37/G37,2)</f>
        <v>0</v>
      </c>
      <c r="E38" s="12">
        <f>ROUND(E37/G37,2)</f>
        <v>0.4</v>
      </c>
      <c r="F38" s="12">
        <f>ROUND(F37/G37,2)</f>
        <v>0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5" t="s">
        <v>53</v>
      </c>
      <c r="B43" s="25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0" t="s">
        <v>54</v>
      </c>
      <c r="B44" s="20"/>
      <c r="C44" s="10">
        <v>83630</v>
      </c>
      <c r="D44" s="10">
        <v>0</v>
      </c>
      <c r="E44" s="10">
        <v>75690</v>
      </c>
      <c r="F44" s="10">
        <v>0</v>
      </c>
      <c r="G44" s="10">
        <f>SUM(C44:F44)</f>
        <v>159320</v>
      </c>
      <c r="H44" s="16">
        <f>ROUND(G44/679,2)</f>
        <v>234.64</v>
      </c>
      <c r="I44" s="9"/>
      <c r="J44" s="9"/>
    </row>
    <row r="45" spans="1:10" x14ac:dyDescent="0.25">
      <c r="A45" s="20" t="s">
        <v>55</v>
      </c>
      <c r="B45" s="20"/>
      <c r="C45" s="10">
        <v>51120</v>
      </c>
      <c r="D45" s="10">
        <v>0</v>
      </c>
      <c r="E45" s="10">
        <v>13750</v>
      </c>
      <c r="F45" s="10">
        <v>0</v>
      </c>
      <c r="G45" s="10">
        <f>SUM(C45:F45)</f>
        <v>64870</v>
      </c>
      <c r="H45" s="16">
        <f>ROUND(G45/679,2)</f>
        <v>95.54</v>
      </c>
      <c r="I45" s="9"/>
      <c r="J45" s="9"/>
    </row>
    <row r="46" spans="1:10" x14ac:dyDescent="0.25">
      <c r="A46" s="20" t="s">
        <v>56</v>
      </c>
      <c r="B46" s="20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ROUND(G46/679,2)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57</v>
      </c>
      <c r="B51" s="25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0" t="s">
        <v>58</v>
      </c>
      <c r="B52" s="20"/>
      <c r="C52" s="15">
        <f>ROUND(0.7346, 4)</f>
        <v>0.73460000000000003</v>
      </c>
      <c r="D52" s="15">
        <f>ROUND(0.7317, 4)</f>
        <v>0.73170000000000002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3" t="s">
        <v>64</v>
      </c>
      <c r="J52" s="23" t="s">
        <v>65</v>
      </c>
    </row>
    <row r="53" spans="1:10" x14ac:dyDescent="0.25">
      <c r="A53" s="20" t="s">
        <v>66</v>
      </c>
      <c r="B53" s="20"/>
      <c r="C53" s="15">
        <f>ROUND(0.7048, 4)</f>
        <v>0.70479999999999998</v>
      </c>
      <c r="D53" s="15">
        <f>ROUND(0.7044, 4)</f>
        <v>0.70440000000000003</v>
      </c>
      <c r="E53" s="15">
        <f>ROUND(0.7608, 4)</f>
        <v>0.76080000000000003</v>
      </c>
      <c r="F53" s="8"/>
      <c r="G53" s="14" t="s">
        <v>67</v>
      </c>
      <c r="H53" s="27"/>
      <c r="I53" s="24"/>
      <c r="J53" s="24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68</v>
      </c>
      <c r="B57" s="25"/>
      <c r="C57" s="14" t="s">
        <v>2</v>
      </c>
      <c r="D57" s="14" t="s">
        <v>339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0" t="s">
        <v>73</v>
      </c>
      <c r="B58" s="20"/>
      <c r="C58" s="16">
        <v>75.290000000000006</v>
      </c>
      <c r="D58" s="16">
        <v>78.680000000000007</v>
      </c>
      <c r="E58" s="16">
        <v>91.13</v>
      </c>
      <c r="F58" s="16">
        <v>54.95</v>
      </c>
      <c r="G58" s="16">
        <f>12/10*C58</f>
        <v>90.347999999999999</v>
      </c>
      <c r="H58" s="8"/>
      <c r="I58" s="9"/>
      <c r="J58" s="9"/>
    </row>
    <row r="59" spans="1:10" x14ac:dyDescent="0.25">
      <c r="A59" s="20" t="s">
        <v>74</v>
      </c>
      <c r="B59" s="20"/>
      <c r="C59" s="16">
        <v>26.6</v>
      </c>
      <c r="D59" s="16">
        <v>41.94</v>
      </c>
      <c r="E59" s="16">
        <v>61.18</v>
      </c>
      <c r="F59" s="16">
        <v>62.89</v>
      </c>
      <c r="G59" s="16">
        <f>12/10*C59</f>
        <v>31.92</v>
      </c>
      <c r="H59" s="8"/>
      <c r="I59" s="9"/>
      <c r="J59" s="9"/>
    </row>
    <row r="60" spans="1:10" x14ac:dyDescent="0.25">
      <c r="A60" s="20" t="s">
        <v>75</v>
      </c>
      <c r="B60" s="20"/>
      <c r="C60" s="16">
        <v>234.64</v>
      </c>
      <c r="D60" s="16">
        <v>250.21</v>
      </c>
      <c r="E60" s="16">
        <v>287.25</v>
      </c>
      <c r="F60" s="16">
        <v>278.91000000000003</v>
      </c>
      <c r="G60" s="16">
        <f>12/10*C60</f>
        <v>281.56799999999998</v>
      </c>
      <c r="H60" s="8"/>
      <c r="I60" s="9"/>
      <c r="J60" s="9"/>
    </row>
    <row r="61" spans="1:10" x14ac:dyDescent="0.25">
      <c r="A61" s="20" t="s">
        <v>76</v>
      </c>
      <c r="B61" s="20"/>
      <c r="C61" s="16">
        <v>95.54</v>
      </c>
      <c r="D61" s="16">
        <v>101.46</v>
      </c>
      <c r="E61" s="16">
        <v>114.69</v>
      </c>
      <c r="F61" s="16">
        <v>78.319999999999993</v>
      </c>
      <c r="G61" s="16">
        <f>12/10*C61</f>
        <v>114.64800000000001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2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340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1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2645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55</v>
      </c>
      <c r="F9" s="10"/>
      <c r="G9" s="10">
        <f t="shared" ref="G9:G43" si="0">SUM(C9:F9)</f>
        <v>55</v>
      </c>
      <c r="H9" s="16">
        <f t="shared" ref="H9:H43" si="1">ROUND(G9/2645,2)</f>
        <v>0.02</v>
      </c>
      <c r="I9" s="15">
        <f t="shared" ref="I9:I43" si="2">ROUND(G9/$G$44,3)</f>
        <v>0</v>
      </c>
      <c r="J9" s="15">
        <f>ROUND(G9/57-1,2)</f>
        <v>-0.04</v>
      </c>
    </row>
    <row r="10" spans="1:10" x14ac:dyDescent="0.25">
      <c r="A10" s="1" t="s">
        <v>16</v>
      </c>
      <c r="B10" s="1" t="s">
        <v>19</v>
      </c>
      <c r="C10" s="10">
        <v>85400</v>
      </c>
      <c r="D10" s="10"/>
      <c r="E10" s="10">
        <v>2520</v>
      </c>
      <c r="F10" s="10"/>
      <c r="G10" s="10">
        <f t="shared" si="0"/>
        <v>87920</v>
      </c>
      <c r="H10" s="16">
        <f t="shared" si="1"/>
        <v>33.24</v>
      </c>
      <c r="I10" s="15">
        <f t="shared" si="2"/>
        <v>0.1</v>
      </c>
      <c r="J10" s="15">
        <f>ROUND(G10/79660-1,2)</f>
        <v>0.1</v>
      </c>
    </row>
    <row r="11" spans="1:10" x14ac:dyDescent="0.25">
      <c r="A11" s="1" t="s">
        <v>16</v>
      </c>
      <c r="B11" s="1" t="s">
        <v>20</v>
      </c>
      <c r="C11" s="10">
        <v>103090</v>
      </c>
      <c r="D11" s="10"/>
      <c r="E11" s="10"/>
      <c r="F11" s="10"/>
      <c r="G11" s="10">
        <f t="shared" si="0"/>
        <v>103090</v>
      </c>
      <c r="H11" s="16">
        <f t="shared" si="1"/>
        <v>38.979999999999997</v>
      </c>
      <c r="I11" s="15">
        <f t="shared" si="2"/>
        <v>0.11700000000000001</v>
      </c>
      <c r="J11" s="15">
        <f>ROUND(G11/103600-1,2)</f>
        <v>0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80</v>
      </c>
      <c r="F12" s="10"/>
      <c r="G12" s="10">
        <f t="shared" si="0"/>
        <v>80</v>
      </c>
      <c r="H12" s="16">
        <f t="shared" si="1"/>
        <v>0.03</v>
      </c>
      <c r="I12" s="15">
        <f t="shared" si="2"/>
        <v>0</v>
      </c>
      <c r="J12" s="15">
        <f>ROUND(G12/86-1,2)</f>
        <v>-7.0000000000000007E-2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350</v>
      </c>
      <c r="F13" s="10"/>
      <c r="G13" s="10">
        <f t="shared" si="0"/>
        <v>350</v>
      </c>
      <c r="H13" s="16">
        <f t="shared" si="1"/>
        <v>0.13</v>
      </c>
      <c r="I13" s="15">
        <f t="shared" si="2"/>
        <v>0</v>
      </c>
      <c r="J13" s="15">
        <f>ROUND(G13/182-1,2)</f>
        <v>0.92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0.34</v>
      </c>
      <c r="I14" s="15">
        <f t="shared" si="2"/>
        <v>1E-3</v>
      </c>
      <c r="J14" s="15">
        <f>ROUND(G14/1000-1,2)</f>
        <v>-0.1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58530</v>
      </c>
      <c r="F15" s="10"/>
      <c r="G15" s="10">
        <f t="shared" si="0"/>
        <v>58530</v>
      </c>
      <c r="H15" s="16">
        <f t="shared" si="1"/>
        <v>22.13</v>
      </c>
      <c r="I15" s="15">
        <f t="shared" si="2"/>
        <v>6.6000000000000003E-2</v>
      </c>
      <c r="J15" s="15">
        <f>ROUND(G15/25080-1,2)</f>
        <v>1.33</v>
      </c>
    </row>
    <row r="16" spans="1:10" x14ac:dyDescent="0.25">
      <c r="A16" s="1" t="s">
        <v>16</v>
      </c>
      <c r="B16" s="1" t="s">
        <v>24</v>
      </c>
      <c r="C16" s="10">
        <v>110240</v>
      </c>
      <c r="D16" s="10"/>
      <c r="E16" s="10"/>
      <c r="F16" s="10"/>
      <c r="G16" s="10">
        <f t="shared" si="0"/>
        <v>110240</v>
      </c>
      <c r="H16" s="16">
        <f t="shared" si="1"/>
        <v>41.68</v>
      </c>
      <c r="I16" s="15">
        <f t="shared" si="2"/>
        <v>0.125</v>
      </c>
      <c r="J16" s="15">
        <f>ROUND(G16/99380-1,2)</f>
        <v>0.11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3785</v>
      </c>
      <c r="F17" s="10"/>
      <c r="G17" s="10">
        <f t="shared" si="0"/>
        <v>3785</v>
      </c>
      <c r="H17" s="16">
        <f t="shared" si="1"/>
        <v>1.43</v>
      </c>
      <c r="I17" s="15">
        <f t="shared" si="2"/>
        <v>4.0000000000000001E-3</v>
      </c>
      <c r="J17" s="15">
        <f>ROUND(G17/3330-1,2)</f>
        <v>0.14000000000000001</v>
      </c>
    </row>
    <row r="18" spans="1:10" x14ac:dyDescent="0.25">
      <c r="A18" s="1" t="s">
        <v>16</v>
      </c>
      <c r="B18" s="1" t="s">
        <v>26</v>
      </c>
      <c r="C18" s="10">
        <v>157320</v>
      </c>
      <c r="D18" s="10"/>
      <c r="E18" s="10"/>
      <c r="F18" s="10">
        <v>650</v>
      </c>
      <c r="G18" s="10">
        <f t="shared" si="0"/>
        <v>157970</v>
      </c>
      <c r="H18" s="16">
        <f t="shared" si="1"/>
        <v>59.72</v>
      </c>
      <c r="I18" s="15">
        <f t="shared" si="2"/>
        <v>0.17899999999999999</v>
      </c>
      <c r="J18" s="15">
        <f>ROUND(G18/160160-1,2)</f>
        <v>-0.01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771</v>
      </c>
      <c r="F19" s="10"/>
      <c r="G19" s="10">
        <f t="shared" si="0"/>
        <v>771</v>
      </c>
      <c r="H19" s="16">
        <f t="shared" si="1"/>
        <v>0.28999999999999998</v>
      </c>
      <c r="I19" s="15">
        <f t="shared" si="2"/>
        <v>1E-3</v>
      </c>
      <c r="J19" s="15">
        <f>ROUND(G19/788-1,2)</f>
        <v>-0.02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325</v>
      </c>
      <c r="F20" s="10"/>
      <c r="G20" s="10">
        <f t="shared" si="0"/>
        <v>325</v>
      </c>
      <c r="H20" s="16">
        <f t="shared" si="1"/>
        <v>0.12</v>
      </c>
      <c r="I20" s="15">
        <f t="shared" si="2"/>
        <v>0</v>
      </c>
      <c r="J20" s="15">
        <f>ROUND(G20/326-1,2)</f>
        <v>0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99</v>
      </c>
      <c r="F21" s="10"/>
      <c r="G21" s="10">
        <f t="shared" si="0"/>
        <v>99</v>
      </c>
      <c r="H21" s="16">
        <f t="shared" si="1"/>
        <v>0.04</v>
      </c>
      <c r="I21" s="15">
        <f t="shared" si="2"/>
        <v>0</v>
      </c>
      <c r="J21" s="15">
        <f>ROUND(G21/94-1,2)</f>
        <v>0.05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1433</v>
      </c>
      <c r="F22" s="10"/>
      <c r="G22" s="10">
        <f t="shared" si="0"/>
        <v>1433</v>
      </c>
      <c r="H22" s="16">
        <f t="shared" si="1"/>
        <v>0.54</v>
      </c>
      <c r="I22" s="15">
        <f t="shared" si="2"/>
        <v>2E-3</v>
      </c>
      <c r="J22" s="15">
        <f>ROUND(G22/3344-1,2)</f>
        <v>-0.56999999999999995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860</v>
      </c>
      <c r="F23" s="10"/>
      <c r="G23" s="10">
        <f t="shared" si="0"/>
        <v>860</v>
      </c>
      <c r="H23" s="16">
        <f t="shared" si="1"/>
        <v>0.33</v>
      </c>
      <c r="I23" s="15">
        <f t="shared" si="2"/>
        <v>1E-3</v>
      </c>
      <c r="J23" s="15">
        <f>ROUND(G23/1410-1,2)</f>
        <v>-0.39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600</v>
      </c>
      <c r="F24" s="10"/>
      <c r="G24" s="10">
        <f t="shared" si="0"/>
        <v>600</v>
      </c>
      <c r="H24" s="16">
        <f t="shared" si="1"/>
        <v>0.23</v>
      </c>
      <c r="I24" s="15">
        <f t="shared" si="2"/>
        <v>1E-3</v>
      </c>
      <c r="J24" s="15">
        <f>ROUND(G24/230-1,2)</f>
        <v>1.61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1188</v>
      </c>
      <c r="F25" s="10"/>
      <c r="G25" s="10">
        <f t="shared" si="0"/>
        <v>1188</v>
      </c>
      <c r="H25" s="16">
        <f t="shared" si="1"/>
        <v>0.45</v>
      </c>
      <c r="I25" s="15">
        <f t="shared" si="2"/>
        <v>1E-3</v>
      </c>
      <c r="J25" s="15">
        <f>ROUND(G25/1600-1,2)</f>
        <v>-0.26</v>
      </c>
    </row>
    <row r="26" spans="1:10" x14ac:dyDescent="0.25">
      <c r="A26" s="1" t="s">
        <v>16</v>
      </c>
      <c r="B26" s="1" t="s">
        <v>33</v>
      </c>
      <c r="C26" s="10"/>
      <c r="D26" s="10">
        <v>139</v>
      </c>
      <c r="E26" s="10">
        <v>130</v>
      </c>
      <c r="F26" s="10"/>
      <c r="G26" s="10">
        <f t="shared" si="0"/>
        <v>269</v>
      </c>
      <c r="H26" s="16">
        <f t="shared" si="1"/>
        <v>0.1</v>
      </c>
      <c r="I26" s="15">
        <f t="shared" si="2"/>
        <v>0</v>
      </c>
      <c r="J26" s="15">
        <f>ROUND(G26/283-1,2)</f>
        <v>-0.05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260</v>
      </c>
      <c r="F27" s="10"/>
      <c r="G27" s="10">
        <f t="shared" si="0"/>
        <v>260</v>
      </c>
      <c r="H27" s="16">
        <f t="shared" si="1"/>
        <v>0.1</v>
      </c>
      <c r="I27" s="15">
        <f t="shared" si="2"/>
        <v>0</v>
      </c>
      <c r="J27" s="15">
        <f>ROUND(G27/183-1,2)</f>
        <v>0.42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750</v>
      </c>
      <c r="F28" s="10"/>
      <c r="G28" s="10">
        <f t="shared" si="0"/>
        <v>750</v>
      </c>
      <c r="H28" s="16">
        <f t="shared" si="1"/>
        <v>0.28000000000000003</v>
      </c>
      <c r="I28" s="15">
        <f t="shared" si="2"/>
        <v>1E-3</v>
      </c>
      <c r="J28" s="15">
        <f>ROUND(G28/600-1,2)</f>
        <v>0.25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1127</v>
      </c>
      <c r="F29" s="10"/>
      <c r="G29" s="10">
        <f t="shared" si="0"/>
        <v>1127</v>
      </c>
      <c r="H29" s="16">
        <f t="shared" si="1"/>
        <v>0.43</v>
      </c>
      <c r="I29" s="15">
        <f t="shared" si="2"/>
        <v>1E-3</v>
      </c>
      <c r="J29" s="15">
        <f>ROUND(G29/2145-1,2)</f>
        <v>-0.47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2170</v>
      </c>
      <c r="F30" s="10"/>
      <c r="G30" s="10">
        <f t="shared" si="0"/>
        <v>2170</v>
      </c>
      <c r="H30" s="16">
        <f t="shared" si="1"/>
        <v>0.82</v>
      </c>
      <c r="I30" s="15">
        <f t="shared" si="2"/>
        <v>2E-3</v>
      </c>
      <c r="J30" s="15">
        <f>ROUND(G30/3500-1,2)</f>
        <v>-0.38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3595</v>
      </c>
      <c r="F31" s="10"/>
      <c r="G31" s="10">
        <f t="shared" si="0"/>
        <v>3595</v>
      </c>
      <c r="H31" s="16">
        <f t="shared" si="1"/>
        <v>1.36</v>
      </c>
      <c r="I31" s="15">
        <f t="shared" si="2"/>
        <v>4.0000000000000001E-3</v>
      </c>
      <c r="J31" s="15">
        <f>ROUND(G31/2874-1,2)</f>
        <v>0.25</v>
      </c>
    </row>
    <row r="32" spans="1:10" x14ac:dyDescent="0.25">
      <c r="A32" s="1" t="s">
        <v>16</v>
      </c>
      <c r="B32" s="1" t="s">
        <v>38</v>
      </c>
      <c r="C32" s="10"/>
      <c r="D32" s="10"/>
      <c r="E32" s="10">
        <v>57790</v>
      </c>
      <c r="F32" s="10"/>
      <c r="G32" s="10">
        <f t="shared" si="0"/>
        <v>57790</v>
      </c>
      <c r="H32" s="16">
        <f t="shared" si="1"/>
        <v>21.85</v>
      </c>
      <c r="I32" s="15">
        <f t="shared" si="2"/>
        <v>6.5000000000000002E-2</v>
      </c>
      <c r="J32" s="15">
        <f>ROUND(G32/40650-1,2)</f>
        <v>0.42</v>
      </c>
    </row>
    <row r="33" spans="1:10" x14ac:dyDescent="0.25">
      <c r="A33" s="1" t="s">
        <v>16</v>
      </c>
      <c r="B33" s="1" t="s">
        <v>39</v>
      </c>
      <c r="C33" s="10"/>
      <c r="D33" s="10"/>
      <c r="E33" s="10">
        <v>3920</v>
      </c>
      <c r="F33" s="10"/>
      <c r="G33" s="10">
        <f t="shared" si="0"/>
        <v>3920</v>
      </c>
      <c r="H33" s="16">
        <f t="shared" si="1"/>
        <v>1.48</v>
      </c>
      <c r="I33" s="15">
        <f t="shared" si="2"/>
        <v>4.0000000000000001E-3</v>
      </c>
      <c r="J33" s="15">
        <f>ROUND(G33/3750-1,2)</f>
        <v>0.05</v>
      </c>
    </row>
    <row r="34" spans="1:10" x14ac:dyDescent="0.25">
      <c r="A34" s="1" t="s">
        <v>16</v>
      </c>
      <c r="B34" s="1" t="s">
        <v>40</v>
      </c>
      <c r="C34" s="10"/>
      <c r="D34" s="10"/>
      <c r="E34" s="10">
        <v>19230</v>
      </c>
      <c r="F34" s="10"/>
      <c r="G34" s="10">
        <f t="shared" si="0"/>
        <v>19230</v>
      </c>
      <c r="H34" s="16">
        <f t="shared" si="1"/>
        <v>7.27</v>
      </c>
      <c r="I34" s="15">
        <f t="shared" si="2"/>
        <v>2.1999999999999999E-2</v>
      </c>
      <c r="J34" s="15">
        <f>ROUND(G34/14520-1,2)</f>
        <v>0.32</v>
      </c>
    </row>
    <row r="35" spans="1:10" x14ac:dyDescent="0.25">
      <c r="A35" s="1" t="s">
        <v>16</v>
      </c>
      <c r="B35" s="1" t="s">
        <v>41</v>
      </c>
      <c r="C35" s="10"/>
      <c r="D35" s="10"/>
      <c r="E35" s="10">
        <v>56890</v>
      </c>
      <c r="F35" s="10">
        <v>4900</v>
      </c>
      <c r="G35" s="10">
        <f t="shared" si="0"/>
        <v>61790</v>
      </c>
      <c r="H35" s="16">
        <f t="shared" si="1"/>
        <v>23.36</v>
      </c>
      <c r="I35" s="15">
        <f t="shared" si="2"/>
        <v>7.0000000000000007E-2</v>
      </c>
      <c r="J35" s="15">
        <f>ROUND(G35/42120-1,2)</f>
        <v>0.47</v>
      </c>
    </row>
    <row r="36" spans="1:10" x14ac:dyDescent="0.25">
      <c r="A36" s="1" t="s">
        <v>16</v>
      </c>
      <c r="B36" s="1" t="s">
        <v>18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ROUND(G36/1340-1,2)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ROUND(G37/20-1,2)</f>
        <v>-1</v>
      </c>
    </row>
    <row r="38" spans="1:10" x14ac:dyDescent="0.25">
      <c r="A38" s="1" t="s">
        <v>44</v>
      </c>
      <c r="B38" s="1" t="s">
        <v>45</v>
      </c>
      <c r="C38" s="10">
        <v>133920</v>
      </c>
      <c r="D38" s="10"/>
      <c r="E38" s="10">
        <v>100</v>
      </c>
      <c r="F38" s="10">
        <v>80</v>
      </c>
      <c r="G38" s="10">
        <f t="shared" si="0"/>
        <v>134100</v>
      </c>
      <c r="H38" s="16">
        <f t="shared" si="1"/>
        <v>50.7</v>
      </c>
      <c r="I38" s="15">
        <f t="shared" si="2"/>
        <v>0.152</v>
      </c>
      <c r="J38" s="15">
        <f>ROUND(G38/117110-1,2)</f>
        <v>0.15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>
        <v>28035</v>
      </c>
      <c r="G39" s="10">
        <f t="shared" si="0"/>
        <v>28035</v>
      </c>
      <c r="H39" s="16">
        <f t="shared" si="1"/>
        <v>10.6</v>
      </c>
      <c r="I39" s="15">
        <f t="shared" si="2"/>
        <v>3.2000000000000001E-2</v>
      </c>
      <c r="J39" s="15">
        <f>ROUND(G39/22010-1,2)</f>
        <v>0.27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41960</v>
      </c>
      <c r="F40" s="10"/>
      <c r="G40" s="10">
        <f t="shared" si="0"/>
        <v>41960</v>
      </c>
      <c r="H40" s="16">
        <f t="shared" si="1"/>
        <v>15.86</v>
      </c>
      <c r="I40" s="15">
        <f t="shared" si="2"/>
        <v>4.8000000000000001E-2</v>
      </c>
      <c r="J40" s="15">
        <f>ROUND(G40/24930-1,2)</f>
        <v>0.68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ROUND(G42/460-1,2)</f>
        <v>-1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ROUND(G43/235-1,2)</f>
        <v>-1</v>
      </c>
    </row>
    <row r="44" spans="1:10" x14ac:dyDescent="0.25">
      <c r="A44" s="25" t="s">
        <v>12</v>
      </c>
      <c r="B44" s="25"/>
      <c r="C44" s="11">
        <f t="shared" ref="C44:H44" si="3">SUM(C8:C43)</f>
        <v>589970</v>
      </c>
      <c r="D44" s="11">
        <f t="shared" si="3"/>
        <v>139</v>
      </c>
      <c r="E44" s="11">
        <f t="shared" si="3"/>
        <v>259418</v>
      </c>
      <c r="F44" s="11">
        <f t="shared" si="3"/>
        <v>33665</v>
      </c>
      <c r="G44" s="11">
        <f t="shared" si="3"/>
        <v>883192</v>
      </c>
      <c r="H44" s="14">
        <f t="shared" si="3"/>
        <v>333.91</v>
      </c>
      <c r="I44" s="17"/>
      <c r="J44" s="17"/>
    </row>
    <row r="45" spans="1:10" x14ac:dyDescent="0.25">
      <c r="A45" s="25" t="s">
        <v>14</v>
      </c>
      <c r="B45" s="25"/>
      <c r="C45" s="12">
        <f>ROUND(C44/G44,2)</f>
        <v>0.67</v>
      </c>
      <c r="D45" s="12">
        <f>ROUND(D44/G44,2)</f>
        <v>0</v>
      </c>
      <c r="E45" s="12">
        <f>ROUND(E44/G44,2)</f>
        <v>0.28999999999999998</v>
      </c>
      <c r="F45" s="12">
        <f>ROUND(F44/G44,2)</f>
        <v>0.04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5" t="s">
        <v>53</v>
      </c>
      <c r="B50" s="25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0" t="s">
        <v>54</v>
      </c>
      <c r="B51" s="20"/>
      <c r="C51" s="10">
        <v>456050</v>
      </c>
      <c r="D51" s="10">
        <v>139</v>
      </c>
      <c r="E51" s="10">
        <v>217358</v>
      </c>
      <c r="F51" s="10">
        <v>5550</v>
      </c>
      <c r="G51" s="10">
        <f>SUM(C51:F51)</f>
        <v>679097</v>
      </c>
      <c r="H51" s="16">
        <f>ROUND(G51/2645,2)</f>
        <v>256.75</v>
      </c>
      <c r="I51" s="9"/>
      <c r="J51" s="9"/>
    </row>
    <row r="52" spans="1:10" x14ac:dyDescent="0.25">
      <c r="A52" s="20" t="s">
        <v>55</v>
      </c>
      <c r="B52" s="20"/>
      <c r="C52" s="10">
        <v>133920</v>
      </c>
      <c r="D52" s="10">
        <v>0</v>
      </c>
      <c r="E52" s="10">
        <v>42060</v>
      </c>
      <c r="F52" s="10">
        <v>28115</v>
      </c>
      <c r="G52" s="10">
        <f>SUM(C52:F52)</f>
        <v>204095</v>
      </c>
      <c r="H52" s="16">
        <f>ROUND(G52/2645,2)</f>
        <v>77.16</v>
      </c>
      <c r="I52" s="9"/>
      <c r="J52" s="9"/>
    </row>
    <row r="53" spans="1:10" x14ac:dyDescent="0.25">
      <c r="A53" s="20" t="s">
        <v>56</v>
      </c>
      <c r="B53" s="20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ROUND(G53/2645,2)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5" t="s">
        <v>57</v>
      </c>
      <c r="B58" s="25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0" t="s">
        <v>58</v>
      </c>
      <c r="B59" s="20"/>
      <c r="C59" s="15">
        <f>ROUND(0.8336, 4)</f>
        <v>0.83360000000000001</v>
      </c>
      <c r="D59" s="15">
        <f>ROUND(0.8277, 4)</f>
        <v>0.82769999999999999</v>
      </c>
      <c r="E59" s="15">
        <f>ROUND(0.777, 4)</f>
        <v>0.77700000000000002</v>
      </c>
      <c r="F59" s="8"/>
      <c r="G59" s="14" t="s">
        <v>62</v>
      </c>
      <c r="H59" s="26" t="s">
        <v>63</v>
      </c>
      <c r="I59" s="23" t="s">
        <v>64</v>
      </c>
      <c r="J59" s="23" t="s">
        <v>65</v>
      </c>
    </row>
    <row r="60" spans="1:10" x14ac:dyDescent="0.25">
      <c r="A60" s="20" t="s">
        <v>66</v>
      </c>
      <c r="B60" s="20"/>
      <c r="C60" s="15">
        <f>ROUND(0.82, 4)</f>
        <v>0.82</v>
      </c>
      <c r="D60" s="15">
        <f>ROUND(0.8142, 4)</f>
        <v>0.81420000000000003</v>
      </c>
      <c r="E60" s="15">
        <f>ROUND(0.7608, 4)</f>
        <v>0.76080000000000003</v>
      </c>
      <c r="F60" s="8"/>
      <c r="G60" s="14" t="s">
        <v>67</v>
      </c>
      <c r="H60" s="27"/>
      <c r="I60" s="24"/>
      <c r="J60" s="24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5" t="s">
        <v>68</v>
      </c>
      <c r="B64" s="25"/>
      <c r="C64" s="14" t="s">
        <v>2</v>
      </c>
      <c r="D64" s="14" t="s">
        <v>342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0" t="s">
        <v>73</v>
      </c>
      <c r="B65" s="20"/>
      <c r="C65" s="16">
        <v>50.7</v>
      </c>
      <c r="D65" s="16">
        <v>56.69</v>
      </c>
      <c r="E65" s="16">
        <v>91.13</v>
      </c>
      <c r="F65" s="16">
        <v>54.95</v>
      </c>
      <c r="G65" s="16">
        <f>12/10*C65</f>
        <v>60.84</v>
      </c>
      <c r="H65" s="8"/>
      <c r="I65" s="9"/>
      <c r="J65" s="9"/>
    </row>
    <row r="66" spans="1:10" x14ac:dyDescent="0.25">
      <c r="A66" s="20" t="s">
        <v>74</v>
      </c>
      <c r="B66" s="20"/>
      <c r="C66" s="16">
        <v>59.72</v>
      </c>
      <c r="D66" s="16">
        <v>71.959999999999994</v>
      </c>
      <c r="E66" s="16">
        <v>61.18</v>
      </c>
      <c r="F66" s="16">
        <v>62.89</v>
      </c>
      <c r="G66" s="16">
        <f>12/10*C66</f>
        <v>71.664000000000001</v>
      </c>
      <c r="H66" s="8"/>
      <c r="I66" s="9"/>
      <c r="J66" s="9"/>
    </row>
    <row r="67" spans="1:10" x14ac:dyDescent="0.25">
      <c r="A67" s="20" t="s">
        <v>75</v>
      </c>
      <c r="B67" s="20"/>
      <c r="C67" s="16">
        <v>260.37</v>
      </c>
      <c r="D67" s="16">
        <v>277.07</v>
      </c>
      <c r="E67" s="16">
        <v>287.25</v>
      </c>
      <c r="F67" s="16">
        <v>278.91000000000003</v>
      </c>
      <c r="G67" s="16">
        <f>12/10*C67</f>
        <v>312.44400000000002</v>
      </c>
      <c r="H67" s="8"/>
      <c r="I67" s="9"/>
      <c r="J67" s="9"/>
    </row>
    <row r="68" spans="1:10" x14ac:dyDescent="0.25">
      <c r="A68" s="20" t="s">
        <v>76</v>
      </c>
      <c r="B68" s="20"/>
      <c r="C68" s="16">
        <v>77.16</v>
      </c>
      <c r="D68" s="16">
        <v>80.53</v>
      </c>
      <c r="E68" s="16">
        <v>114.69</v>
      </c>
      <c r="F68" s="16">
        <v>78.319999999999993</v>
      </c>
      <c r="G68" s="16">
        <f>12/10*C68</f>
        <v>92.591999999999999</v>
      </c>
      <c r="H68" s="8"/>
      <c r="I68" s="9"/>
      <c r="J68" s="9"/>
    </row>
    <row r="71" spans="1:10" x14ac:dyDescent="0.25">
      <c r="A71" s="21" t="s">
        <v>60</v>
      </c>
      <c r="B71" s="22"/>
    </row>
    <row r="72" spans="1:10" x14ac:dyDescent="0.25">
      <c r="A72" s="3" t="s">
        <v>77</v>
      </c>
      <c r="B72" s="1" t="s">
        <v>343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1924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18</v>
      </c>
      <c r="C9" s="10"/>
      <c r="D9" s="10"/>
      <c r="E9" s="10"/>
      <c r="F9" s="10">
        <v>5160</v>
      </c>
      <c r="G9" s="10">
        <f t="shared" ref="G9:G36" si="0">SUM(C9:F9)</f>
        <v>5160</v>
      </c>
      <c r="H9" s="16">
        <f t="shared" ref="H9:H36" si="1">ROUND(G9/1924,2)</f>
        <v>2.68</v>
      </c>
      <c r="I9" s="15">
        <f t="shared" ref="I9:I36" si="2">ROUND(G9/$G$37,3)</f>
        <v>7.0000000000000001E-3</v>
      </c>
      <c r="J9" s="15">
        <f>ROUND(G9/4460-1,2)</f>
        <v>0.16</v>
      </c>
    </row>
    <row r="10" spans="1:10" x14ac:dyDescent="0.25">
      <c r="A10" s="1" t="s">
        <v>16</v>
      </c>
      <c r="B10" s="1" t="s">
        <v>19</v>
      </c>
      <c r="C10" s="10">
        <v>63540</v>
      </c>
      <c r="D10" s="10"/>
      <c r="E10" s="10"/>
      <c r="F10" s="10"/>
      <c r="G10" s="10">
        <f t="shared" si="0"/>
        <v>63540</v>
      </c>
      <c r="H10" s="16">
        <f t="shared" si="1"/>
        <v>33.020000000000003</v>
      </c>
      <c r="I10" s="15">
        <f t="shared" si="2"/>
        <v>0.09</v>
      </c>
      <c r="J10" s="15">
        <f>ROUND(G10/58780-1,2)</f>
        <v>0.08</v>
      </c>
    </row>
    <row r="11" spans="1:10" x14ac:dyDescent="0.25">
      <c r="A11" s="1" t="s">
        <v>16</v>
      </c>
      <c r="B11" s="1" t="s">
        <v>20</v>
      </c>
      <c r="C11" s="10">
        <v>84150</v>
      </c>
      <c r="D11" s="10"/>
      <c r="E11" s="10"/>
      <c r="F11" s="10"/>
      <c r="G11" s="10">
        <f t="shared" si="0"/>
        <v>84150</v>
      </c>
      <c r="H11" s="16">
        <f t="shared" si="1"/>
        <v>43.74</v>
      </c>
      <c r="I11" s="15">
        <f t="shared" si="2"/>
        <v>0.11899999999999999</v>
      </c>
      <c r="J11" s="15">
        <f>ROUND(G11/84105-1,2)</f>
        <v>0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2100</v>
      </c>
      <c r="F12" s="10"/>
      <c r="G12" s="10">
        <f t="shared" si="0"/>
        <v>2100</v>
      </c>
      <c r="H12" s="16">
        <f t="shared" si="1"/>
        <v>1.0900000000000001</v>
      </c>
      <c r="I12" s="15">
        <f t="shared" si="2"/>
        <v>3.0000000000000001E-3</v>
      </c>
      <c r="J12" s="15">
        <f>ROUND(G12/1900-1,2)</f>
        <v>0.11</v>
      </c>
    </row>
    <row r="13" spans="1:10" x14ac:dyDescent="0.25">
      <c r="A13" s="1" t="s">
        <v>16</v>
      </c>
      <c r="B13" s="1" t="s">
        <v>24</v>
      </c>
      <c r="C13" s="10">
        <v>93955</v>
      </c>
      <c r="D13" s="10"/>
      <c r="E13" s="10"/>
      <c r="F13" s="10"/>
      <c r="G13" s="10">
        <f t="shared" si="0"/>
        <v>93955</v>
      </c>
      <c r="H13" s="16">
        <f t="shared" si="1"/>
        <v>48.83</v>
      </c>
      <c r="I13" s="15">
        <f t="shared" si="2"/>
        <v>0.13300000000000001</v>
      </c>
      <c r="J13" s="15">
        <f>ROUND(G13/91790-1,2)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2125</v>
      </c>
      <c r="F14" s="10"/>
      <c r="G14" s="10">
        <f t="shared" si="0"/>
        <v>2125</v>
      </c>
      <c r="H14" s="16">
        <f t="shared" si="1"/>
        <v>1.1000000000000001</v>
      </c>
      <c r="I14" s="15">
        <f t="shared" si="2"/>
        <v>3.0000000000000001E-3</v>
      </c>
      <c r="J14" s="15">
        <f>ROUND(G14/3000-1,2)</f>
        <v>-0.28999999999999998</v>
      </c>
    </row>
    <row r="15" spans="1:10" x14ac:dyDescent="0.25">
      <c r="A15" s="1" t="s">
        <v>16</v>
      </c>
      <c r="B15" s="1" t="s">
        <v>26</v>
      </c>
      <c r="C15" s="10">
        <v>148590</v>
      </c>
      <c r="D15" s="10"/>
      <c r="E15" s="10"/>
      <c r="F15" s="10"/>
      <c r="G15" s="10">
        <f t="shared" si="0"/>
        <v>148590</v>
      </c>
      <c r="H15" s="16">
        <f t="shared" si="1"/>
        <v>77.23</v>
      </c>
      <c r="I15" s="15">
        <f t="shared" si="2"/>
        <v>0.21099999999999999</v>
      </c>
      <c r="J15" s="15">
        <f>ROUND(G15/146420-1,2)</f>
        <v>0.01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523</v>
      </c>
      <c r="F16" s="10"/>
      <c r="G16" s="10">
        <f t="shared" si="0"/>
        <v>523</v>
      </c>
      <c r="H16" s="16">
        <f t="shared" si="1"/>
        <v>0.27</v>
      </c>
      <c r="I16" s="15">
        <f t="shared" si="2"/>
        <v>1E-3</v>
      </c>
      <c r="J16" s="15">
        <f>ROUND(G16/617-1,2)</f>
        <v>-0.15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517</v>
      </c>
      <c r="F17" s="10"/>
      <c r="G17" s="10">
        <f t="shared" si="0"/>
        <v>517</v>
      </c>
      <c r="H17" s="16">
        <f t="shared" si="1"/>
        <v>0.27</v>
      </c>
      <c r="I17" s="15">
        <f t="shared" si="2"/>
        <v>1E-3</v>
      </c>
      <c r="J17" s="15">
        <f>ROUND(G17/322-1,2)</f>
        <v>0.61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1430</v>
      </c>
      <c r="F18" s="10"/>
      <c r="G18" s="10">
        <f t="shared" si="0"/>
        <v>1430</v>
      </c>
      <c r="H18" s="16">
        <f t="shared" si="1"/>
        <v>0.74</v>
      </c>
      <c r="I18" s="15">
        <f t="shared" si="2"/>
        <v>2E-3</v>
      </c>
      <c r="J18" s="15"/>
    </row>
    <row r="19" spans="1:10" x14ac:dyDescent="0.25">
      <c r="A19" s="1" t="s">
        <v>16</v>
      </c>
      <c r="B19" s="1" t="s">
        <v>30</v>
      </c>
      <c r="C19" s="10"/>
      <c r="D19" s="10"/>
      <c r="E19" s="10">
        <v>650</v>
      </c>
      <c r="F19" s="10"/>
      <c r="G19" s="10">
        <f t="shared" si="0"/>
        <v>650</v>
      </c>
      <c r="H19" s="16">
        <f t="shared" si="1"/>
        <v>0.34</v>
      </c>
      <c r="I19" s="15">
        <f t="shared" si="2"/>
        <v>1E-3</v>
      </c>
      <c r="J19" s="15">
        <f>ROUND(G19/560-1,2)</f>
        <v>0.16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365</v>
      </c>
      <c r="F20" s="10"/>
      <c r="G20" s="10">
        <f t="shared" si="0"/>
        <v>365</v>
      </c>
      <c r="H20" s="16">
        <f t="shared" si="1"/>
        <v>0.19</v>
      </c>
      <c r="I20" s="15">
        <f t="shared" si="2"/>
        <v>1E-3</v>
      </c>
      <c r="J20" s="15">
        <f>ROUND(G20/155-1,2)</f>
        <v>1.35</v>
      </c>
    </row>
    <row r="21" spans="1:10" x14ac:dyDescent="0.25">
      <c r="A21" s="1" t="s">
        <v>16</v>
      </c>
      <c r="B21" s="1" t="s">
        <v>33</v>
      </c>
      <c r="C21" s="10"/>
      <c r="D21" s="10">
        <v>97</v>
      </c>
      <c r="E21" s="10">
        <v>27</v>
      </c>
      <c r="F21" s="10"/>
      <c r="G21" s="10">
        <f t="shared" si="0"/>
        <v>124</v>
      </c>
      <c r="H21" s="16">
        <f t="shared" si="1"/>
        <v>0.06</v>
      </c>
      <c r="I21" s="15">
        <f t="shared" si="2"/>
        <v>0</v>
      </c>
      <c r="J21" s="15">
        <f>ROUND(G21/104-1,2)</f>
        <v>0.19</v>
      </c>
    </row>
    <row r="22" spans="1:10" x14ac:dyDescent="0.25">
      <c r="A22" s="1" t="s">
        <v>16</v>
      </c>
      <c r="B22" s="1" t="s">
        <v>35</v>
      </c>
      <c r="C22" s="10"/>
      <c r="D22" s="10">
        <v>50</v>
      </c>
      <c r="E22" s="10"/>
      <c r="F22" s="10"/>
      <c r="G22" s="10">
        <f t="shared" si="0"/>
        <v>50</v>
      </c>
      <c r="H22" s="16">
        <f t="shared" si="1"/>
        <v>0.03</v>
      </c>
      <c r="I22" s="15">
        <f t="shared" si="2"/>
        <v>0</v>
      </c>
      <c r="J22" s="15">
        <f>ROUND(G22/240-1,2)</f>
        <v>-0.79</v>
      </c>
    </row>
    <row r="23" spans="1:10" x14ac:dyDescent="0.25">
      <c r="A23" s="1" t="s">
        <v>16</v>
      </c>
      <c r="B23" s="1" t="s">
        <v>43</v>
      </c>
      <c r="C23" s="10"/>
      <c r="D23" s="10"/>
      <c r="E23" s="10">
        <v>660</v>
      </c>
      <c r="F23" s="10"/>
      <c r="G23" s="10">
        <f t="shared" si="0"/>
        <v>660</v>
      </c>
      <c r="H23" s="16">
        <f t="shared" si="1"/>
        <v>0.34</v>
      </c>
      <c r="I23" s="15">
        <f t="shared" si="2"/>
        <v>1E-3</v>
      </c>
      <c r="J23" s="15">
        <f>ROUND(G23/3268-1,2)</f>
        <v>-0.8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49000</v>
      </c>
      <c r="F24" s="10"/>
      <c r="G24" s="10">
        <f t="shared" si="0"/>
        <v>49000</v>
      </c>
      <c r="H24" s="16">
        <f t="shared" si="1"/>
        <v>25.47</v>
      </c>
      <c r="I24" s="15">
        <f t="shared" si="2"/>
        <v>7.0000000000000007E-2</v>
      </c>
      <c r="J24" s="15">
        <f>ROUND(G24/53375-1,2)</f>
        <v>-0.08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7040</v>
      </c>
      <c r="F25" s="10"/>
      <c r="G25" s="10">
        <f t="shared" si="0"/>
        <v>7040</v>
      </c>
      <c r="H25" s="16">
        <f t="shared" si="1"/>
        <v>3.66</v>
      </c>
      <c r="I25" s="15">
        <f t="shared" si="2"/>
        <v>0.01</v>
      </c>
      <c r="J25" s="15">
        <f>ROUND(G25/13330-1,2)</f>
        <v>-0.47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25630</v>
      </c>
      <c r="F26" s="10"/>
      <c r="G26" s="10">
        <f t="shared" si="0"/>
        <v>25630</v>
      </c>
      <c r="H26" s="16">
        <f t="shared" si="1"/>
        <v>13.32</v>
      </c>
      <c r="I26" s="15">
        <f t="shared" si="2"/>
        <v>3.5999999999999997E-2</v>
      </c>
      <c r="J26" s="15">
        <f>ROUND(G26/25170-1,2)</f>
        <v>0.02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34880</v>
      </c>
      <c r="F27" s="10"/>
      <c r="G27" s="10">
        <f t="shared" si="0"/>
        <v>34880</v>
      </c>
      <c r="H27" s="16">
        <f t="shared" si="1"/>
        <v>18.13</v>
      </c>
      <c r="I27" s="15">
        <f t="shared" si="2"/>
        <v>0.05</v>
      </c>
      <c r="J27" s="15">
        <f>ROUND(G27/32860-1,2)</f>
        <v>0.06</v>
      </c>
    </row>
    <row r="28" spans="1:10" x14ac:dyDescent="0.25">
      <c r="A28" s="1" t="s">
        <v>16</v>
      </c>
      <c r="B28" s="1" t="s">
        <v>34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ROUND(G28/1500-1,2)</f>
        <v>-1</v>
      </c>
    </row>
    <row r="29" spans="1:10" x14ac:dyDescent="0.25">
      <c r="A29" s="1" t="s">
        <v>16</v>
      </c>
      <c r="B29" s="1" t="s">
        <v>36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ROUND(G29/3881-1,2)</f>
        <v>-1</v>
      </c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ROUND(G31/169600-1,2)</f>
        <v>-1</v>
      </c>
    </row>
    <row r="32" spans="1:10" x14ac:dyDescent="0.25">
      <c r="A32" s="1" t="s">
        <v>16</v>
      </c>
      <c r="B32" s="1" t="s">
        <v>17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ROUND(G32/60-1,2)</f>
        <v>-1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90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137530</v>
      </c>
      <c r="D35" s="10">
        <v>1125</v>
      </c>
      <c r="E35" s="10"/>
      <c r="F35" s="10"/>
      <c r="G35" s="10">
        <f t="shared" si="0"/>
        <v>138655</v>
      </c>
      <c r="H35" s="16">
        <f t="shared" si="1"/>
        <v>72.069999999999993</v>
      </c>
      <c r="I35" s="15">
        <f t="shared" si="2"/>
        <v>0.19700000000000001</v>
      </c>
      <c r="J35" s="15">
        <f>ROUND(G35/138150-1,2)</f>
        <v>0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45320</v>
      </c>
      <c r="F36" s="10"/>
      <c r="G36" s="10">
        <f t="shared" si="0"/>
        <v>45320</v>
      </c>
      <c r="H36" s="16">
        <f t="shared" si="1"/>
        <v>23.56</v>
      </c>
      <c r="I36" s="15">
        <f t="shared" si="2"/>
        <v>6.4000000000000001E-2</v>
      </c>
      <c r="J36" s="15">
        <f>ROUND(G36/52400-1,2)</f>
        <v>-0.14000000000000001</v>
      </c>
    </row>
    <row r="37" spans="1:10" x14ac:dyDescent="0.25">
      <c r="A37" s="25" t="s">
        <v>12</v>
      </c>
      <c r="B37" s="25"/>
      <c r="C37" s="11">
        <f t="shared" ref="C37:H37" si="3">SUM(C8:C36)</f>
        <v>527765</v>
      </c>
      <c r="D37" s="11">
        <f t="shared" si="3"/>
        <v>1272</v>
      </c>
      <c r="E37" s="11">
        <f t="shared" si="3"/>
        <v>170267</v>
      </c>
      <c r="F37" s="11">
        <f t="shared" si="3"/>
        <v>5160</v>
      </c>
      <c r="G37" s="11">
        <f t="shared" si="3"/>
        <v>704464</v>
      </c>
      <c r="H37" s="14">
        <f t="shared" si="3"/>
        <v>366.14000000000004</v>
      </c>
      <c r="I37" s="17"/>
      <c r="J37" s="17"/>
    </row>
    <row r="38" spans="1:10" x14ac:dyDescent="0.25">
      <c r="A38" s="25" t="s">
        <v>14</v>
      </c>
      <c r="B38" s="25"/>
      <c r="C38" s="12">
        <f>ROUND(C37/G37,2)</f>
        <v>0.75</v>
      </c>
      <c r="D38" s="12">
        <f>ROUND(D37/G37,2)</f>
        <v>0</v>
      </c>
      <c r="E38" s="12">
        <f>ROUND(E37/G37,2)</f>
        <v>0.24</v>
      </c>
      <c r="F38" s="12">
        <f>ROUND(F37/G37,2)</f>
        <v>0.01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5" t="s">
        <v>53</v>
      </c>
      <c r="B43" s="25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0" t="s">
        <v>54</v>
      </c>
      <c r="B44" s="20"/>
      <c r="C44" s="10">
        <v>390235</v>
      </c>
      <c r="D44" s="10">
        <v>147</v>
      </c>
      <c r="E44" s="10">
        <v>124947</v>
      </c>
      <c r="F44" s="10">
        <v>5160</v>
      </c>
      <c r="G44" s="10">
        <f>SUM(C44:F44)</f>
        <v>520489</v>
      </c>
      <c r="H44" s="16">
        <f>ROUND(G44/1924,2)</f>
        <v>270.52</v>
      </c>
      <c r="I44" s="9"/>
      <c r="J44" s="9"/>
    </row>
    <row r="45" spans="1:10" x14ac:dyDescent="0.25">
      <c r="A45" s="20" t="s">
        <v>55</v>
      </c>
      <c r="B45" s="20"/>
      <c r="C45" s="10">
        <v>137530</v>
      </c>
      <c r="D45" s="10">
        <v>1125</v>
      </c>
      <c r="E45" s="10">
        <v>45320</v>
      </c>
      <c r="F45" s="10">
        <v>0</v>
      </c>
      <c r="G45" s="10">
        <f>SUM(C45:F45)</f>
        <v>183975</v>
      </c>
      <c r="H45" s="16">
        <f>ROUND(G45/1924,2)</f>
        <v>95.62</v>
      </c>
      <c r="I45" s="9"/>
      <c r="J45" s="9"/>
    </row>
    <row r="46" spans="1:10" x14ac:dyDescent="0.25">
      <c r="A46" s="20" t="s">
        <v>56</v>
      </c>
      <c r="B46" s="20"/>
      <c r="C46" s="10"/>
      <c r="D46" s="10"/>
      <c r="E46" s="10"/>
      <c r="F46" s="10"/>
      <c r="G46" s="10">
        <f>SUM(C46:F46)</f>
        <v>0</v>
      </c>
      <c r="H46" s="16">
        <f>ROUND(G46/1924,2)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5" t="s">
        <v>57</v>
      </c>
      <c r="B51" s="25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0" t="s">
        <v>58</v>
      </c>
      <c r="B52" s="20"/>
      <c r="C52" s="15">
        <f>ROUND(0.7956, 4)</f>
        <v>0.79559999999999997</v>
      </c>
      <c r="D52" s="15">
        <f>ROUND(0.792, 4)</f>
        <v>0.79200000000000004</v>
      </c>
      <c r="E52" s="15">
        <f>ROUND(0.777, 4)</f>
        <v>0.77700000000000002</v>
      </c>
      <c r="F52" s="8"/>
      <c r="G52" s="14" t="s">
        <v>62</v>
      </c>
      <c r="H52" s="26" t="s">
        <v>63</v>
      </c>
      <c r="I52" s="23" t="s">
        <v>64</v>
      </c>
      <c r="J52" s="23" t="s">
        <v>65</v>
      </c>
    </row>
    <row r="53" spans="1:10" x14ac:dyDescent="0.25">
      <c r="A53" s="20" t="s">
        <v>66</v>
      </c>
      <c r="B53" s="20"/>
      <c r="C53" s="15">
        <f>ROUND(0.784, 4)</f>
        <v>0.78400000000000003</v>
      </c>
      <c r="D53" s="15">
        <f>ROUND(0.7807, 4)</f>
        <v>0.78069999999999995</v>
      </c>
      <c r="E53" s="15">
        <f>ROUND(0.7608, 4)</f>
        <v>0.76080000000000003</v>
      </c>
      <c r="F53" s="8"/>
      <c r="G53" s="14" t="s">
        <v>67</v>
      </c>
      <c r="H53" s="27"/>
      <c r="I53" s="24"/>
      <c r="J53" s="24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5" t="s">
        <v>68</v>
      </c>
      <c r="B57" s="25"/>
      <c r="C57" s="14" t="s">
        <v>2</v>
      </c>
      <c r="D57" s="14" t="s">
        <v>345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0" t="s">
        <v>73</v>
      </c>
      <c r="B58" s="20"/>
      <c r="C58" s="16">
        <v>72.069999999999993</v>
      </c>
      <c r="D58" s="16">
        <v>83.59</v>
      </c>
      <c r="E58" s="16">
        <v>91.13</v>
      </c>
      <c r="F58" s="16">
        <v>54.95</v>
      </c>
      <c r="G58" s="16">
        <f>12/10*C58</f>
        <v>86.483999999999995</v>
      </c>
      <c r="H58" s="8"/>
      <c r="I58" s="9"/>
      <c r="J58" s="9"/>
    </row>
    <row r="59" spans="1:10" x14ac:dyDescent="0.25">
      <c r="A59" s="20" t="s">
        <v>74</v>
      </c>
      <c r="B59" s="20"/>
      <c r="C59" s="16">
        <v>77.23</v>
      </c>
      <c r="D59" s="16">
        <v>82.95</v>
      </c>
      <c r="E59" s="16">
        <v>61.18</v>
      </c>
      <c r="F59" s="16">
        <v>62.89</v>
      </c>
      <c r="G59" s="16">
        <f>12/10*C59</f>
        <v>92.676000000000002</v>
      </c>
      <c r="H59" s="8"/>
      <c r="I59" s="9"/>
      <c r="J59" s="9"/>
    </row>
    <row r="60" spans="1:10" x14ac:dyDescent="0.25">
      <c r="A60" s="20" t="s">
        <v>75</v>
      </c>
      <c r="B60" s="20"/>
      <c r="C60" s="16">
        <v>270.52</v>
      </c>
      <c r="D60" s="16">
        <v>405.23</v>
      </c>
      <c r="E60" s="16">
        <v>287.25</v>
      </c>
      <c r="F60" s="16">
        <v>278.91000000000003</v>
      </c>
      <c r="G60" s="16">
        <f>12/10*C60</f>
        <v>324.62399999999997</v>
      </c>
      <c r="H60" s="8"/>
      <c r="I60" s="9"/>
      <c r="J60" s="9"/>
    </row>
    <row r="61" spans="1:10" x14ac:dyDescent="0.25">
      <c r="A61" s="20" t="s">
        <v>76</v>
      </c>
      <c r="B61" s="20"/>
      <c r="C61" s="16">
        <v>95.62</v>
      </c>
      <c r="D61" s="16">
        <v>115.42</v>
      </c>
      <c r="E61" s="16">
        <v>114.69</v>
      </c>
      <c r="F61" s="16">
        <v>78.319999999999993</v>
      </c>
      <c r="G61" s="16">
        <f>12/10*C61</f>
        <v>114.744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1" t="s">
        <v>60</v>
      </c>
      <c r="B64" s="22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346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4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846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29</v>
      </c>
      <c r="F9" s="10"/>
      <c r="G9" s="10">
        <f t="shared" ref="G9:G39" si="0">SUM(C9:F9)</f>
        <v>29</v>
      </c>
      <c r="H9" s="16">
        <f t="shared" ref="H9:H39" si="1">ROUND(G9/846,2)</f>
        <v>0.03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3045</v>
      </c>
      <c r="F10" s="10"/>
      <c r="G10" s="10">
        <f t="shared" si="0"/>
        <v>3045</v>
      </c>
      <c r="H10" s="16">
        <f t="shared" si="1"/>
        <v>3.6</v>
      </c>
      <c r="I10" s="15">
        <f t="shared" si="2"/>
        <v>8.9999999999999993E-3</v>
      </c>
      <c r="J10" s="15"/>
    </row>
    <row r="11" spans="1:10" x14ac:dyDescent="0.25">
      <c r="A11" s="1" t="s">
        <v>16</v>
      </c>
      <c r="B11" s="1" t="s">
        <v>19</v>
      </c>
      <c r="C11" s="10">
        <v>27720</v>
      </c>
      <c r="D11" s="10"/>
      <c r="E11" s="10">
        <v>5269</v>
      </c>
      <c r="F11" s="10"/>
      <c r="G11" s="10">
        <f t="shared" si="0"/>
        <v>32989</v>
      </c>
      <c r="H11" s="16">
        <f t="shared" si="1"/>
        <v>38.99</v>
      </c>
      <c r="I11" s="15">
        <f t="shared" si="2"/>
        <v>0.1</v>
      </c>
      <c r="J11" s="15">
        <f>ROUND(G11/27038.71-1,2)</f>
        <v>0.22</v>
      </c>
    </row>
    <row r="12" spans="1:10" x14ac:dyDescent="0.25">
      <c r="A12" s="1" t="s">
        <v>16</v>
      </c>
      <c r="B12" s="1" t="s">
        <v>20</v>
      </c>
      <c r="C12" s="10">
        <v>37205</v>
      </c>
      <c r="D12" s="10"/>
      <c r="E12" s="10"/>
      <c r="F12" s="10"/>
      <c r="G12" s="10">
        <f t="shared" si="0"/>
        <v>37205</v>
      </c>
      <c r="H12" s="16">
        <f t="shared" si="1"/>
        <v>43.98</v>
      </c>
      <c r="I12" s="15">
        <f t="shared" si="2"/>
        <v>0.113</v>
      </c>
      <c r="J12" s="15">
        <f>ROUND(G12/35485-1,2)</f>
        <v>0.05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81</v>
      </c>
      <c r="F13" s="10"/>
      <c r="G13" s="10">
        <f t="shared" si="0"/>
        <v>81</v>
      </c>
      <c r="H13" s="16">
        <f t="shared" si="1"/>
        <v>0.1</v>
      </c>
      <c r="I13" s="15">
        <f t="shared" si="2"/>
        <v>0</v>
      </c>
      <c r="J13" s="15">
        <f>ROUND(G13/25.96-1,2)</f>
        <v>2.12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517</v>
      </c>
      <c r="F14" s="10"/>
      <c r="G14" s="10">
        <f t="shared" si="0"/>
        <v>517</v>
      </c>
      <c r="H14" s="16">
        <f t="shared" si="1"/>
        <v>0.61</v>
      </c>
      <c r="I14" s="15">
        <f t="shared" si="2"/>
        <v>2E-3</v>
      </c>
      <c r="J14" s="15">
        <f>ROUND(G14/312.5-1,2)</f>
        <v>0.65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23134</v>
      </c>
      <c r="F15" s="10"/>
      <c r="G15" s="10">
        <f t="shared" si="0"/>
        <v>23134</v>
      </c>
      <c r="H15" s="16">
        <f t="shared" si="1"/>
        <v>27.35</v>
      </c>
      <c r="I15" s="15">
        <f t="shared" si="2"/>
        <v>7.0000000000000007E-2</v>
      </c>
      <c r="J15" s="15">
        <f>ROUND(G15/10047.45-1,2)</f>
        <v>1.3</v>
      </c>
    </row>
    <row r="16" spans="1:10" x14ac:dyDescent="0.25">
      <c r="A16" s="1" t="s">
        <v>16</v>
      </c>
      <c r="B16" s="1" t="s">
        <v>24</v>
      </c>
      <c r="C16" s="10">
        <v>26690</v>
      </c>
      <c r="D16" s="10"/>
      <c r="E16" s="10">
        <v>15002</v>
      </c>
      <c r="F16" s="10"/>
      <c r="G16" s="10">
        <f t="shared" si="0"/>
        <v>41692</v>
      </c>
      <c r="H16" s="16">
        <f t="shared" si="1"/>
        <v>49.28</v>
      </c>
      <c r="I16" s="15">
        <f t="shared" si="2"/>
        <v>0.127</v>
      </c>
      <c r="J16" s="15">
        <f>ROUND(G16/28739.57-1,2)</f>
        <v>0.45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1462</v>
      </c>
      <c r="F17" s="10"/>
      <c r="G17" s="10">
        <f t="shared" si="0"/>
        <v>1462</v>
      </c>
      <c r="H17" s="16">
        <f t="shared" si="1"/>
        <v>1.73</v>
      </c>
      <c r="I17" s="15">
        <f t="shared" si="2"/>
        <v>4.0000000000000001E-3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41010</v>
      </c>
      <c r="D18" s="10"/>
      <c r="E18" s="10"/>
      <c r="F18" s="10"/>
      <c r="G18" s="10">
        <f t="shared" si="0"/>
        <v>41010</v>
      </c>
      <c r="H18" s="16">
        <f t="shared" si="1"/>
        <v>48.48</v>
      </c>
      <c r="I18" s="15">
        <f t="shared" si="2"/>
        <v>0.124</v>
      </c>
      <c r="J18" s="15">
        <f>ROUND(G18/36210-1,2)</f>
        <v>0.13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179</v>
      </c>
      <c r="F19" s="10"/>
      <c r="G19" s="10">
        <f t="shared" si="0"/>
        <v>179</v>
      </c>
      <c r="H19" s="16">
        <f t="shared" si="1"/>
        <v>0.21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85</v>
      </c>
      <c r="F20" s="10"/>
      <c r="G20" s="10">
        <f t="shared" si="0"/>
        <v>85</v>
      </c>
      <c r="H20" s="16">
        <f t="shared" si="1"/>
        <v>0.1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431</v>
      </c>
      <c r="F21" s="10"/>
      <c r="G21" s="10">
        <f t="shared" si="0"/>
        <v>431</v>
      </c>
      <c r="H21" s="16">
        <f t="shared" si="1"/>
        <v>0.51</v>
      </c>
      <c r="I21" s="15">
        <f t="shared" si="2"/>
        <v>1E-3</v>
      </c>
      <c r="J21" s="15">
        <f>ROUND(G21/859.52-1,2)</f>
        <v>-0.5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325</v>
      </c>
      <c r="F22" s="10"/>
      <c r="G22" s="10">
        <f t="shared" si="0"/>
        <v>325</v>
      </c>
      <c r="H22" s="16">
        <f t="shared" si="1"/>
        <v>0.38</v>
      </c>
      <c r="I22" s="15">
        <f t="shared" si="2"/>
        <v>1E-3</v>
      </c>
      <c r="J22" s="15">
        <f>ROUND(G22/192.07-1,2)</f>
        <v>0.69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101</v>
      </c>
      <c r="F23" s="10"/>
      <c r="G23" s="10">
        <f t="shared" si="0"/>
        <v>101</v>
      </c>
      <c r="H23" s="16">
        <f t="shared" si="1"/>
        <v>0.12</v>
      </c>
      <c r="I23" s="15">
        <f t="shared" si="2"/>
        <v>0</v>
      </c>
      <c r="J23" s="15">
        <f>ROUND(G23/27.47-1,2)</f>
        <v>2.68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347</v>
      </c>
      <c r="F24" s="10"/>
      <c r="G24" s="10">
        <f t="shared" si="0"/>
        <v>347</v>
      </c>
      <c r="H24" s="16">
        <f t="shared" si="1"/>
        <v>0.41</v>
      </c>
      <c r="I24" s="15">
        <f t="shared" si="2"/>
        <v>1E-3</v>
      </c>
      <c r="J24" s="15">
        <f>ROUND(G24/159.37-1,2)</f>
        <v>1.18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120</v>
      </c>
      <c r="F25" s="10"/>
      <c r="G25" s="10">
        <f t="shared" si="0"/>
        <v>120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445</v>
      </c>
      <c r="F26" s="10"/>
      <c r="G26" s="10">
        <f t="shared" si="0"/>
        <v>445</v>
      </c>
      <c r="H26" s="16">
        <f t="shared" si="1"/>
        <v>0.53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169</v>
      </c>
      <c r="F27" s="10"/>
      <c r="G27" s="10">
        <f t="shared" si="0"/>
        <v>169</v>
      </c>
      <c r="H27" s="16">
        <f t="shared" si="1"/>
        <v>0.2</v>
      </c>
      <c r="I27" s="15">
        <f t="shared" si="2"/>
        <v>1E-3</v>
      </c>
      <c r="J27" s="15">
        <f>ROUND(G27/41.33-1,2)</f>
        <v>3.09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95</v>
      </c>
      <c r="F28" s="10"/>
      <c r="G28" s="10">
        <f t="shared" si="0"/>
        <v>95</v>
      </c>
      <c r="H28" s="16">
        <f t="shared" si="1"/>
        <v>0.11</v>
      </c>
      <c r="I28" s="15">
        <f t="shared" si="2"/>
        <v>0</v>
      </c>
      <c r="J28" s="15">
        <f>ROUND(G28/178.68-1,2)</f>
        <v>-0.47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25615</v>
      </c>
      <c r="F29" s="10"/>
      <c r="G29" s="10">
        <f t="shared" si="0"/>
        <v>25615</v>
      </c>
      <c r="H29" s="16">
        <f t="shared" si="1"/>
        <v>30.28</v>
      </c>
      <c r="I29" s="15">
        <f t="shared" si="2"/>
        <v>7.8E-2</v>
      </c>
      <c r="J29" s="15">
        <f>ROUND(G29/9793.4-1,2)</f>
        <v>1.62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2247</v>
      </c>
      <c r="F30" s="10"/>
      <c r="G30" s="10">
        <f t="shared" si="0"/>
        <v>2247</v>
      </c>
      <c r="H30" s="16">
        <f t="shared" si="1"/>
        <v>2.66</v>
      </c>
      <c r="I30" s="15">
        <f t="shared" si="2"/>
        <v>7.0000000000000001E-3</v>
      </c>
      <c r="J30" s="15">
        <f>ROUND(G30/1159.17-1,2)</f>
        <v>0.94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8630</v>
      </c>
      <c r="F31" s="10"/>
      <c r="G31" s="10">
        <f t="shared" si="0"/>
        <v>8630</v>
      </c>
      <c r="H31" s="16">
        <f t="shared" si="1"/>
        <v>10.199999999999999</v>
      </c>
      <c r="I31" s="15">
        <f t="shared" si="2"/>
        <v>2.5999999999999999E-2</v>
      </c>
      <c r="J31" s="15">
        <f>ROUND(G31/5100.66-1,2)</f>
        <v>0.69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17947</v>
      </c>
      <c r="F32" s="10"/>
      <c r="G32" s="10">
        <f t="shared" si="0"/>
        <v>17947</v>
      </c>
      <c r="H32" s="16">
        <f t="shared" si="1"/>
        <v>21.21</v>
      </c>
      <c r="I32" s="15">
        <f t="shared" si="2"/>
        <v>5.3999999999999999E-2</v>
      </c>
      <c r="J32" s="15">
        <f>ROUND(G32/3112.9-1,2)</f>
        <v>4.7699999999999996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ROUND(G33/22.79-1,2)</f>
        <v>-1</v>
      </c>
    </row>
    <row r="34" spans="1:10" x14ac:dyDescent="0.25">
      <c r="A34" s="1" t="s">
        <v>16</v>
      </c>
      <c r="B34" s="1" t="s">
        <v>37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ROUND(G34/1204.68-1,2)</f>
        <v>-1</v>
      </c>
    </row>
    <row r="35" spans="1:10" x14ac:dyDescent="0.25">
      <c r="A35" s="1" t="s">
        <v>44</v>
      </c>
      <c r="B35" s="1" t="s">
        <v>45</v>
      </c>
      <c r="C35" s="10">
        <v>72150</v>
      </c>
      <c r="D35" s="10"/>
      <c r="E35" s="10"/>
      <c r="F35" s="10"/>
      <c r="G35" s="10">
        <f t="shared" si="0"/>
        <v>72150</v>
      </c>
      <c r="H35" s="16">
        <f t="shared" si="1"/>
        <v>85.28</v>
      </c>
      <c r="I35" s="15">
        <f t="shared" si="2"/>
        <v>0.219</v>
      </c>
      <c r="J35" s="15">
        <f>ROUND(G35/64250-1,2)</f>
        <v>0.12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19436</v>
      </c>
      <c r="F36" s="10"/>
      <c r="G36" s="10">
        <f t="shared" si="0"/>
        <v>19436</v>
      </c>
      <c r="H36" s="16">
        <f t="shared" si="1"/>
        <v>22.97</v>
      </c>
      <c r="I36" s="15">
        <f t="shared" si="2"/>
        <v>5.8999999999999997E-2</v>
      </c>
      <c r="J36" s="15">
        <f>ROUND(G36/9159.01-1,2)</f>
        <v>1.1200000000000001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ROUND(G38/2-1,2)</f>
        <v>-1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5" t="s">
        <v>12</v>
      </c>
      <c r="B40" s="25"/>
      <c r="C40" s="11">
        <f t="shared" ref="C40:H40" si="3">SUM(C8:C39)</f>
        <v>204775</v>
      </c>
      <c r="D40" s="11">
        <f t="shared" si="3"/>
        <v>0</v>
      </c>
      <c r="E40" s="11">
        <f t="shared" si="3"/>
        <v>124711</v>
      </c>
      <c r="F40" s="11">
        <f t="shared" si="3"/>
        <v>0</v>
      </c>
      <c r="G40" s="11">
        <f t="shared" si="3"/>
        <v>329486</v>
      </c>
      <c r="H40" s="14">
        <f t="shared" si="3"/>
        <v>389.45999999999992</v>
      </c>
      <c r="I40" s="17"/>
      <c r="J40" s="17"/>
    </row>
    <row r="41" spans="1:10" x14ac:dyDescent="0.25">
      <c r="A41" s="25" t="s">
        <v>14</v>
      </c>
      <c r="B41" s="25"/>
      <c r="C41" s="12">
        <f>ROUND(C40/G40,2)</f>
        <v>0.62</v>
      </c>
      <c r="D41" s="12">
        <f>ROUND(D40/G40,2)</f>
        <v>0</v>
      </c>
      <c r="E41" s="12">
        <f>ROUND(E40/G40,2)</f>
        <v>0.38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5" t="s">
        <v>53</v>
      </c>
      <c r="B46" s="25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0" t="s">
        <v>54</v>
      </c>
      <c r="B47" s="20"/>
      <c r="C47" s="10">
        <v>132625</v>
      </c>
      <c r="D47" s="10">
        <v>0</v>
      </c>
      <c r="E47" s="10">
        <v>105275</v>
      </c>
      <c r="F47" s="10">
        <v>0</v>
      </c>
      <c r="G47" s="10">
        <f>SUM(C47:F47)</f>
        <v>237900</v>
      </c>
      <c r="H47" s="16">
        <f>ROUND(G47/846,2)</f>
        <v>281.20999999999998</v>
      </c>
      <c r="I47" s="9"/>
      <c r="J47" s="9"/>
    </row>
    <row r="48" spans="1:10" x14ac:dyDescent="0.25">
      <c r="A48" s="20" t="s">
        <v>55</v>
      </c>
      <c r="B48" s="20"/>
      <c r="C48" s="10">
        <v>72150</v>
      </c>
      <c r="D48" s="10">
        <v>0</v>
      </c>
      <c r="E48" s="10">
        <v>19436</v>
      </c>
      <c r="F48" s="10">
        <v>0</v>
      </c>
      <c r="G48" s="10">
        <f>SUM(C48:F48)</f>
        <v>91586</v>
      </c>
      <c r="H48" s="16">
        <f>ROUND(G48/846,2)</f>
        <v>108.26</v>
      </c>
      <c r="I48" s="9"/>
      <c r="J48" s="9"/>
    </row>
    <row r="49" spans="1:10" x14ac:dyDescent="0.25">
      <c r="A49" s="20" t="s">
        <v>56</v>
      </c>
      <c r="B49" s="20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ROUND(G49/846,2)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5" t="s">
        <v>57</v>
      </c>
      <c r="B54" s="25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0" t="s">
        <v>58</v>
      </c>
      <c r="B55" s="20"/>
      <c r="C55" s="15">
        <f>ROUND(0.7572, 4)</f>
        <v>0.75719999999999998</v>
      </c>
      <c r="D55" s="15">
        <f>ROUND(0.6935, 4)</f>
        <v>0.69350000000000001</v>
      </c>
      <c r="E55" s="15">
        <f>ROUND(0.777, 4)</f>
        <v>0.77700000000000002</v>
      </c>
      <c r="F55" s="8"/>
      <c r="G55" s="14" t="s">
        <v>62</v>
      </c>
      <c r="H55" s="26" t="s">
        <v>63</v>
      </c>
      <c r="I55" s="23" t="s">
        <v>64</v>
      </c>
      <c r="J55" s="23" t="s">
        <v>65</v>
      </c>
    </row>
    <row r="56" spans="1:10" x14ac:dyDescent="0.25">
      <c r="A56" s="20" t="s">
        <v>66</v>
      </c>
      <c r="B56" s="20"/>
      <c r="C56" s="15">
        <f>ROUND(0.7171, 4)</f>
        <v>0.71709999999999996</v>
      </c>
      <c r="D56" s="15">
        <f>ROUND(0.6485, 4)</f>
        <v>0.64849999999999997</v>
      </c>
      <c r="E56" s="15">
        <f>ROUND(0.7608, 4)</f>
        <v>0.76080000000000003</v>
      </c>
      <c r="F56" s="8"/>
      <c r="G56" s="14" t="s">
        <v>67</v>
      </c>
      <c r="H56" s="27"/>
      <c r="I56" s="24"/>
      <c r="J56" s="24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5" t="s">
        <v>68</v>
      </c>
      <c r="B60" s="25"/>
      <c r="C60" s="14" t="s">
        <v>2</v>
      </c>
      <c r="D60" s="14" t="s">
        <v>348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0" t="s">
        <v>73</v>
      </c>
      <c r="B61" s="20"/>
      <c r="C61" s="16">
        <v>85.28</v>
      </c>
      <c r="D61" s="16">
        <v>87.77</v>
      </c>
      <c r="E61" s="16">
        <v>91.13</v>
      </c>
      <c r="F61" s="16">
        <v>54.95</v>
      </c>
      <c r="G61" s="16">
        <f>12/10*C61</f>
        <v>102.336</v>
      </c>
      <c r="H61" s="8"/>
      <c r="I61" s="9"/>
      <c r="J61" s="9"/>
    </row>
    <row r="62" spans="1:10" x14ac:dyDescent="0.25">
      <c r="A62" s="20" t="s">
        <v>74</v>
      </c>
      <c r="B62" s="20"/>
      <c r="C62" s="16">
        <v>48.48</v>
      </c>
      <c r="D62" s="16">
        <v>46.94</v>
      </c>
      <c r="E62" s="16">
        <v>61.18</v>
      </c>
      <c r="F62" s="16">
        <v>62.89</v>
      </c>
      <c r="G62" s="16">
        <f>12/10*C62</f>
        <v>58.175999999999995</v>
      </c>
      <c r="H62" s="8"/>
      <c r="I62" s="9"/>
      <c r="J62" s="9"/>
    </row>
    <row r="63" spans="1:10" x14ac:dyDescent="0.25">
      <c r="A63" s="20" t="s">
        <v>75</v>
      </c>
      <c r="B63" s="20"/>
      <c r="C63" s="16">
        <v>281.20999999999998</v>
      </c>
      <c r="D63" s="16">
        <v>258.07</v>
      </c>
      <c r="E63" s="16">
        <v>287.25</v>
      </c>
      <c r="F63" s="16">
        <v>278.91000000000003</v>
      </c>
      <c r="G63" s="16">
        <f>12/10*C63</f>
        <v>337.45199999999994</v>
      </c>
      <c r="H63" s="8"/>
      <c r="I63" s="9"/>
      <c r="J63" s="9"/>
    </row>
    <row r="64" spans="1:10" x14ac:dyDescent="0.25">
      <c r="A64" s="20" t="s">
        <v>76</v>
      </c>
      <c r="B64" s="20"/>
      <c r="C64" s="16">
        <v>108.26</v>
      </c>
      <c r="D64" s="16">
        <v>108.12</v>
      </c>
      <c r="E64" s="16">
        <v>114.69</v>
      </c>
      <c r="F64" s="16">
        <v>78.319999999999993</v>
      </c>
      <c r="G64" s="16">
        <f>12/10*C64</f>
        <v>129.91200000000001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1" t="s">
        <v>60</v>
      </c>
      <c r="B67" s="22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349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7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350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2127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46</v>
      </c>
      <c r="F9" s="10"/>
      <c r="G9" s="10">
        <f t="shared" ref="G9:G41" si="0">SUM(C9:F9)</f>
        <v>46</v>
      </c>
      <c r="H9" s="16">
        <f t="shared" ref="H9:H41" si="1">ROUND(G9/2127,2)</f>
        <v>0.02</v>
      </c>
      <c r="I9" s="15">
        <f t="shared" ref="I9:I41" si="2">ROUND(G9/$G$42,3)</f>
        <v>0</v>
      </c>
      <c r="J9" s="15">
        <f>ROUND(G9/155-1,2)</f>
        <v>-0.7</v>
      </c>
    </row>
    <row r="10" spans="1:10" x14ac:dyDescent="0.25">
      <c r="A10" s="1" t="s">
        <v>16</v>
      </c>
      <c r="B10" s="1" t="s">
        <v>19</v>
      </c>
      <c r="C10" s="10">
        <v>61390</v>
      </c>
      <c r="D10" s="10"/>
      <c r="E10" s="10">
        <v>8506</v>
      </c>
      <c r="F10" s="10">
        <v>380</v>
      </c>
      <c r="G10" s="10">
        <f t="shared" si="0"/>
        <v>70276</v>
      </c>
      <c r="H10" s="16">
        <f t="shared" si="1"/>
        <v>33.04</v>
      </c>
      <c r="I10" s="15">
        <f t="shared" si="2"/>
        <v>9.5000000000000001E-2</v>
      </c>
      <c r="J10" s="15">
        <f>ROUND(G10/85448.08-1,2)</f>
        <v>-0.18</v>
      </c>
    </row>
    <row r="11" spans="1:10" x14ac:dyDescent="0.25">
      <c r="A11" s="1" t="s">
        <v>16</v>
      </c>
      <c r="B11" s="1" t="s">
        <v>20</v>
      </c>
      <c r="C11" s="10">
        <v>84440</v>
      </c>
      <c r="D11" s="10"/>
      <c r="E11" s="10"/>
      <c r="F11" s="10"/>
      <c r="G11" s="10">
        <f t="shared" si="0"/>
        <v>84440</v>
      </c>
      <c r="H11" s="16">
        <f t="shared" si="1"/>
        <v>39.700000000000003</v>
      </c>
      <c r="I11" s="15">
        <f t="shared" si="2"/>
        <v>0.114</v>
      </c>
      <c r="J11" s="15">
        <f>ROUND(G11/82355-1,2)</f>
        <v>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190</v>
      </c>
      <c r="F12" s="10"/>
      <c r="G12" s="10">
        <f t="shared" si="0"/>
        <v>190</v>
      </c>
      <c r="H12" s="16">
        <f t="shared" si="1"/>
        <v>0.09</v>
      </c>
      <c r="I12" s="15">
        <f t="shared" si="2"/>
        <v>0</v>
      </c>
      <c r="J12" s="15">
        <f>ROUND(G12/455-1,2)</f>
        <v>-0.57999999999999996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2356</v>
      </c>
      <c r="F13" s="10"/>
      <c r="G13" s="10">
        <f t="shared" si="0"/>
        <v>2356</v>
      </c>
      <c r="H13" s="16">
        <f t="shared" si="1"/>
        <v>1.1100000000000001</v>
      </c>
      <c r="I13" s="15">
        <f t="shared" si="2"/>
        <v>3.0000000000000001E-3</v>
      </c>
      <c r="J13" s="15">
        <f>ROUND(G13/2100-1,2)</f>
        <v>0.12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53603</v>
      </c>
      <c r="F14" s="10"/>
      <c r="G14" s="10">
        <f t="shared" si="0"/>
        <v>53603</v>
      </c>
      <c r="H14" s="16">
        <f t="shared" si="1"/>
        <v>25.2</v>
      </c>
      <c r="I14" s="15">
        <f t="shared" si="2"/>
        <v>7.1999999999999995E-2</v>
      </c>
      <c r="J14" s="15">
        <f>ROUND(G14/106270.36-1,2)</f>
        <v>-0.5</v>
      </c>
    </row>
    <row r="15" spans="1:10" x14ac:dyDescent="0.25">
      <c r="A15" s="1" t="s">
        <v>16</v>
      </c>
      <c r="B15" s="1" t="s">
        <v>24</v>
      </c>
      <c r="C15" s="10">
        <v>70280</v>
      </c>
      <c r="D15" s="10"/>
      <c r="E15" s="10">
        <v>20896</v>
      </c>
      <c r="F15" s="10">
        <v>520</v>
      </c>
      <c r="G15" s="10">
        <f t="shared" si="0"/>
        <v>91696</v>
      </c>
      <c r="H15" s="16">
        <f t="shared" si="1"/>
        <v>43.11</v>
      </c>
      <c r="I15" s="15">
        <f t="shared" si="2"/>
        <v>0.124</v>
      </c>
      <c r="J15" s="15">
        <f>ROUND(G15/110952.45-1,2)</f>
        <v>-0.17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3445</v>
      </c>
      <c r="F16" s="10"/>
      <c r="G16" s="10">
        <f t="shared" si="0"/>
        <v>3445</v>
      </c>
      <c r="H16" s="16">
        <f t="shared" si="1"/>
        <v>1.62</v>
      </c>
      <c r="I16" s="15">
        <f t="shared" si="2"/>
        <v>5.0000000000000001E-3</v>
      </c>
      <c r="J16" s="15">
        <f>ROUND(G16/9270-1,2)</f>
        <v>-0.63</v>
      </c>
    </row>
    <row r="17" spans="1:10" x14ac:dyDescent="0.25">
      <c r="A17" s="1" t="s">
        <v>16</v>
      </c>
      <c r="B17" s="1" t="s">
        <v>26</v>
      </c>
      <c r="C17" s="10">
        <v>124480</v>
      </c>
      <c r="D17" s="10"/>
      <c r="E17" s="10"/>
      <c r="F17" s="10">
        <v>80</v>
      </c>
      <c r="G17" s="10">
        <f t="shared" si="0"/>
        <v>124560</v>
      </c>
      <c r="H17" s="16">
        <f t="shared" si="1"/>
        <v>58.56</v>
      </c>
      <c r="I17" s="15">
        <f t="shared" si="2"/>
        <v>0.16800000000000001</v>
      </c>
      <c r="J17" s="15">
        <f>ROUND(G17/105130-1,2)</f>
        <v>0.18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637</v>
      </c>
      <c r="F18" s="10"/>
      <c r="G18" s="10">
        <f t="shared" si="0"/>
        <v>637</v>
      </c>
      <c r="H18" s="16">
        <f t="shared" si="1"/>
        <v>0.3</v>
      </c>
      <c r="I18" s="15">
        <f t="shared" si="2"/>
        <v>1E-3</v>
      </c>
      <c r="J18" s="15">
        <f>ROUND(G18/1241-1,2)</f>
        <v>-0.49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418</v>
      </c>
      <c r="F19" s="10"/>
      <c r="G19" s="10">
        <f t="shared" si="0"/>
        <v>418</v>
      </c>
      <c r="H19" s="16">
        <f t="shared" si="1"/>
        <v>0.2</v>
      </c>
      <c r="I19" s="15">
        <f t="shared" si="2"/>
        <v>1E-3</v>
      </c>
      <c r="J19" s="15">
        <f>ROUND(G19/821-1,2)</f>
        <v>-0.49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70</v>
      </c>
      <c r="F20" s="10"/>
      <c r="G20" s="10">
        <f t="shared" si="0"/>
        <v>70</v>
      </c>
      <c r="H20" s="16">
        <f t="shared" si="1"/>
        <v>0.03</v>
      </c>
      <c r="I20" s="15">
        <f t="shared" si="2"/>
        <v>0</v>
      </c>
      <c r="J20" s="15">
        <f>ROUND(G20/171.31-1,2)</f>
        <v>-0.59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1624</v>
      </c>
      <c r="F21" s="10"/>
      <c r="G21" s="10">
        <f t="shared" si="0"/>
        <v>1624</v>
      </c>
      <c r="H21" s="16">
        <f t="shared" si="1"/>
        <v>0.76</v>
      </c>
      <c r="I21" s="15">
        <f t="shared" si="2"/>
        <v>2E-3</v>
      </c>
      <c r="J21" s="15">
        <f>ROUND(G21/6551.61-1,2)</f>
        <v>-0.75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386</v>
      </c>
      <c r="F22" s="10"/>
      <c r="G22" s="10">
        <f t="shared" si="0"/>
        <v>386</v>
      </c>
      <c r="H22" s="16">
        <f t="shared" si="1"/>
        <v>0.18</v>
      </c>
      <c r="I22" s="15">
        <f t="shared" si="2"/>
        <v>1E-3</v>
      </c>
      <c r="J22" s="15">
        <f>ROUND(G22/989-1,2)</f>
        <v>-0.61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447</v>
      </c>
      <c r="F23" s="10"/>
      <c r="G23" s="10">
        <f t="shared" si="0"/>
        <v>447</v>
      </c>
      <c r="H23" s="16">
        <f t="shared" si="1"/>
        <v>0.21</v>
      </c>
      <c r="I23" s="15">
        <f t="shared" si="2"/>
        <v>1E-3</v>
      </c>
      <c r="J23" s="15">
        <f>ROUND(G23/387.14-1,2)</f>
        <v>0.15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1284</v>
      </c>
      <c r="F24" s="10"/>
      <c r="G24" s="10">
        <f t="shared" si="0"/>
        <v>1284</v>
      </c>
      <c r="H24" s="16">
        <f t="shared" si="1"/>
        <v>0.6</v>
      </c>
      <c r="I24" s="15">
        <f t="shared" si="2"/>
        <v>2E-3</v>
      </c>
      <c r="J24" s="15">
        <f>ROUND(G24/2340-1,2)</f>
        <v>-0.45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179</v>
      </c>
      <c r="F25" s="10"/>
      <c r="G25" s="10">
        <f t="shared" si="0"/>
        <v>179</v>
      </c>
      <c r="H25" s="16">
        <f t="shared" si="1"/>
        <v>0.08</v>
      </c>
      <c r="I25" s="15">
        <f t="shared" si="2"/>
        <v>0</v>
      </c>
      <c r="J25" s="15">
        <f>ROUND(G25/986-1,2)</f>
        <v>-0.82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2920</v>
      </c>
      <c r="F26" s="10"/>
      <c r="G26" s="10">
        <f t="shared" si="0"/>
        <v>2920</v>
      </c>
      <c r="H26" s="16">
        <f t="shared" si="1"/>
        <v>1.37</v>
      </c>
      <c r="I26" s="15">
        <f t="shared" si="2"/>
        <v>4.0000000000000001E-3</v>
      </c>
      <c r="J26" s="15">
        <f>ROUND(G26/10511.43-1,2)</f>
        <v>-0.72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2884</v>
      </c>
      <c r="F27" s="10"/>
      <c r="G27" s="10">
        <f t="shared" si="0"/>
        <v>2884</v>
      </c>
      <c r="H27" s="16">
        <f t="shared" si="1"/>
        <v>1.36</v>
      </c>
      <c r="I27" s="15">
        <f t="shared" si="2"/>
        <v>4.0000000000000001E-3</v>
      </c>
      <c r="J27" s="15">
        <f>ROUND(G27/18400-1,2)</f>
        <v>-0.84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51409</v>
      </c>
      <c r="F28" s="10"/>
      <c r="G28" s="10">
        <f t="shared" si="0"/>
        <v>51409</v>
      </c>
      <c r="H28" s="16">
        <f t="shared" si="1"/>
        <v>24.17</v>
      </c>
      <c r="I28" s="15">
        <f t="shared" si="2"/>
        <v>6.9000000000000006E-2</v>
      </c>
      <c r="J28" s="15">
        <f>ROUND(G28/91178.87-1,2)</f>
        <v>-0.44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19051</v>
      </c>
      <c r="F29" s="10"/>
      <c r="G29" s="10">
        <f t="shared" si="0"/>
        <v>19051</v>
      </c>
      <c r="H29" s="16">
        <f t="shared" si="1"/>
        <v>8.9600000000000009</v>
      </c>
      <c r="I29" s="15">
        <f t="shared" si="2"/>
        <v>2.5999999999999999E-2</v>
      </c>
      <c r="J29" s="15">
        <f>ROUND(G29/35835.63-1,2)</f>
        <v>-0.47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36290</v>
      </c>
      <c r="F30" s="10"/>
      <c r="G30" s="10">
        <f t="shared" si="0"/>
        <v>36290</v>
      </c>
      <c r="H30" s="16">
        <f t="shared" si="1"/>
        <v>17.059999999999999</v>
      </c>
      <c r="I30" s="15">
        <f t="shared" si="2"/>
        <v>4.9000000000000002E-2</v>
      </c>
      <c r="J30" s="15">
        <f>ROUND(G30/74523.85-1,2)</f>
        <v>-0.51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ROUND(G31/4399.51-1,2)</f>
        <v>-1</v>
      </c>
    </row>
    <row r="32" spans="1:10" x14ac:dyDescent="0.25">
      <c r="A32" s="1" t="s">
        <v>16</v>
      </c>
      <c r="B32" s="1" t="s">
        <v>34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ROUND(G33/960-1,2)</f>
        <v>-1</v>
      </c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159680</v>
      </c>
      <c r="D35" s="10"/>
      <c r="E35" s="10"/>
      <c r="F35" s="10">
        <v>1680</v>
      </c>
      <c r="G35" s="10">
        <f t="shared" si="0"/>
        <v>161360</v>
      </c>
      <c r="H35" s="16">
        <f t="shared" si="1"/>
        <v>75.86</v>
      </c>
      <c r="I35" s="15">
        <f t="shared" si="2"/>
        <v>0.218</v>
      </c>
      <c r="J35" s="15">
        <f>ROUND(G35/147480-1,2)</f>
        <v>0.09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31383</v>
      </c>
      <c r="F36" s="10"/>
      <c r="G36" s="10">
        <f t="shared" si="0"/>
        <v>31383</v>
      </c>
      <c r="H36" s="16">
        <f t="shared" si="1"/>
        <v>14.75</v>
      </c>
      <c r="I36" s="15">
        <f t="shared" si="2"/>
        <v>4.2000000000000003E-2</v>
      </c>
      <c r="J36" s="15">
        <f>ROUND(G36/55522.44-1,2)</f>
        <v>-0.43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49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ROUND(G38/100-1,2)</f>
        <v>-1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ROUND(G39/343-1,2)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ROUND(G40/64-1,2)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5" t="s">
        <v>12</v>
      </c>
      <c r="B42" s="25"/>
      <c r="C42" s="11">
        <f t="shared" ref="C42:H42" si="3">SUM(C8:C41)</f>
        <v>500270</v>
      </c>
      <c r="D42" s="11">
        <f t="shared" si="3"/>
        <v>0</v>
      </c>
      <c r="E42" s="11">
        <f t="shared" si="3"/>
        <v>238024</v>
      </c>
      <c r="F42" s="11">
        <f t="shared" si="3"/>
        <v>2660</v>
      </c>
      <c r="G42" s="11">
        <f t="shared" si="3"/>
        <v>740954</v>
      </c>
      <c r="H42" s="14">
        <f t="shared" si="3"/>
        <v>348.34000000000003</v>
      </c>
      <c r="I42" s="17"/>
      <c r="J42" s="17"/>
    </row>
    <row r="43" spans="1:10" x14ac:dyDescent="0.25">
      <c r="A43" s="25" t="s">
        <v>14</v>
      </c>
      <c r="B43" s="25"/>
      <c r="C43" s="12">
        <f>ROUND(C42/G42,2)</f>
        <v>0.68</v>
      </c>
      <c r="D43" s="12">
        <f>ROUND(D42/G42,2)</f>
        <v>0</v>
      </c>
      <c r="E43" s="12">
        <f>ROUND(E42/G42,2)</f>
        <v>0.32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5" t="s">
        <v>53</v>
      </c>
      <c r="B48" s="25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0" t="s">
        <v>54</v>
      </c>
      <c r="B49" s="20"/>
      <c r="C49" s="10">
        <v>340590</v>
      </c>
      <c r="D49" s="10">
        <v>0</v>
      </c>
      <c r="E49" s="10">
        <v>206641</v>
      </c>
      <c r="F49" s="10">
        <v>980</v>
      </c>
      <c r="G49" s="10">
        <f>SUM(C49:F49)</f>
        <v>548211</v>
      </c>
      <c r="H49" s="16">
        <f>ROUND(G49/2127,2)</f>
        <v>257.74</v>
      </c>
      <c r="I49" s="9"/>
      <c r="J49" s="9"/>
    </row>
    <row r="50" spans="1:10" x14ac:dyDescent="0.25">
      <c r="A50" s="20" t="s">
        <v>55</v>
      </c>
      <c r="B50" s="20"/>
      <c r="C50" s="10">
        <v>159680</v>
      </c>
      <c r="D50" s="10">
        <v>0</v>
      </c>
      <c r="E50" s="10">
        <v>31383</v>
      </c>
      <c r="F50" s="10">
        <v>1680</v>
      </c>
      <c r="G50" s="10">
        <f>SUM(C50:F50)</f>
        <v>192743</v>
      </c>
      <c r="H50" s="16">
        <f>ROUND(G50/2127,2)</f>
        <v>90.62</v>
      </c>
      <c r="I50" s="9"/>
      <c r="J50" s="9"/>
    </row>
    <row r="51" spans="1:10" x14ac:dyDescent="0.25">
      <c r="A51" s="20" t="s">
        <v>56</v>
      </c>
      <c r="B51" s="20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ROUND(G51/2127,2)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5" t="s">
        <v>57</v>
      </c>
      <c r="B56" s="25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0" t="s">
        <v>58</v>
      </c>
      <c r="B57" s="20"/>
      <c r="C57" s="15">
        <f>ROUND(0.7617, 4)</f>
        <v>0.76170000000000004</v>
      </c>
      <c r="D57" s="15">
        <f>ROUND(0.8087, 4)</f>
        <v>0.80869999999999997</v>
      </c>
      <c r="E57" s="15">
        <f>ROUND(0.777, 4)</f>
        <v>0.77700000000000002</v>
      </c>
      <c r="F57" s="8"/>
      <c r="G57" s="14" t="s">
        <v>62</v>
      </c>
      <c r="H57" s="26" t="s">
        <v>63</v>
      </c>
      <c r="I57" s="23" t="s">
        <v>64</v>
      </c>
      <c r="J57" s="23" t="s">
        <v>65</v>
      </c>
    </row>
    <row r="58" spans="1:10" x14ac:dyDescent="0.25">
      <c r="A58" s="20" t="s">
        <v>66</v>
      </c>
      <c r="B58" s="20"/>
      <c r="C58" s="15">
        <f>ROUND(0.7235, 4)</f>
        <v>0.72350000000000003</v>
      </c>
      <c r="D58" s="15">
        <f>ROUND(0.772, 4)</f>
        <v>0.77200000000000002</v>
      </c>
      <c r="E58" s="15">
        <f>ROUND(0.7608, 4)</f>
        <v>0.76080000000000003</v>
      </c>
      <c r="F58" s="8"/>
      <c r="G58" s="14" t="s">
        <v>67</v>
      </c>
      <c r="H58" s="27"/>
      <c r="I58" s="24"/>
      <c r="J58" s="24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5" t="s">
        <v>68</v>
      </c>
      <c r="B62" s="25"/>
      <c r="C62" s="14" t="s">
        <v>2</v>
      </c>
      <c r="D62" s="14" t="s">
        <v>351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0" t="s">
        <v>73</v>
      </c>
      <c r="B63" s="20"/>
      <c r="C63" s="16">
        <v>75.86</v>
      </c>
      <c r="D63" s="16">
        <v>99.05</v>
      </c>
      <c r="E63" s="16">
        <v>91.13</v>
      </c>
      <c r="F63" s="16">
        <v>54.95</v>
      </c>
      <c r="G63" s="16">
        <f>12/10*C63</f>
        <v>91.031999999999996</v>
      </c>
      <c r="H63" s="8"/>
      <c r="I63" s="9"/>
      <c r="J63" s="9"/>
    </row>
    <row r="64" spans="1:10" x14ac:dyDescent="0.25">
      <c r="A64" s="20" t="s">
        <v>74</v>
      </c>
      <c r="B64" s="20"/>
      <c r="C64" s="16">
        <v>58.56</v>
      </c>
      <c r="D64" s="16">
        <v>61.9</v>
      </c>
      <c r="E64" s="16">
        <v>61.18</v>
      </c>
      <c r="F64" s="16">
        <v>62.89</v>
      </c>
      <c r="G64" s="16">
        <f>12/10*C64</f>
        <v>70.272000000000006</v>
      </c>
      <c r="H64" s="8"/>
      <c r="I64" s="9"/>
      <c r="J64" s="9"/>
    </row>
    <row r="65" spans="1:10" x14ac:dyDescent="0.25">
      <c r="A65" s="20" t="s">
        <v>75</v>
      </c>
      <c r="B65" s="20"/>
      <c r="C65" s="16">
        <v>257.74</v>
      </c>
      <c r="D65" s="16">
        <v>347.83</v>
      </c>
      <c r="E65" s="16">
        <v>287.25</v>
      </c>
      <c r="F65" s="16">
        <v>278.91000000000003</v>
      </c>
      <c r="G65" s="16">
        <f>12/10*C65</f>
        <v>309.28800000000001</v>
      </c>
      <c r="H65" s="8"/>
      <c r="I65" s="9"/>
      <c r="J65" s="9"/>
    </row>
    <row r="66" spans="1:10" x14ac:dyDescent="0.25">
      <c r="A66" s="20" t="s">
        <v>76</v>
      </c>
      <c r="B66" s="20"/>
      <c r="C66" s="16">
        <v>90.62</v>
      </c>
      <c r="D66" s="16">
        <v>125.82</v>
      </c>
      <c r="E66" s="16">
        <v>114.69</v>
      </c>
      <c r="F66" s="16">
        <v>78.319999999999993</v>
      </c>
      <c r="G66" s="16">
        <f>12/10*C66</f>
        <v>108.744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1" t="s">
        <v>60</v>
      </c>
      <c r="B69" s="22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352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6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4.5703125" customWidth="1"/>
    <col min="4" max="4" width="21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353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535</v>
      </c>
    </row>
    <row r="7" spans="1:10" x14ac:dyDescent="0.25">
      <c r="C7" s="21" t="s">
        <v>5</v>
      </c>
      <c r="D7" s="20"/>
      <c r="E7" s="20"/>
      <c r="F7" s="20"/>
      <c r="G7" s="20"/>
    </row>
    <row r="8" spans="1:10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4"/>
      <c r="D9" s="4"/>
      <c r="E9" s="4">
        <v>23</v>
      </c>
      <c r="F9" s="4"/>
      <c r="G9" s="4">
        <f t="shared" ref="G9:G37" si="0">SUM(C9:F9)</f>
        <v>23</v>
      </c>
      <c r="H9" s="1">
        <f t="shared" ref="H9:H37" si="1">ROUND(G9/535,2)</f>
        <v>0.04</v>
      </c>
      <c r="I9" s="1">
        <f t="shared" ref="I9:I37" si="2">ROUND(G9/$G$38,3)</f>
        <v>0</v>
      </c>
      <c r="J9" s="1"/>
    </row>
    <row r="10" spans="1:10" x14ac:dyDescent="0.25">
      <c r="A10" s="1" t="s">
        <v>16</v>
      </c>
      <c r="B10" s="1" t="s">
        <v>19</v>
      </c>
      <c r="C10" s="4">
        <v>18170</v>
      </c>
      <c r="D10" s="4"/>
      <c r="E10" s="4">
        <v>2991</v>
      </c>
      <c r="F10" s="4"/>
      <c r="G10" s="4">
        <f t="shared" si="0"/>
        <v>21161</v>
      </c>
      <c r="H10" s="1">
        <f t="shared" si="1"/>
        <v>39.549999999999997</v>
      </c>
      <c r="I10" s="1">
        <f t="shared" si="2"/>
        <v>0.11</v>
      </c>
      <c r="J10" s="1">
        <f>ROUND(G10/17419.33-1,2)</f>
        <v>0.21</v>
      </c>
    </row>
    <row r="11" spans="1:10" x14ac:dyDescent="0.25">
      <c r="A11" s="1" t="s">
        <v>16</v>
      </c>
      <c r="B11" s="1" t="s">
        <v>20</v>
      </c>
      <c r="C11" s="4">
        <v>20985</v>
      </c>
      <c r="D11" s="4"/>
      <c r="E11" s="4"/>
      <c r="F11" s="4"/>
      <c r="G11" s="4">
        <f t="shared" si="0"/>
        <v>20985</v>
      </c>
      <c r="H11" s="1">
        <f t="shared" si="1"/>
        <v>39.22</v>
      </c>
      <c r="I11" s="1">
        <f t="shared" si="2"/>
        <v>0.109</v>
      </c>
      <c r="J11" s="1">
        <f>ROUND(G11/21260-1,2)</f>
        <v>-0.01</v>
      </c>
    </row>
    <row r="12" spans="1:10" x14ac:dyDescent="0.25">
      <c r="A12" s="1" t="s">
        <v>16</v>
      </c>
      <c r="B12" s="1" t="s">
        <v>21</v>
      </c>
      <c r="C12" s="4"/>
      <c r="D12" s="4"/>
      <c r="E12" s="4">
        <v>53</v>
      </c>
      <c r="F12" s="4"/>
      <c r="G12" s="4">
        <f t="shared" si="0"/>
        <v>53</v>
      </c>
      <c r="H12" s="1">
        <f t="shared" si="1"/>
        <v>0.1</v>
      </c>
      <c r="I12" s="1">
        <f t="shared" si="2"/>
        <v>0</v>
      </c>
      <c r="J12" s="1">
        <f>ROUND(G12/18.34-1,2)</f>
        <v>1.89</v>
      </c>
    </row>
    <row r="13" spans="1:10" x14ac:dyDescent="0.25">
      <c r="A13" s="1" t="s">
        <v>16</v>
      </c>
      <c r="B13" s="1" t="s">
        <v>22</v>
      </c>
      <c r="C13" s="4"/>
      <c r="D13" s="4"/>
      <c r="E13" s="4">
        <v>499</v>
      </c>
      <c r="F13" s="4"/>
      <c r="G13" s="4">
        <f t="shared" si="0"/>
        <v>499</v>
      </c>
      <c r="H13" s="1">
        <f t="shared" si="1"/>
        <v>0.93</v>
      </c>
      <c r="I13" s="1">
        <f t="shared" si="2"/>
        <v>3.0000000000000001E-3</v>
      </c>
      <c r="J13" s="1">
        <f>ROUND(G13/62.5-1,2)</f>
        <v>6.98</v>
      </c>
    </row>
    <row r="14" spans="1:10" x14ac:dyDescent="0.25">
      <c r="A14" s="1" t="s">
        <v>16</v>
      </c>
      <c r="B14" s="1" t="s">
        <v>23</v>
      </c>
      <c r="C14" s="4"/>
      <c r="D14" s="4"/>
      <c r="E14" s="4">
        <v>18371</v>
      </c>
      <c r="F14" s="4"/>
      <c r="G14" s="4">
        <f t="shared" si="0"/>
        <v>18371</v>
      </c>
      <c r="H14" s="1">
        <f t="shared" si="1"/>
        <v>34.340000000000003</v>
      </c>
      <c r="I14" s="1">
        <f t="shared" si="2"/>
        <v>9.5000000000000001E-2</v>
      </c>
      <c r="J14" s="1">
        <f>ROUND(G14/9355.52-1,2)</f>
        <v>0.96</v>
      </c>
    </row>
    <row r="15" spans="1:10" x14ac:dyDescent="0.25">
      <c r="A15" s="1" t="s">
        <v>16</v>
      </c>
      <c r="B15" s="1" t="s">
        <v>24</v>
      </c>
      <c r="C15" s="4">
        <v>19790</v>
      </c>
      <c r="D15" s="4"/>
      <c r="E15" s="4">
        <v>5045</v>
      </c>
      <c r="F15" s="4"/>
      <c r="G15" s="4">
        <f t="shared" si="0"/>
        <v>24835</v>
      </c>
      <c r="H15" s="1">
        <f t="shared" si="1"/>
        <v>46.42</v>
      </c>
      <c r="I15" s="1">
        <f t="shared" si="2"/>
        <v>0.129</v>
      </c>
      <c r="J15" s="1">
        <f>ROUND(G15/19777.98-1,2)</f>
        <v>0.26</v>
      </c>
    </row>
    <row r="16" spans="1:10" x14ac:dyDescent="0.25">
      <c r="A16" s="1" t="s">
        <v>16</v>
      </c>
      <c r="B16" s="1" t="s">
        <v>25</v>
      </c>
      <c r="C16" s="4"/>
      <c r="D16" s="4"/>
      <c r="E16" s="4">
        <v>1300</v>
      </c>
      <c r="F16" s="4"/>
      <c r="G16" s="4">
        <f t="shared" si="0"/>
        <v>1300</v>
      </c>
      <c r="H16" s="1">
        <f t="shared" si="1"/>
        <v>2.4300000000000002</v>
      </c>
      <c r="I16" s="1">
        <f t="shared" si="2"/>
        <v>7.0000000000000001E-3</v>
      </c>
      <c r="J16" s="1"/>
    </row>
    <row r="17" spans="1:10" x14ac:dyDescent="0.25">
      <c r="A17" s="1" t="s">
        <v>16</v>
      </c>
      <c r="B17" s="1" t="s">
        <v>26</v>
      </c>
      <c r="C17" s="4">
        <v>14870</v>
      </c>
      <c r="D17" s="4"/>
      <c r="E17" s="4"/>
      <c r="F17" s="4"/>
      <c r="G17" s="4">
        <f t="shared" si="0"/>
        <v>14870</v>
      </c>
      <c r="H17" s="1">
        <f t="shared" si="1"/>
        <v>27.79</v>
      </c>
      <c r="I17" s="1">
        <f t="shared" si="2"/>
        <v>7.6999999999999999E-2</v>
      </c>
      <c r="J17" s="1">
        <f>ROUND(G17/17930-1,2)</f>
        <v>-0.17</v>
      </c>
    </row>
    <row r="18" spans="1:10" x14ac:dyDescent="0.25">
      <c r="A18" s="1" t="s">
        <v>16</v>
      </c>
      <c r="B18" s="1" t="s">
        <v>27</v>
      </c>
      <c r="C18" s="4"/>
      <c r="D18" s="4"/>
      <c r="E18" s="4">
        <v>151</v>
      </c>
      <c r="F18" s="4"/>
      <c r="G18" s="4">
        <f t="shared" si="0"/>
        <v>151</v>
      </c>
      <c r="H18" s="1">
        <f t="shared" si="1"/>
        <v>0.28000000000000003</v>
      </c>
      <c r="I18" s="1">
        <f t="shared" si="2"/>
        <v>1E-3</v>
      </c>
      <c r="J18" s="1"/>
    </row>
    <row r="19" spans="1:10" x14ac:dyDescent="0.25">
      <c r="A19" s="1" t="s">
        <v>16</v>
      </c>
      <c r="B19" s="1" t="s">
        <v>28</v>
      </c>
      <c r="C19" s="4"/>
      <c r="D19" s="4"/>
      <c r="E19" s="4">
        <v>101</v>
      </c>
      <c r="F19" s="4"/>
      <c r="G19" s="4">
        <f t="shared" si="0"/>
        <v>101</v>
      </c>
      <c r="H19" s="1">
        <f t="shared" si="1"/>
        <v>0.19</v>
      </c>
      <c r="I19" s="1">
        <f t="shared" si="2"/>
        <v>1E-3</v>
      </c>
      <c r="J19" s="1"/>
    </row>
    <row r="20" spans="1:10" x14ac:dyDescent="0.25">
      <c r="A20" s="1" t="s">
        <v>16</v>
      </c>
      <c r="B20" s="1" t="s">
        <v>29</v>
      </c>
      <c r="C20" s="4"/>
      <c r="D20" s="4"/>
      <c r="E20" s="4">
        <v>146</v>
      </c>
      <c r="F20" s="4"/>
      <c r="G20" s="4">
        <f t="shared" si="0"/>
        <v>146</v>
      </c>
      <c r="H20" s="1">
        <f t="shared" si="1"/>
        <v>0.27</v>
      </c>
      <c r="I20" s="1">
        <f t="shared" si="2"/>
        <v>1E-3</v>
      </c>
      <c r="J20" s="1">
        <f>ROUND(G20/95.45-1,2)</f>
        <v>0.53</v>
      </c>
    </row>
    <row r="21" spans="1:10" x14ac:dyDescent="0.25">
      <c r="A21" s="1" t="s">
        <v>16</v>
      </c>
      <c r="B21" s="1" t="s">
        <v>30</v>
      </c>
      <c r="C21" s="4"/>
      <c r="D21" s="4"/>
      <c r="E21" s="4">
        <v>190</v>
      </c>
      <c r="F21" s="4"/>
      <c r="G21" s="4">
        <f t="shared" si="0"/>
        <v>190</v>
      </c>
      <c r="H21" s="1">
        <f t="shared" si="1"/>
        <v>0.36</v>
      </c>
      <c r="I21" s="1">
        <f t="shared" si="2"/>
        <v>1E-3</v>
      </c>
      <c r="J21" s="1">
        <f>ROUND(G21/89.36-1,2)</f>
        <v>1.1299999999999999</v>
      </c>
    </row>
    <row r="22" spans="1:10" x14ac:dyDescent="0.25">
      <c r="A22" s="1" t="s">
        <v>16</v>
      </c>
      <c r="B22" s="1" t="s">
        <v>32</v>
      </c>
      <c r="C22" s="4"/>
      <c r="D22" s="4"/>
      <c r="E22" s="4">
        <v>370</v>
      </c>
      <c r="F22" s="4"/>
      <c r="G22" s="4">
        <f t="shared" si="0"/>
        <v>370</v>
      </c>
      <c r="H22" s="1">
        <f t="shared" si="1"/>
        <v>0.69</v>
      </c>
      <c r="I22" s="1">
        <f t="shared" si="2"/>
        <v>2E-3</v>
      </c>
      <c r="J22" s="1">
        <f>ROUND(G22/42.03-1,2)</f>
        <v>7.8</v>
      </c>
    </row>
    <row r="23" spans="1:10" x14ac:dyDescent="0.25">
      <c r="A23" s="1" t="s">
        <v>16</v>
      </c>
      <c r="B23" s="1" t="s">
        <v>33</v>
      </c>
      <c r="C23" s="4"/>
      <c r="D23" s="4"/>
      <c r="E23" s="4">
        <v>27</v>
      </c>
      <c r="F23" s="4"/>
      <c r="G23" s="4">
        <f t="shared" si="0"/>
        <v>27</v>
      </c>
      <c r="H23" s="1">
        <f t="shared" si="1"/>
        <v>0.05</v>
      </c>
      <c r="I23" s="1">
        <f t="shared" si="2"/>
        <v>0</v>
      </c>
      <c r="J23" s="1"/>
    </row>
    <row r="24" spans="1:10" x14ac:dyDescent="0.25">
      <c r="A24" s="1" t="s">
        <v>16</v>
      </c>
      <c r="B24" s="1" t="s">
        <v>35</v>
      </c>
      <c r="C24" s="4"/>
      <c r="D24" s="4"/>
      <c r="E24" s="4">
        <v>246</v>
      </c>
      <c r="F24" s="4"/>
      <c r="G24" s="4">
        <f t="shared" si="0"/>
        <v>246</v>
      </c>
      <c r="H24" s="1">
        <f t="shared" si="1"/>
        <v>0.46</v>
      </c>
      <c r="I24" s="1">
        <f t="shared" si="2"/>
        <v>1E-3</v>
      </c>
      <c r="J24" s="1">
        <f>ROUND(G24/73.75-1,2)</f>
        <v>2.34</v>
      </c>
    </row>
    <row r="25" spans="1:10" x14ac:dyDescent="0.25">
      <c r="A25" s="1" t="s">
        <v>16</v>
      </c>
      <c r="B25" s="1" t="s">
        <v>34</v>
      </c>
      <c r="C25" s="4"/>
      <c r="D25" s="4"/>
      <c r="E25" s="4">
        <v>12</v>
      </c>
      <c r="F25" s="4"/>
      <c r="G25" s="4">
        <f t="shared" si="0"/>
        <v>12</v>
      </c>
      <c r="H25" s="1">
        <f t="shared" si="1"/>
        <v>0.02</v>
      </c>
      <c r="I25" s="1">
        <f t="shared" si="2"/>
        <v>0</v>
      </c>
      <c r="J25" s="1"/>
    </row>
    <row r="26" spans="1:10" x14ac:dyDescent="0.25">
      <c r="A26" s="1" t="s">
        <v>16</v>
      </c>
      <c r="B26" s="1" t="s">
        <v>37</v>
      </c>
      <c r="C26" s="4"/>
      <c r="D26" s="4"/>
      <c r="E26" s="4">
        <v>651</v>
      </c>
      <c r="F26" s="4"/>
      <c r="G26" s="4">
        <f t="shared" si="0"/>
        <v>651</v>
      </c>
      <c r="H26" s="1">
        <f t="shared" si="1"/>
        <v>1.22</v>
      </c>
      <c r="I26" s="1">
        <f t="shared" si="2"/>
        <v>3.0000000000000001E-3</v>
      </c>
      <c r="J26" s="1">
        <f>ROUND(G26/50.31-1,2)</f>
        <v>11.94</v>
      </c>
    </row>
    <row r="27" spans="1:10" x14ac:dyDescent="0.25">
      <c r="A27" s="1" t="s">
        <v>16</v>
      </c>
      <c r="B27" s="1" t="s">
        <v>38</v>
      </c>
      <c r="C27" s="4"/>
      <c r="D27" s="4"/>
      <c r="E27" s="4">
        <v>13990</v>
      </c>
      <c r="F27" s="4"/>
      <c r="G27" s="4">
        <f t="shared" si="0"/>
        <v>13990</v>
      </c>
      <c r="H27" s="1">
        <f t="shared" si="1"/>
        <v>26.15</v>
      </c>
      <c r="I27" s="1">
        <f t="shared" si="2"/>
        <v>7.1999999999999995E-2</v>
      </c>
      <c r="J27" s="1">
        <f>ROUND(G27/6093.66-1,2)</f>
        <v>1.3</v>
      </c>
    </row>
    <row r="28" spans="1:10" x14ac:dyDescent="0.25">
      <c r="A28" s="1" t="s">
        <v>16</v>
      </c>
      <c r="B28" s="1" t="s">
        <v>40</v>
      </c>
      <c r="C28" s="4"/>
      <c r="D28" s="4"/>
      <c r="E28" s="4">
        <v>4862</v>
      </c>
      <c r="F28" s="4"/>
      <c r="G28" s="4">
        <f t="shared" si="0"/>
        <v>4862</v>
      </c>
      <c r="H28" s="1">
        <f t="shared" si="1"/>
        <v>9.09</v>
      </c>
      <c r="I28" s="1">
        <f t="shared" si="2"/>
        <v>2.5000000000000001E-2</v>
      </c>
      <c r="J28" s="1">
        <f>ROUND(G28/2099.21-1,2)</f>
        <v>1.32</v>
      </c>
    </row>
    <row r="29" spans="1:10" x14ac:dyDescent="0.25">
      <c r="A29" s="1" t="s">
        <v>16</v>
      </c>
      <c r="B29" s="1" t="s">
        <v>41</v>
      </c>
      <c r="C29" s="4"/>
      <c r="D29" s="4"/>
      <c r="E29" s="4">
        <v>5073</v>
      </c>
      <c r="F29" s="4"/>
      <c r="G29" s="4">
        <f t="shared" si="0"/>
        <v>5073</v>
      </c>
      <c r="H29" s="1">
        <f t="shared" si="1"/>
        <v>9.48</v>
      </c>
      <c r="I29" s="1">
        <f t="shared" si="2"/>
        <v>2.5999999999999999E-2</v>
      </c>
      <c r="J29" s="1">
        <f>ROUND(G29/2502.05-1,2)</f>
        <v>1.03</v>
      </c>
    </row>
    <row r="30" spans="1:10" x14ac:dyDescent="0.25">
      <c r="A30" s="1" t="s">
        <v>16</v>
      </c>
      <c r="B30" s="1" t="s">
        <v>42</v>
      </c>
      <c r="C30" s="4"/>
      <c r="D30" s="4"/>
      <c r="E30" s="4"/>
      <c r="F30" s="4"/>
      <c r="G30" s="4">
        <f t="shared" si="0"/>
        <v>0</v>
      </c>
      <c r="H30" s="1">
        <f t="shared" si="1"/>
        <v>0</v>
      </c>
      <c r="I30" s="1">
        <f t="shared" si="2"/>
        <v>0</v>
      </c>
      <c r="J30" s="1">
        <f>ROUND(G30/22.77-1,2)</f>
        <v>-1</v>
      </c>
    </row>
    <row r="31" spans="1:10" x14ac:dyDescent="0.25">
      <c r="A31" s="1" t="s">
        <v>16</v>
      </c>
      <c r="B31" s="1" t="s">
        <v>36</v>
      </c>
      <c r="C31" s="4"/>
      <c r="D31" s="4"/>
      <c r="E31" s="4"/>
      <c r="F31" s="4"/>
      <c r="G31" s="4">
        <f t="shared" si="0"/>
        <v>0</v>
      </c>
      <c r="H31" s="1">
        <f t="shared" si="1"/>
        <v>0</v>
      </c>
      <c r="I31" s="1">
        <f t="shared" si="2"/>
        <v>0</v>
      </c>
      <c r="J31" s="1">
        <f>ROUND(G31/316.8-1,2)</f>
        <v>-1</v>
      </c>
    </row>
    <row r="32" spans="1:10" x14ac:dyDescent="0.25">
      <c r="A32" s="1" t="s">
        <v>16</v>
      </c>
      <c r="B32" s="1" t="s">
        <v>31</v>
      </c>
      <c r="C32" s="4"/>
      <c r="D32" s="4"/>
      <c r="E32" s="4"/>
      <c r="F32" s="4"/>
      <c r="G32" s="4">
        <f t="shared" si="0"/>
        <v>0</v>
      </c>
      <c r="H32" s="1">
        <f t="shared" si="1"/>
        <v>0</v>
      </c>
      <c r="I32" s="1">
        <f t="shared" si="2"/>
        <v>0</v>
      </c>
      <c r="J32" s="1"/>
    </row>
    <row r="33" spans="1:10" x14ac:dyDescent="0.25">
      <c r="A33" s="1" t="s">
        <v>16</v>
      </c>
      <c r="B33" s="1" t="s">
        <v>39</v>
      </c>
      <c r="C33" s="4"/>
      <c r="D33" s="4"/>
      <c r="E33" s="4"/>
      <c r="F33" s="4"/>
      <c r="G33" s="4">
        <f t="shared" si="0"/>
        <v>0</v>
      </c>
      <c r="H33" s="1">
        <f t="shared" si="1"/>
        <v>0</v>
      </c>
      <c r="I33" s="1">
        <f t="shared" si="2"/>
        <v>0</v>
      </c>
      <c r="J33" s="1"/>
    </row>
    <row r="34" spans="1:10" x14ac:dyDescent="0.25">
      <c r="A34" s="1" t="s">
        <v>44</v>
      </c>
      <c r="B34" s="1" t="s">
        <v>45</v>
      </c>
      <c r="C34" s="4">
        <v>54680</v>
      </c>
      <c r="D34" s="4"/>
      <c r="E34" s="4"/>
      <c r="F34" s="4"/>
      <c r="G34" s="4">
        <f t="shared" si="0"/>
        <v>54680</v>
      </c>
      <c r="H34" s="1">
        <f t="shared" si="1"/>
        <v>102.21</v>
      </c>
      <c r="I34" s="1">
        <f t="shared" si="2"/>
        <v>0.28299999999999997</v>
      </c>
      <c r="J34" s="1">
        <f>ROUND(G34/47130-1,2)</f>
        <v>0.16</v>
      </c>
    </row>
    <row r="35" spans="1:10" x14ac:dyDescent="0.25">
      <c r="A35" s="1" t="s">
        <v>44</v>
      </c>
      <c r="B35" s="1" t="s">
        <v>46</v>
      </c>
      <c r="C35" s="4"/>
      <c r="D35" s="4"/>
      <c r="E35" s="4">
        <v>10487</v>
      </c>
      <c r="F35" s="4"/>
      <c r="G35" s="4">
        <f t="shared" si="0"/>
        <v>10487</v>
      </c>
      <c r="H35" s="1">
        <f t="shared" si="1"/>
        <v>19.600000000000001</v>
      </c>
      <c r="I35" s="1">
        <f t="shared" si="2"/>
        <v>5.3999999999999999E-2</v>
      </c>
      <c r="J35" s="1">
        <f>ROUND(G35/3386.31-1,2)</f>
        <v>2.1</v>
      </c>
    </row>
    <row r="36" spans="1:10" x14ac:dyDescent="0.25">
      <c r="A36" s="1" t="s">
        <v>44</v>
      </c>
      <c r="B36" s="1" t="s">
        <v>47</v>
      </c>
      <c r="C36" s="4"/>
      <c r="D36" s="4"/>
      <c r="E36" s="4"/>
      <c r="F36" s="4"/>
      <c r="G36" s="4">
        <f t="shared" si="0"/>
        <v>0</v>
      </c>
      <c r="H36" s="1">
        <f t="shared" si="1"/>
        <v>0</v>
      </c>
      <c r="I36" s="1">
        <f t="shared" si="2"/>
        <v>0</v>
      </c>
      <c r="J36" s="1"/>
    </row>
    <row r="37" spans="1:10" x14ac:dyDescent="0.25">
      <c r="A37" s="1" t="s">
        <v>48</v>
      </c>
      <c r="B37" s="1" t="s">
        <v>51</v>
      </c>
      <c r="C37" s="4"/>
      <c r="D37" s="4"/>
      <c r="E37" s="4"/>
      <c r="F37" s="4"/>
      <c r="G37" s="4">
        <f t="shared" si="0"/>
        <v>0</v>
      </c>
      <c r="H37" s="1">
        <f t="shared" si="1"/>
        <v>0</v>
      </c>
      <c r="I37" s="1">
        <f t="shared" si="2"/>
        <v>0</v>
      </c>
      <c r="J37" s="1"/>
    </row>
    <row r="38" spans="1:10" x14ac:dyDescent="0.25">
      <c r="A38" s="25" t="s">
        <v>12</v>
      </c>
      <c r="B38" s="25"/>
      <c r="C38" s="5">
        <f t="shared" ref="C38:H38" si="3">SUM(C8:C37)</f>
        <v>128495</v>
      </c>
      <c r="D38" s="5">
        <f t="shared" si="3"/>
        <v>0</v>
      </c>
      <c r="E38" s="5">
        <f t="shared" si="3"/>
        <v>64588</v>
      </c>
      <c r="F38" s="5">
        <f t="shared" si="3"/>
        <v>0</v>
      </c>
      <c r="G38" s="5">
        <f t="shared" si="3"/>
        <v>193083</v>
      </c>
      <c r="H38" s="3">
        <f t="shared" si="3"/>
        <v>360.8900000000001</v>
      </c>
      <c r="I38" s="2"/>
      <c r="J38" s="2"/>
    </row>
    <row r="39" spans="1:10" x14ac:dyDescent="0.25">
      <c r="A39" s="25" t="s">
        <v>14</v>
      </c>
      <c r="B39" s="25"/>
      <c r="C39" s="6">
        <f>ROUND(C38/G38,2)</f>
        <v>0.67</v>
      </c>
      <c r="D39" s="6">
        <f>ROUND(D38/G38,2)</f>
        <v>0</v>
      </c>
      <c r="E39" s="6">
        <f>ROUND(E38/G38,2)</f>
        <v>0.33</v>
      </c>
      <c r="F39" s="6">
        <f>ROUND(F38/G38,2)</f>
        <v>0</v>
      </c>
      <c r="G39" s="2"/>
      <c r="H39" s="2"/>
      <c r="I39" s="2"/>
      <c r="J39" s="2"/>
    </row>
    <row r="40" spans="1:10" x14ac:dyDescent="0.25">
      <c r="A40" s="2" t="s">
        <v>52</v>
      </c>
      <c r="B40" s="2"/>
      <c r="C40" s="2"/>
      <c r="D40" s="2"/>
      <c r="E40" s="2"/>
      <c r="F40" s="2"/>
      <c r="G40" s="2"/>
      <c r="H40" s="2"/>
      <c r="I40" s="2"/>
      <c r="J40" s="2"/>
    </row>
    <row r="44" spans="1:10" x14ac:dyDescent="0.25">
      <c r="A44" s="25" t="s">
        <v>53</v>
      </c>
      <c r="B44" s="25"/>
      <c r="C44" s="5" t="s">
        <v>8</v>
      </c>
      <c r="D44" s="5" t="s">
        <v>9</v>
      </c>
      <c r="E44" s="5" t="s">
        <v>10</v>
      </c>
      <c r="F44" s="5" t="s">
        <v>11</v>
      </c>
      <c r="G44" s="5" t="s">
        <v>12</v>
      </c>
      <c r="H44" s="3" t="s">
        <v>13</v>
      </c>
      <c r="I44" s="2"/>
      <c r="J44" s="2"/>
    </row>
    <row r="45" spans="1:10" x14ac:dyDescent="0.25">
      <c r="A45" s="20" t="s">
        <v>54</v>
      </c>
      <c r="B45" s="20"/>
      <c r="C45" s="4">
        <v>73815</v>
      </c>
      <c r="D45" s="4">
        <v>0</v>
      </c>
      <c r="E45" s="4">
        <v>54101</v>
      </c>
      <c r="F45" s="4">
        <v>0</v>
      </c>
      <c r="G45" s="4">
        <f>SUM(C45:F45)</f>
        <v>127916</v>
      </c>
      <c r="H45" s="1">
        <f>ROUND(G45/535,2)</f>
        <v>239.1</v>
      </c>
    </row>
    <row r="46" spans="1:10" x14ac:dyDescent="0.25">
      <c r="A46" s="20" t="s">
        <v>55</v>
      </c>
      <c r="B46" s="20"/>
      <c r="C46" s="4">
        <v>54680</v>
      </c>
      <c r="D46" s="4">
        <v>0</v>
      </c>
      <c r="E46" s="4">
        <v>10487</v>
      </c>
      <c r="F46" s="4">
        <v>0</v>
      </c>
      <c r="G46" s="4">
        <f>SUM(C46:F46)</f>
        <v>65167</v>
      </c>
      <c r="H46" s="1">
        <f>ROUND(G46/535,2)</f>
        <v>121.81</v>
      </c>
    </row>
    <row r="47" spans="1:10" x14ac:dyDescent="0.25">
      <c r="A47" s="20" t="s">
        <v>56</v>
      </c>
      <c r="B47" s="20"/>
      <c r="C47" s="4">
        <v>0</v>
      </c>
      <c r="D47" s="4">
        <v>0</v>
      </c>
      <c r="E47" s="4">
        <v>0</v>
      </c>
      <c r="F47" s="4">
        <v>0</v>
      </c>
      <c r="G47" s="4">
        <f>SUM(C47:F47)</f>
        <v>0</v>
      </c>
      <c r="H47" s="1">
        <f>ROUND(G47/535,2)</f>
        <v>0</v>
      </c>
    </row>
    <row r="52" spans="1:10" x14ac:dyDescent="0.25">
      <c r="A52" s="25" t="s">
        <v>57</v>
      </c>
      <c r="B52" s="25"/>
      <c r="C52" s="3" t="s">
        <v>2</v>
      </c>
      <c r="D52" s="3">
        <v>2023</v>
      </c>
      <c r="E52" s="3" t="s">
        <v>59</v>
      </c>
      <c r="F52" s="2"/>
      <c r="G52" s="3" t="s">
        <v>60</v>
      </c>
      <c r="H52" s="3" t="s">
        <v>2</v>
      </c>
      <c r="I52" s="3" t="s">
        <v>61</v>
      </c>
      <c r="J52" s="3" t="s">
        <v>59</v>
      </c>
    </row>
    <row r="53" spans="1:10" x14ac:dyDescent="0.25">
      <c r="A53" s="20" t="s">
        <v>58</v>
      </c>
      <c r="B53" s="20"/>
      <c r="C53" s="7">
        <f>ROUND(0.6844, 4)</f>
        <v>0.68440000000000001</v>
      </c>
      <c r="D53" s="7">
        <f>ROUND(0.629, 4)</f>
        <v>0.629</v>
      </c>
      <c r="E53" s="7">
        <f>ROUND(0.777, 4)</f>
        <v>0.77700000000000002</v>
      </c>
      <c r="G53" s="3" t="s">
        <v>62</v>
      </c>
      <c r="H53" s="28" t="s">
        <v>63</v>
      </c>
      <c r="I53" s="28" t="s">
        <v>64</v>
      </c>
      <c r="J53" s="28" t="s">
        <v>65</v>
      </c>
    </row>
    <row r="54" spans="1:10" x14ac:dyDescent="0.25">
      <c r="A54" s="20" t="s">
        <v>66</v>
      </c>
      <c r="B54" s="20"/>
      <c r="C54" s="7">
        <f>ROUND(0.6392, 4)</f>
        <v>0.63919999999999999</v>
      </c>
      <c r="D54" s="7">
        <f>ROUND(0.5814, 4)</f>
        <v>0.58140000000000003</v>
      </c>
      <c r="E54" s="7">
        <f>ROUND(0.7608, 4)</f>
        <v>0.76080000000000003</v>
      </c>
      <c r="G54" s="3" t="s">
        <v>67</v>
      </c>
      <c r="H54" s="20"/>
      <c r="I54" s="20"/>
      <c r="J54" s="20"/>
    </row>
    <row r="58" spans="1:10" x14ac:dyDescent="0.25">
      <c r="A58" s="25" t="s">
        <v>68</v>
      </c>
      <c r="B58" s="25"/>
      <c r="C58" s="3" t="s">
        <v>2</v>
      </c>
      <c r="D58" s="3" t="s">
        <v>354</v>
      </c>
      <c r="E58" s="3" t="s">
        <v>70</v>
      </c>
      <c r="F58" s="3" t="s">
        <v>71</v>
      </c>
      <c r="G58" s="3" t="s">
        <v>72</v>
      </c>
      <c r="H58" s="2"/>
      <c r="I58" s="2"/>
      <c r="J58" s="2"/>
    </row>
    <row r="59" spans="1:10" x14ac:dyDescent="0.25">
      <c r="A59" s="20" t="s">
        <v>73</v>
      </c>
      <c r="B59" s="20"/>
      <c r="C59" s="1">
        <v>102.21</v>
      </c>
      <c r="D59" s="1">
        <v>92.44</v>
      </c>
      <c r="E59" s="1">
        <v>91.13</v>
      </c>
      <c r="F59" s="1">
        <v>54.95</v>
      </c>
      <c r="G59" s="1">
        <f>12/10*C59</f>
        <v>122.65199999999999</v>
      </c>
    </row>
    <row r="60" spans="1:10" x14ac:dyDescent="0.25">
      <c r="A60" s="20" t="s">
        <v>74</v>
      </c>
      <c r="B60" s="20"/>
      <c r="C60" s="1">
        <v>27.79</v>
      </c>
      <c r="D60" s="1">
        <v>45.98</v>
      </c>
      <c r="E60" s="1">
        <v>61.18</v>
      </c>
      <c r="F60" s="1">
        <v>62.89</v>
      </c>
      <c r="G60" s="1">
        <f>12/10*C60</f>
        <v>33.347999999999999</v>
      </c>
    </row>
    <row r="61" spans="1:10" x14ac:dyDescent="0.25">
      <c r="A61" s="20" t="s">
        <v>75</v>
      </c>
      <c r="B61" s="20"/>
      <c r="C61" s="1">
        <v>239.1</v>
      </c>
      <c r="D61" s="1">
        <v>256.19</v>
      </c>
      <c r="E61" s="1">
        <v>287.25</v>
      </c>
      <c r="F61" s="1">
        <v>278.91000000000003</v>
      </c>
      <c r="G61" s="1">
        <f>12/10*C61</f>
        <v>286.91999999999996</v>
      </c>
    </row>
    <row r="62" spans="1:10" x14ac:dyDescent="0.25">
      <c r="A62" s="20" t="s">
        <v>76</v>
      </c>
      <c r="B62" s="20"/>
      <c r="C62" s="1">
        <v>121.81</v>
      </c>
      <c r="D62" s="1">
        <v>112.68</v>
      </c>
      <c r="E62" s="1">
        <v>114.69</v>
      </c>
      <c r="F62" s="1">
        <v>78.319999999999993</v>
      </c>
      <c r="G62" s="1">
        <f>12/10*C62</f>
        <v>146.172</v>
      </c>
    </row>
    <row r="65" spans="1:2" x14ac:dyDescent="0.25">
      <c r="A65" s="21" t="s">
        <v>60</v>
      </c>
      <c r="B65" s="22"/>
    </row>
    <row r="66" spans="1:2" x14ac:dyDescent="0.25">
      <c r="A66" s="3" t="s">
        <v>77</v>
      </c>
      <c r="B66" s="1" t="s">
        <v>355</v>
      </c>
    </row>
    <row r="67" spans="1:2" x14ac:dyDescent="0.25">
      <c r="A67" s="3" t="s">
        <v>70</v>
      </c>
      <c r="B67" s="1" t="s">
        <v>79</v>
      </c>
    </row>
    <row r="68" spans="1:2" x14ac:dyDescent="0.25">
      <c r="A68" s="3" t="s">
        <v>71</v>
      </c>
      <c r="B68" s="1" t="s">
        <v>80</v>
      </c>
    </row>
    <row r="69" spans="1:2" x14ac:dyDescent="0.25">
      <c r="A69" s="3" t="s">
        <v>72</v>
      </c>
      <c r="B69" s="1" t="s">
        <v>81</v>
      </c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80</vt:i4>
      </vt:variant>
    </vt:vector>
  </HeadingPairs>
  <TitlesOfParts>
    <vt:vector size="80" baseType="lpstr">
      <vt:lpstr>AMARO</vt:lpstr>
      <vt:lpstr>AMPEZZO</vt:lpstr>
      <vt:lpstr>ARTA TERME</vt:lpstr>
      <vt:lpstr>ARTEGNA</vt:lpstr>
      <vt:lpstr>BASILIANO</vt:lpstr>
      <vt:lpstr>BERTIOLO</vt:lpstr>
      <vt:lpstr>BORDANO</vt:lpstr>
      <vt:lpstr>BUTTRIO</vt:lpstr>
      <vt:lpstr>CAMINO AL TAGLIAMENTO</vt:lpstr>
      <vt:lpstr>CAMPOFORMIDO</vt:lpstr>
      <vt:lpstr>CAVAZZO CARNICO</vt:lpstr>
      <vt:lpstr>CERCIVENTO</vt:lpstr>
      <vt:lpstr>CODROIPO</vt:lpstr>
      <vt:lpstr>COLLOREDO DI MONTE ALBANO</vt:lpstr>
      <vt:lpstr>COMEGLIANS</vt:lpstr>
      <vt:lpstr>CORNO DI ROSAZZO</vt:lpstr>
      <vt:lpstr>COSEANO</vt:lpstr>
      <vt:lpstr>DIGNANO</vt:lpstr>
      <vt:lpstr>DOGNA</vt:lpstr>
      <vt:lpstr>ENEMONZO</vt:lpstr>
      <vt:lpstr>FAGAGNA</vt:lpstr>
      <vt:lpstr>FLAIBANO</vt:lpstr>
      <vt:lpstr>FORGARIA NEL FRIULI</vt:lpstr>
      <vt:lpstr>FORNI AVOLTRI</vt:lpstr>
      <vt:lpstr>FORNI DI SOPRA</vt:lpstr>
      <vt:lpstr>FORNI DI SOTTO</vt:lpstr>
      <vt:lpstr>GEMONA DEL FRIULI</vt:lpstr>
      <vt:lpstr>LAUCO</vt:lpstr>
      <vt:lpstr>LESTIZZA</vt:lpstr>
      <vt:lpstr>LUSEVERA</vt:lpstr>
      <vt:lpstr>MAGNANO IN RIVIERA</vt:lpstr>
      <vt:lpstr>MAJANO</vt:lpstr>
      <vt:lpstr>MARTIGNACCO</vt:lpstr>
      <vt:lpstr>MOGGIO UDINESE</vt:lpstr>
      <vt:lpstr>MOIMACCO</vt:lpstr>
      <vt:lpstr>MONTENARS</vt:lpstr>
      <vt:lpstr>MORTEGLIANO</vt:lpstr>
      <vt:lpstr>MORUZZO</vt:lpstr>
      <vt:lpstr>NIMIS</vt:lpstr>
      <vt:lpstr>OSOPPO</vt:lpstr>
      <vt:lpstr>OVARO</vt:lpstr>
      <vt:lpstr>PAGNACCO</vt:lpstr>
      <vt:lpstr>PALUZZA</vt:lpstr>
      <vt:lpstr>PASIAN DI PRATO</vt:lpstr>
      <vt:lpstr>PAULARO</vt:lpstr>
      <vt:lpstr>PAVIA DI UDINE</vt:lpstr>
      <vt:lpstr>POZZUOLO DEL FRIULI</vt:lpstr>
      <vt:lpstr>PRADAMANO</vt:lpstr>
      <vt:lpstr>PRATO CARNICO</vt:lpstr>
      <vt:lpstr>PREMARIACCO</vt:lpstr>
      <vt:lpstr>PREONE</vt:lpstr>
      <vt:lpstr>RAGOGNA</vt:lpstr>
      <vt:lpstr>RAVASCLETTO</vt:lpstr>
      <vt:lpstr>RAVEO</vt:lpstr>
      <vt:lpstr>REANA DEL ROJALE</vt:lpstr>
      <vt:lpstr>REMANZACCO</vt:lpstr>
      <vt:lpstr>RESIUTTA</vt:lpstr>
      <vt:lpstr>RIGOLATO</vt:lpstr>
      <vt:lpstr>RIVE D'ARCANO</vt:lpstr>
      <vt:lpstr>RIVIGNANO TEOR</vt:lpstr>
      <vt:lpstr>SAN DANIELE DEL FRIULI</vt:lpstr>
      <vt:lpstr>SAN DORLIGO DELLA VALLE-DOLINA</vt:lpstr>
      <vt:lpstr>SAN GIOVANNI AL NATISONE</vt:lpstr>
      <vt:lpstr>SAN VITO DI FAGAGNA</vt:lpstr>
      <vt:lpstr>SAPPADA</vt:lpstr>
      <vt:lpstr>SAURIS</vt:lpstr>
      <vt:lpstr>SEDEGLIANO</vt:lpstr>
      <vt:lpstr>SOCCHIEVE</vt:lpstr>
      <vt:lpstr>SUTRIO</vt:lpstr>
      <vt:lpstr>TAIPANA</vt:lpstr>
      <vt:lpstr>TARCENTO</vt:lpstr>
      <vt:lpstr>TOLMEZZO</vt:lpstr>
      <vt:lpstr>TRASAGHIS</vt:lpstr>
      <vt:lpstr>TREPPO GRANDE</vt:lpstr>
      <vt:lpstr>TREPPO LIGOSULLO</vt:lpstr>
      <vt:lpstr>VARMO</vt:lpstr>
      <vt:lpstr>VENZONE</vt:lpstr>
      <vt:lpstr>VERZEGNIS</vt:lpstr>
      <vt:lpstr>VILLA SANTINA</vt:lpstr>
      <vt:lpstr>ZUGLIO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Michela Dosualdo</cp:lastModifiedBy>
  <dcterms:created xsi:type="dcterms:W3CDTF">2024-11-27T14:52:25Z</dcterms:created>
  <dcterms:modified xsi:type="dcterms:W3CDTF">2024-11-29T08:12:21Z</dcterms:modified>
  <cp:category/>
</cp:coreProperties>
</file>