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O:\AREA COMUNICAZIONE\SITO INTERNET A&amp;T2000\RISULTATI RACCOLTA\2024\"/>
    </mc:Choice>
  </mc:AlternateContent>
  <xr:revisionPtr revIDLastSave="0" documentId="8_{601ED897-892A-49D5-9FBF-E030755D25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MARO" sheetId="1" r:id="rId1"/>
    <sheet name="AMPEZZO" sheetId="2" r:id="rId2"/>
    <sheet name="ARTA TERME" sheetId="3" r:id="rId3"/>
    <sheet name="ARTEGNA" sheetId="4" r:id="rId4"/>
    <sheet name="BASILIANO" sheetId="5" r:id="rId5"/>
    <sheet name="BERTIOLO" sheetId="6" r:id="rId6"/>
    <sheet name="BORDANO" sheetId="7" r:id="rId7"/>
    <sheet name="BUTTRIO" sheetId="8" r:id="rId8"/>
    <sheet name="CAMINO AL TAGLIAMENTO" sheetId="9" r:id="rId9"/>
    <sheet name="CAMPOFORMIDO" sheetId="10" r:id="rId10"/>
    <sheet name="CAVAZZO CARNICO" sheetId="11" r:id="rId11"/>
    <sheet name="CERCIVENTO" sheetId="12" r:id="rId12"/>
    <sheet name="CODROIPO" sheetId="13" r:id="rId13"/>
    <sheet name="COLLOREDO DI MONTE ALBANO" sheetId="14" r:id="rId14"/>
    <sheet name="COMEGLIANS" sheetId="15" r:id="rId15"/>
    <sheet name="CORNO DI ROSAZZO" sheetId="16" r:id="rId16"/>
    <sheet name="COSEANO" sheetId="17" r:id="rId17"/>
    <sheet name="DIGNANO" sheetId="18" r:id="rId18"/>
    <sheet name="DOGNA" sheetId="19" r:id="rId19"/>
    <sheet name="ENEMONZO" sheetId="20" r:id="rId20"/>
    <sheet name="FAGAGNA" sheetId="21" r:id="rId21"/>
    <sheet name="FLAIBANO" sheetId="22" r:id="rId22"/>
    <sheet name="FORGARIA NEL FRIULI" sheetId="23" r:id="rId23"/>
    <sheet name="FORNI AVOLTRI" sheetId="24" r:id="rId24"/>
    <sheet name="FORNI DI SOPRA" sheetId="25" r:id="rId25"/>
    <sheet name="FORNI DI SOTTO" sheetId="26" r:id="rId26"/>
    <sheet name="GEMONA DEL FRIULI" sheetId="27" r:id="rId27"/>
    <sheet name="LAUCO" sheetId="28" r:id="rId28"/>
    <sheet name="LESTIZZA" sheetId="29" r:id="rId29"/>
    <sheet name="LUSEVERA" sheetId="30" r:id="rId30"/>
    <sheet name="MAGNANO IN RIVIERA" sheetId="31" r:id="rId31"/>
    <sheet name="MAJANO" sheetId="32" r:id="rId32"/>
    <sheet name="MARTIGNACCO" sheetId="33" r:id="rId33"/>
    <sheet name="MOGGIO UDINESE" sheetId="34" r:id="rId34"/>
    <sheet name="MOIMACCO" sheetId="35" r:id="rId35"/>
    <sheet name="MONTENARS" sheetId="36" r:id="rId36"/>
    <sheet name="MORTEGLIANO" sheetId="37" r:id="rId37"/>
    <sheet name="MORUZZO" sheetId="38" r:id="rId38"/>
    <sheet name="NIMIS" sheetId="39" r:id="rId39"/>
    <sheet name="OSOPPO" sheetId="40" r:id="rId40"/>
    <sheet name="OVARO" sheetId="41" r:id="rId41"/>
    <sheet name="PAGNACCO" sheetId="42" r:id="rId42"/>
    <sheet name="PALUZZA" sheetId="43" r:id="rId43"/>
    <sheet name="PASIAN DI PRATO" sheetId="44" r:id="rId44"/>
    <sheet name="PAULARO" sheetId="45" r:id="rId45"/>
    <sheet name="PAVIA DI UDINE" sheetId="46" r:id="rId46"/>
    <sheet name="POZZUOLO DEL FRIULI" sheetId="47" r:id="rId47"/>
    <sheet name="PRADAMANO" sheetId="48" r:id="rId48"/>
    <sheet name="PRATO CARNICO" sheetId="49" r:id="rId49"/>
    <sheet name="PREMARIACCO" sheetId="50" r:id="rId50"/>
    <sheet name="PREONE" sheetId="51" r:id="rId51"/>
    <sheet name="RAGOGNA" sheetId="52" r:id="rId52"/>
    <sheet name="RAVASCLETTO" sheetId="53" r:id="rId53"/>
    <sheet name="RAVEO" sheetId="54" r:id="rId54"/>
    <sheet name="REANA DEL ROJALE" sheetId="55" r:id="rId55"/>
    <sheet name="REMANZACCO" sheetId="56" r:id="rId56"/>
    <sheet name="RESIUTTA" sheetId="57" r:id="rId57"/>
    <sheet name="RIGOLATO" sheetId="58" r:id="rId58"/>
    <sheet name="RIVE D'ARCANO" sheetId="59" r:id="rId59"/>
    <sheet name="RIVIGNANO TEOR" sheetId="60" r:id="rId60"/>
    <sheet name="SAN DANIELE DEL FRIULI" sheetId="61" r:id="rId61"/>
    <sheet name="SAN DORLIGO DELLA VALLE-DOLINA" sheetId="62" r:id="rId62"/>
    <sheet name="SAN GIOVANNI AL NATISONE" sheetId="63" r:id="rId63"/>
    <sheet name="SAN VITO DI FAGAGNA" sheetId="64" r:id="rId64"/>
    <sheet name="SAPPADA" sheetId="65" r:id="rId65"/>
    <sheet name="SAURIS" sheetId="66" r:id="rId66"/>
    <sheet name="SEDEGLIANO" sheetId="67" r:id="rId67"/>
    <sheet name="SOCCHIEVE" sheetId="68" r:id="rId68"/>
    <sheet name="SUTRIO" sheetId="69" r:id="rId69"/>
    <sheet name="TAIPANA" sheetId="70" r:id="rId70"/>
    <sheet name="TARCENTO" sheetId="71" r:id="rId71"/>
    <sheet name="TOLMEZZO" sheetId="72" r:id="rId72"/>
    <sheet name="TRASAGHIS" sheetId="73" r:id="rId73"/>
    <sheet name="TREPPO GRANDE" sheetId="74" r:id="rId74"/>
    <sheet name="TREPPO LIGOSULLO" sheetId="75" r:id="rId75"/>
    <sheet name="VARMO" sheetId="76" r:id="rId76"/>
    <sheet name="VENZONE" sheetId="77" r:id="rId77"/>
    <sheet name="VERZEGNIS" sheetId="78" r:id="rId78"/>
    <sheet name="VILLA SANTINA" sheetId="79" r:id="rId79"/>
    <sheet name="ZUGLIO" sheetId="80" r:id="rId8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80" l="1"/>
  <c r="G61" i="80"/>
  <c r="G60" i="80"/>
  <c r="G59" i="80"/>
  <c r="E54" i="80"/>
  <c r="D54" i="80"/>
  <c r="C54" i="80"/>
  <c r="E53" i="80"/>
  <c r="D53" i="80"/>
  <c r="C53" i="80"/>
  <c r="G47" i="80"/>
  <c r="H47" i="80" s="1"/>
  <c r="G46" i="80"/>
  <c r="H46" i="80" s="1"/>
  <c r="H45" i="80"/>
  <c r="G45" i="80"/>
  <c r="F38" i="80"/>
  <c r="E38" i="80"/>
  <c r="D38" i="80"/>
  <c r="C38" i="80"/>
  <c r="H37" i="80"/>
  <c r="G37" i="80"/>
  <c r="H36" i="80"/>
  <c r="G36" i="80"/>
  <c r="J35" i="80"/>
  <c r="G35" i="80"/>
  <c r="J34" i="80"/>
  <c r="H34" i="80"/>
  <c r="G34" i="80"/>
  <c r="G33" i="80"/>
  <c r="H33" i="80" s="1"/>
  <c r="H32" i="80"/>
  <c r="G32" i="80"/>
  <c r="H31" i="80"/>
  <c r="G31" i="80"/>
  <c r="J31" i="80" s="1"/>
  <c r="J30" i="80"/>
  <c r="H30" i="80"/>
  <c r="G30" i="80"/>
  <c r="J29" i="80"/>
  <c r="H29" i="80"/>
  <c r="G29" i="80"/>
  <c r="J28" i="80"/>
  <c r="H28" i="80"/>
  <c r="G28" i="80"/>
  <c r="J27" i="80"/>
  <c r="H27" i="80"/>
  <c r="G27" i="80"/>
  <c r="J26" i="80"/>
  <c r="H26" i="80"/>
  <c r="G26" i="80"/>
  <c r="G25" i="80"/>
  <c r="H25" i="80" s="1"/>
  <c r="G24" i="80"/>
  <c r="J24" i="80" s="1"/>
  <c r="H23" i="80"/>
  <c r="G23" i="80"/>
  <c r="J22" i="80"/>
  <c r="H22" i="80"/>
  <c r="G22" i="80"/>
  <c r="J21" i="80"/>
  <c r="H21" i="80"/>
  <c r="G21" i="80"/>
  <c r="J20" i="80"/>
  <c r="H20" i="80"/>
  <c r="G20" i="80"/>
  <c r="G19" i="80"/>
  <c r="H18" i="80"/>
  <c r="G18" i="80"/>
  <c r="J17" i="80"/>
  <c r="H17" i="80"/>
  <c r="G17" i="80"/>
  <c r="G16" i="80"/>
  <c r="H16" i="80" s="1"/>
  <c r="G15" i="80"/>
  <c r="J15" i="80" s="1"/>
  <c r="G14" i="80"/>
  <c r="G13" i="80"/>
  <c r="J13" i="80" s="1"/>
  <c r="G12" i="80"/>
  <c r="G11" i="80"/>
  <c r="J11" i="80" s="1"/>
  <c r="G10" i="80"/>
  <c r="H9" i="80"/>
  <c r="G9" i="80"/>
  <c r="G66" i="79"/>
  <c r="G65" i="79"/>
  <c r="G64" i="79"/>
  <c r="G63" i="79"/>
  <c r="E58" i="79"/>
  <c r="D58" i="79"/>
  <c r="C58" i="79"/>
  <c r="E57" i="79"/>
  <c r="D57" i="79"/>
  <c r="C57" i="79"/>
  <c r="H51" i="79"/>
  <c r="G51" i="79"/>
  <c r="H50" i="79"/>
  <c r="G50" i="79"/>
  <c r="H49" i="79"/>
  <c r="G49" i="79"/>
  <c r="F42" i="79"/>
  <c r="E42" i="79"/>
  <c r="D42" i="79"/>
  <c r="C42" i="79"/>
  <c r="G41" i="79"/>
  <c r="H41" i="79" s="1"/>
  <c r="G40" i="79"/>
  <c r="J40" i="79" s="1"/>
  <c r="G39" i="79"/>
  <c r="G38" i="79"/>
  <c r="J38" i="79" s="1"/>
  <c r="H37" i="79"/>
  <c r="G37" i="79"/>
  <c r="J36" i="79"/>
  <c r="H36" i="79"/>
  <c r="G36" i="79"/>
  <c r="J35" i="79"/>
  <c r="H35" i="79"/>
  <c r="G35" i="79"/>
  <c r="G34" i="79"/>
  <c r="H34" i="79" s="1"/>
  <c r="G33" i="79"/>
  <c r="H32" i="79"/>
  <c r="G32" i="79"/>
  <c r="J31" i="79"/>
  <c r="H31" i="79"/>
  <c r="G31" i="79"/>
  <c r="J30" i="79"/>
  <c r="H30" i="79"/>
  <c r="G30" i="79"/>
  <c r="J29" i="79"/>
  <c r="H29" i="79"/>
  <c r="G29" i="79"/>
  <c r="J28" i="79"/>
  <c r="H28" i="79"/>
  <c r="G28" i="79"/>
  <c r="J27" i="79"/>
  <c r="H27" i="79"/>
  <c r="G27" i="79"/>
  <c r="J26" i="79"/>
  <c r="H26" i="79"/>
  <c r="G26" i="79"/>
  <c r="J25" i="79"/>
  <c r="H25" i="79"/>
  <c r="G25" i="79"/>
  <c r="J24" i="79"/>
  <c r="H24" i="79"/>
  <c r="G24" i="79"/>
  <c r="J23" i="79"/>
  <c r="H23" i="79"/>
  <c r="G23" i="79"/>
  <c r="J22" i="79"/>
  <c r="H22" i="79"/>
  <c r="G22" i="79"/>
  <c r="J21" i="79"/>
  <c r="H21" i="79"/>
  <c r="G21" i="79"/>
  <c r="J20" i="79"/>
  <c r="H20" i="79"/>
  <c r="G20" i="79"/>
  <c r="J19" i="79"/>
  <c r="H19" i="79"/>
  <c r="G19" i="79"/>
  <c r="J18" i="79"/>
  <c r="H18" i="79"/>
  <c r="G18" i="79"/>
  <c r="J17" i="79"/>
  <c r="H17" i="79"/>
  <c r="G17" i="79"/>
  <c r="J16" i="79"/>
  <c r="H16" i="79"/>
  <c r="G16" i="79"/>
  <c r="J15" i="79"/>
  <c r="H15" i="79"/>
  <c r="G15" i="79"/>
  <c r="J14" i="79"/>
  <c r="H14" i="79"/>
  <c r="G14" i="79"/>
  <c r="J13" i="79"/>
  <c r="H13" i="79"/>
  <c r="G13" i="79"/>
  <c r="J12" i="79"/>
  <c r="H12" i="79"/>
  <c r="G12" i="79"/>
  <c r="J11" i="79"/>
  <c r="H11" i="79"/>
  <c r="G11" i="79"/>
  <c r="J10" i="79"/>
  <c r="H10" i="79"/>
  <c r="G10" i="79"/>
  <c r="J9" i="79"/>
  <c r="H9" i="79"/>
  <c r="G9" i="79"/>
  <c r="G64" i="78"/>
  <c r="G63" i="78"/>
  <c r="G62" i="78"/>
  <c r="G61" i="78"/>
  <c r="E56" i="78"/>
  <c r="D56" i="78"/>
  <c r="C56" i="78"/>
  <c r="E55" i="78"/>
  <c r="D55" i="78"/>
  <c r="C55" i="78"/>
  <c r="H49" i="78"/>
  <c r="G49" i="78"/>
  <c r="H48" i="78"/>
  <c r="G48" i="78"/>
  <c r="H47" i="78"/>
  <c r="G47" i="78"/>
  <c r="F40" i="78"/>
  <c r="E40" i="78"/>
  <c r="D40" i="78"/>
  <c r="C40" i="78"/>
  <c r="G39" i="78"/>
  <c r="H39" i="78" s="1"/>
  <c r="G38" i="78"/>
  <c r="H37" i="78"/>
  <c r="G37" i="78"/>
  <c r="J36" i="78"/>
  <c r="H36" i="78"/>
  <c r="G36" i="78"/>
  <c r="J35" i="78"/>
  <c r="H35" i="78"/>
  <c r="G35" i="78"/>
  <c r="J34" i="78"/>
  <c r="H34" i="78"/>
  <c r="G34" i="78"/>
  <c r="J33" i="78"/>
  <c r="H33" i="78"/>
  <c r="G33" i="78"/>
  <c r="J32" i="78"/>
  <c r="H32" i="78"/>
  <c r="G32" i="78"/>
  <c r="J31" i="78"/>
  <c r="H31" i="78"/>
  <c r="G31" i="78"/>
  <c r="J30" i="78"/>
  <c r="H30" i="78"/>
  <c r="G30" i="78"/>
  <c r="J29" i="78"/>
  <c r="H29" i="78"/>
  <c r="G29" i="78"/>
  <c r="J28" i="78"/>
  <c r="H28" i="78"/>
  <c r="G28" i="78"/>
  <c r="J27" i="78"/>
  <c r="H27" i="78"/>
  <c r="G27" i="78"/>
  <c r="H26" i="78"/>
  <c r="G26" i="78"/>
  <c r="H25" i="78"/>
  <c r="G25" i="78"/>
  <c r="J24" i="78"/>
  <c r="G24" i="78"/>
  <c r="J23" i="78"/>
  <c r="H23" i="78"/>
  <c r="G23" i="78"/>
  <c r="G22" i="78"/>
  <c r="J21" i="78"/>
  <c r="H21" i="78"/>
  <c r="G21" i="78"/>
  <c r="G20" i="78"/>
  <c r="H20" i="78" s="1"/>
  <c r="H19" i="78"/>
  <c r="G19" i="78"/>
  <c r="J18" i="78"/>
  <c r="H18" i="78"/>
  <c r="G18" i="78"/>
  <c r="H17" i="78"/>
  <c r="G17" i="78"/>
  <c r="G16" i="78"/>
  <c r="H15" i="78"/>
  <c r="G15" i="78"/>
  <c r="J15" i="78" s="1"/>
  <c r="G14" i="78"/>
  <c r="H13" i="78"/>
  <c r="G13" i="78"/>
  <c r="J13" i="78" s="1"/>
  <c r="G12" i="78"/>
  <c r="H11" i="78"/>
  <c r="G11" i="78"/>
  <c r="J11" i="78" s="1"/>
  <c r="H10" i="78"/>
  <c r="G10" i="78"/>
  <c r="G9" i="78"/>
  <c r="H9" i="78" s="1"/>
  <c r="G62" i="77"/>
  <c r="G61" i="77"/>
  <c r="G60" i="77"/>
  <c r="G59" i="77"/>
  <c r="E54" i="77"/>
  <c r="D54" i="77"/>
  <c r="C54" i="77"/>
  <c r="E53" i="77"/>
  <c r="D53" i="77"/>
  <c r="C53" i="77"/>
  <c r="G47" i="77"/>
  <c r="H47" i="77" s="1"/>
  <c r="G46" i="77"/>
  <c r="H46" i="77" s="1"/>
  <c r="G45" i="77"/>
  <c r="H45" i="77" s="1"/>
  <c r="F38" i="77"/>
  <c r="E38" i="77"/>
  <c r="D38" i="77"/>
  <c r="C38" i="77"/>
  <c r="G37" i="77"/>
  <c r="G36" i="77"/>
  <c r="J35" i="77"/>
  <c r="H35" i="77"/>
  <c r="G35" i="77"/>
  <c r="G34" i="77"/>
  <c r="H34" i="77" s="1"/>
  <c r="H33" i="77"/>
  <c r="G33" i="77"/>
  <c r="J32" i="77"/>
  <c r="H32" i="77"/>
  <c r="G32" i="77"/>
  <c r="J31" i="77"/>
  <c r="H31" i="77"/>
  <c r="G31" i="77"/>
  <c r="G30" i="77"/>
  <c r="H30" i="77" s="1"/>
  <c r="H29" i="77"/>
  <c r="G29" i="77"/>
  <c r="J29" i="77" s="1"/>
  <c r="G28" i="77"/>
  <c r="H27" i="77"/>
  <c r="G27" i="77"/>
  <c r="J27" i="77" s="1"/>
  <c r="G26" i="77"/>
  <c r="H25" i="77"/>
  <c r="G25" i="77"/>
  <c r="J25" i="77" s="1"/>
  <c r="G24" i="77"/>
  <c r="H23" i="77"/>
  <c r="G23" i="77"/>
  <c r="J23" i="77" s="1"/>
  <c r="G22" i="77"/>
  <c r="H21" i="77"/>
  <c r="G21" i="77"/>
  <c r="J21" i="77" s="1"/>
  <c r="G20" i="77"/>
  <c r="H19" i="77"/>
  <c r="G19" i="77"/>
  <c r="J19" i="77" s="1"/>
  <c r="H18" i="77"/>
  <c r="G18" i="77"/>
  <c r="J17" i="77"/>
  <c r="G17" i="77"/>
  <c r="J16" i="77"/>
  <c r="H16" i="77"/>
  <c r="G16" i="77"/>
  <c r="J15" i="77"/>
  <c r="G15" i="77"/>
  <c r="J14" i="77"/>
  <c r="H14" i="77"/>
  <c r="G14" i="77"/>
  <c r="G13" i="77"/>
  <c r="J12" i="77"/>
  <c r="H12" i="77"/>
  <c r="G12" i="77"/>
  <c r="G11" i="77"/>
  <c r="J10" i="77"/>
  <c r="H10" i="77"/>
  <c r="G10" i="77"/>
  <c r="G9" i="77"/>
  <c r="G68" i="76"/>
  <c r="G67" i="76"/>
  <c r="G66" i="76"/>
  <c r="G65" i="76"/>
  <c r="E60" i="76"/>
  <c r="D60" i="76"/>
  <c r="C60" i="76"/>
  <c r="E59" i="76"/>
  <c r="D59" i="76"/>
  <c r="C59" i="76"/>
  <c r="H53" i="76"/>
  <c r="G53" i="76"/>
  <c r="H52" i="76"/>
  <c r="G52" i="76"/>
  <c r="G51" i="76"/>
  <c r="H51" i="76" s="1"/>
  <c r="F44" i="76"/>
  <c r="E44" i="76"/>
  <c r="D44" i="76"/>
  <c r="C44" i="76"/>
  <c r="J43" i="76"/>
  <c r="H43" i="76"/>
  <c r="G43" i="76"/>
  <c r="J42" i="76"/>
  <c r="H42" i="76"/>
  <c r="G42" i="76"/>
  <c r="G41" i="76"/>
  <c r="H40" i="76"/>
  <c r="G40" i="76"/>
  <c r="J40" i="76" s="1"/>
  <c r="G39" i="76"/>
  <c r="H38" i="76"/>
  <c r="G38" i="76"/>
  <c r="J38" i="76" s="1"/>
  <c r="G37" i="76"/>
  <c r="H36" i="76"/>
  <c r="G36" i="76"/>
  <c r="G35" i="76"/>
  <c r="H34" i="76"/>
  <c r="G34" i="76"/>
  <c r="G33" i="76"/>
  <c r="H32" i="76"/>
  <c r="G32" i="76"/>
  <c r="G31" i="76"/>
  <c r="H30" i="76"/>
  <c r="G30" i="76"/>
  <c r="G29" i="76"/>
  <c r="G28" i="76"/>
  <c r="G27" i="76"/>
  <c r="H26" i="76"/>
  <c r="G26" i="76"/>
  <c r="G25" i="76"/>
  <c r="G24" i="76"/>
  <c r="G23" i="76"/>
  <c r="H22" i="76"/>
  <c r="G22" i="76"/>
  <c r="G21" i="76"/>
  <c r="G20" i="76"/>
  <c r="G19" i="76"/>
  <c r="H18" i="76"/>
  <c r="G18" i="76"/>
  <c r="G17" i="76"/>
  <c r="H16" i="76"/>
  <c r="G16" i="76"/>
  <c r="G15" i="76"/>
  <c r="H14" i="76"/>
  <c r="G14" i="76"/>
  <c r="G13" i="76"/>
  <c r="G12" i="76"/>
  <c r="G11" i="76"/>
  <c r="H10" i="76"/>
  <c r="G10" i="76"/>
  <c r="G9" i="76"/>
  <c r="G61" i="75"/>
  <c r="G60" i="75"/>
  <c r="G59" i="75"/>
  <c r="G58" i="75"/>
  <c r="E53" i="75"/>
  <c r="D53" i="75"/>
  <c r="C53" i="75"/>
  <c r="E52" i="75"/>
  <c r="D52" i="75"/>
  <c r="C52" i="75"/>
  <c r="G46" i="75"/>
  <c r="H46" i="75" s="1"/>
  <c r="G45" i="75"/>
  <c r="H45" i="75" s="1"/>
  <c r="G44" i="75"/>
  <c r="H44" i="75" s="1"/>
  <c r="F37" i="75"/>
  <c r="E37" i="75"/>
  <c r="D37" i="75"/>
  <c r="C37" i="75"/>
  <c r="H36" i="75"/>
  <c r="G36" i="75"/>
  <c r="G35" i="75"/>
  <c r="H35" i="75" s="1"/>
  <c r="H34" i="75"/>
  <c r="G34" i="75"/>
  <c r="J34" i="75" s="1"/>
  <c r="G33" i="75"/>
  <c r="G32" i="75"/>
  <c r="G31" i="75"/>
  <c r="H31" i="75" s="1"/>
  <c r="H30" i="75"/>
  <c r="G30" i="75"/>
  <c r="G29" i="75"/>
  <c r="H28" i="75"/>
  <c r="G28" i="75"/>
  <c r="J27" i="75"/>
  <c r="H27" i="75"/>
  <c r="G27" i="75"/>
  <c r="J26" i="75"/>
  <c r="H26" i="75"/>
  <c r="G26" i="75"/>
  <c r="J25" i="75"/>
  <c r="G25" i="75"/>
  <c r="J24" i="75"/>
  <c r="H24" i="75"/>
  <c r="G24" i="75"/>
  <c r="G23" i="75"/>
  <c r="J22" i="75"/>
  <c r="H22" i="75"/>
  <c r="G22" i="75"/>
  <c r="G21" i="75"/>
  <c r="G20" i="75"/>
  <c r="H20" i="75" s="1"/>
  <c r="G19" i="75"/>
  <c r="J18" i="75"/>
  <c r="G18" i="75"/>
  <c r="H18" i="75" s="1"/>
  <c r="G17" i="75"/>
  <c r="J16" i="75"/>
  <c r="G16" i="75"/>
  <c r="H16" i="75" s="1"/>
  <c r="G15" i="75"/>
  <c r="G14" i="75"/>
  <c r="G13" i="75"/>
  <c r="J12" i="75"/>
  <c r="G12" i="75"/>
  <c r="H12" i="75" s="1"/>
  <c r="G11" i="75"/>
  <c r="J10" i="75"/>
  <c r="G10" i="75"/>
  <c r="H10" i="75" s="1"/>
  <c r="G9" i="75"/>
  <c r="G43" i="74"/>
  <c r="G42" i="74"/>
  <c r="G41" i="74"/>
  <c r="G40" i="74"/>
  <c r="E35" i="74"/>
  <c r="D35" i="74"/>
  <c r="C35" i="74"/>
  <c r="E34" i="74"/>
  <c r="D34" i="74"/>
  <c r="C34" i="74"/>
  <c r="H28" i="74"/>
  <c r="G28" i="74"/>
  <c r="G27" i="74"/>
  <c r="H27" i="74" s="1"/>
  <c r="G26" i="74"/>
  <c r="H26" i="74" s="1"/>
  <c r="F19" i="74"/>
  <c r="E19" i="74"/>
  <c r="D19" i="74"/>
  <c r="C19" i="74"/>
  <c r="H18" i="74"/>
  <c r="G18" i="74"/>
  <c r="J17" i="74"/>
  <c r="H17" i="74"/>
  <c r="G17" i="74"/>
  <c r="J16" i="74"/>
  <c r="H16" i="74"/>
  <c r="G16" i="74"/>
  <c r="G15" i="74"/>
  <c r="H15" i="74" s="1"/>
  <c r="J14" i="74"/>
  <c r="H14" i="74"/>
  <c r="G14" i="74"/>
  <c r="G13" i="74"/>
  <c r="J12" i="74"/>
  <c r="H12" i="74"/>
  <c r="G12" i="74"/>
  <c r="G11" i="74"/>
  <c r="H10" i="74"/>
  <c r="G10" i="74"/>
  <c r="G9" i="74"/>
  <c r="G69" i="73"/>
  <c r="G68" i="73"/>
  <c r="G67" i="73"/>
  <c r="G66" i="73"/>
  <c r="E61" i="73"/>
  <c r="D61" i="73"/>
  <c r="C61" i="73"/>
  <c r="E60" i="73"/>
  <c r="D60" i="73"/>
  <c r="C60" i="73"/>
  <c r="G54" i="73"/>
  <c r="H54" i="73" s="1"/>
  <c r="G53" i="73"/>
  <c r="H53" i="73" s="1"/>
  <c r="G52" i="73"/>
  <c r="H52" i="73" s="1"/>
  <c r="F45" i="73"/>
  <c r="E45" i="73"/>
  <c r="D45" i="73"/>
  <c r="C45" i="73"/>
  <c r="H44" i="73"/>
  <c r="G44" i="73"/>
  <c r="G43" i="73"/>
  <c r="H42" i="73"/>
  <c r="G42" i="73"/>
  <c r="G41" i="73"/>
  <c r="H40" i="73"/>
  <c r="G40" i="73"/>
  <c r="G39" i="73"/>
  <c r="J38" i="73"/>
  <c r="H38" i="73"/>
  <c r="G38" i="73"/>
  <c r="G37" i="73"/>
  <c r="J36" i="73"/>
  <c r="H36" i="73"/>
  <c r="G36" i="73"/>
  <c r="H35" i="73"/>
  <c r="G35" i="73"/>
  <c r="J34" i="73"/>
  <c r="H34" i="73"/>
  <c r="G34" i="73"/>
  <c r="J33" i="73"/>
  <c r="H33" i="73"/>
  <c r="G33" i="73"/>
  <c r="J32" i="73"/>
  <c r="H32" i="73"/>
  <c r="G32" i="73"/>
  <c r="J31" i="73"/>
  <c r="H31" i="73"/>
  <c r="G31" i="73"/>
  <c r="J30" i="73"/>
  <c r="H30" i="73"/>
  <c r="G30" i="73"/>
  <c r="J29" i="73"/>
  <c r="H29" i="73"/>
  <c r="G29" i="73"/>
  <c r="J28" i="73"/>
  <c r="H28" i="73"/>
  <c r="G28" i="73"/>
  <c r="J27" i="73"/>
  <c r="H27" i="73"/>
  <c r="G27" i="73"/>
  <c r="J26" i="73"/>
  <c r="H26" i="73"/>
  <c r="G26" i="73"/>
  <c r="J25" i="73"/>
  <c r="H25" i="73"/>
  <c r="G25" i="73"/>
  <c r="J24" i="73"/>
  <c r="H24" i="73"/>
  <c r="G24" i="73"/>
  <c r="J23" i="73"/>
  <c r="H23" i="73"/>
  <c r="G23" i="73"/>
  <c r="J22" i="73"/>
  <c r="H22" i="73"/>
  <c r="G22" i="73"/>
  <c r="J21" i="73"/>
  <c r="H21" i="73"/>
  <c r="G21" i="73"/>
  <c r="J20" i="73"/>
  <c r="H20" i="73"/>
  <c r="G20" i="73"/>
  <c r="J19" i="73"/>
  <c r="H19" i="73"/>
  <c r="G19" i="73"/>
  <c r="J18" i="73"/>
  <c r="H18" i="73"/>
  <c r="G18" i="73"/>
  <c r="J17" i="73"/>
  <c r="H17" i="73"/>
  <c r="G17" i="73"/>
  <c r="J16" i="73"/>
  <c r="H16" i="73"/>
  <c r="G16" i="73"/>
  <c r="J15" i="73"/>
  <c r="H15" i="73"/>
  <c r="G15" i="73"/>
  <c r="J14" i="73"/>
  <c r="H14" i="73"/>
  <c r="G14" i="73"/>
  <c r="J13" i="73"/>
  <c r="H13" i="73"/>
  <c r="G13" i="73"/>
  <c r="J12" i="73"/>
  <c r="H12" i="73"/>
  <c r="G12" i="73"/>
  <c r="J11" i="73"/>
  <c r="H11" i="73"/>
  <c r="G11" i="73"/>
  <c r="J10" i="73"/>
  <c r="H10" i="73"/>
  <c r="G10" i="73"/>
  <c r="J9" i="73"/>
  <c r="H9" i="73"/>
  <c r="G9" i="73"/>
  <c r="G72" i="72"/>
  <c r="G71" i="72"/>
  <c r="G70" i="72"/>
  <c r="G69" i="72"/>
  <c r="E64" i="72"/>
  <c r="D64" i="72"/>
  <c r="C64" i="72"/>
  <c r="E63" i="72"/>
  <c r="D63" i="72"/>
  <c r="C63" i="72"/>
  <c r="H57" i="72"/>
  <c r="G57" i="72"/>
  <c r="H56" i="72"/>
  <c r="G56" i="72"/>
  <c r="H55" i="72"/>
  <c r="G55" i="72"/>
  <c r="F48" i="72"/>
  <c r="E48" i="72"/>
  <c r="D48" i="72"/>
  <c r="C48" i="72"/>
  <c r="G47" i="72"/>
  <c r="H47" i="72" s="1"/>
  <c r="G46" i="72"/>
  <c r="J45" i="72"/>
  <c r="G45" i="72"/>
  <c r="H45" i="72" s="1"/>
  <c r="G44" i="72"/>
  <c r="J43" i="72"/>
  <c r="G43" i="72"/>
  <c r="H43" i="72" s="1"/>
  <c r="G42" i="72"/>
  <c r="J41" i="72"/>
  <c r="G41" i="72"/>
  <c r="H41" i="72" s="1"/>
  <c r="H40" i="72"/>
  <c r="G40" i="72"/>
  <c r="J39" i="72"/>
  <c r="H39" i="72"/>
  <c r="G39" i="72"/>
  <c r="G38" i="72"/>
  <c r="H38" i="72" s="1"/>
  <c r="H37" i="72"/>
  <c r="G37" i="72"/>
  <c r="J36" i="72"/>
  <c r="H36" i="72"/>
  <c r="G36" i="72"/>
  <c r="H35" i="72"/>
  <c r="G35" i="72"/>
  <c r="J34" i="72"/>
  <c r="H34" i="72"/>
  <c r="G34" i="72"/>
  <c r="G33" i="72"/>
  <c r="J32" i="72"/>
  <c r="H32" i="72"/>
  <c r="G32" i="72"/>
  <c r="G31" i="72"/>
  <c r="J30" i="72"/>
  <c r="H30" i="72"/>
  <c r="G30" i="72"/>
  <c r="G29" i="72"/>
  <c r="J28" i="72"/>
  <c r="H28" i="72"/>
  <c r="G28" i="72"/>
  <c r="H27" i="72"/>
  <c r="G27" i="72"/>
  <c r="J26" i="72"/>
  <c r="H26" i="72"/>
  <c r="G26" i="72"/>
  <c r="H25" i="72"/>
  <c r="G25" i="72"/>
  <c r="J24" i="72"/>
  <c r="H24" i="72"/>
  <c r="G24" i="72"/>
  <c r="H23" i="72"/>
  <c r="G23" i="72"/>
  <c r="J22" i="72"/>
  <c r="H22" i="72"/>
  <c r="G22" i="72"/>
  <c r="G21" i="72"/>
  <c r="J20" i="72"/>
  <c r="H20" i="72"/>
  <c r="G20" i="72"/>
  <c r="H19" i="72"/>
  <c r="G19" i="72"/>
  <c r="J18" i="72"/>
  <c r="H18" i="72"/>
  <c r="G18" i="72"/>
  <c r="G17" i="72"/>
  <c r="J16" i="72"/>
  <c r="H16" i="72"/>
  <c r="G16" i="72"/>
  <c r="G15" i="72"/>
  <c r="J14" i="72"/>
  <c r="G14" i="72"/>
  <c r="H14" i="72" s="1"/>
  <c r="G13" i="72"/>
  <c r="J12" i="72"/>
  <c r="G12" i="72"/>
  <c r="H12" i="72" s="1"/>
  <c r="G11" i="72"/>
  <c r="J10" i="72"/>
  <c r="G10" i="72"/>
  <c r="H10" i="72" s="1"/>
  <c r="G9" i="72"/>
  <c r="G60" i="71"/>
  <c r="G59" i="71"/>
  <c r="G58" i="71"/>
  <c r="G57" i="71"/>
  <c r="E52" i="71"/>
  <c r="D52" i="71"/>
  <c r="C52" i="71"/>
  <c r="E51" i="71"/>
  <c r="D51" i="71"/>
  <c r="C51" i="71"/>
  <c r="G45" i="71"/>
  <c r="H45" i="71" s="1"/>
  <c r="G44" i="71"/>
  <c r="H44" i="71" s="1"/>
  <c r="G43" i="71"/>
  <c r="H43" i="71" s="1"/>
  <c r="F36" i="71"/>
  <c r="E36" i="71"/>
  <c r="E37" i="71" s="1"/>
  <c r="D36" i="71"/>
  <c r="C36" i="71"/>
  <c r="H35" i="71"/>
  <c r="G35" i="71"/>
  <c r="H34" i="71"/>
  <c r="G34" i="71"/>
  <c r="J33" i="71"/>
  <c r="H33" i="71"/>
  <c r="G33" i="71"/>
  <c r="H32" i="71"/>
  <c r="G32" i="71"/>
  <c r="J31" i="71"/>
  <c r="H31" i="71"/>
  <c r="G31" i="71"/>
  <c r="H30" i="71"/>
  <c r="G30" i="71"/>
  <c r="J29" i="71"/>
  <c r="H29" i="71"/>
  <c r="G29" i="71"/>
  <c r="H28" i="71"/>
  <c r="G28" i="71"/>
  <c r="J27" i="71"/>
  <c r="H27" i="71"/>
  <c r="G27" i="71"/>
  <c r="H26" i="71"/>
  <c r="G26" i="71"/>
  <c r="J25" i="71"/>
  <c r="H25" i="71"/>
  <c r="G25" i="71"/>
  <c r="G24" i="71"/>
  <c r="J23" i="71"/>
  <c r="H23" i="71"/>
  <c r="G23" i="71"/>
  <c r="G22" i="71"/>
  <c r="J21" i="71"/>
  <c r="I21" i="71"/>
  <c r="G21" i="71"/>
  <c r="H21" i="71" s="1"/>
  <c r="G20" i="71"/>
  <c r="H19" i="71"/>
  <c r="G19" i="71"/>
  <c r="J18" i="71"/>
  <c r="H18" i="71"/>
  <c r="G18" i="71"/>
  <c r="J17" i="71"/>
  <c r="H17" i="71"/>
  <c r="G17" i="71"/>
  <c r="J16" i="71"/>
  <c r="H16" i="71"/>
  <c r="G16" i="71"/>
  <c r="J15" i="71"/>
  <c r="H15" i="71"/>
  <c r="G15" i="71"/>
  <c r="J14" i="71"/>
  <c r="H14" i="71"/>
  <c r="G14" i="71"/>
  <c r="J13" i="71"/>
  <c r="H13" i="71"/>
  <c r="G13" i="71"/>
  <c r="J12" i="71"/>
  <c r="H12" i="71"/>
  <c r="G12" i="71"/>
  <c r="J11" i="71"/>
  <c r="H11" i="71"/>
  <c r="G11" i="71"/>
  <c r="J10" i="71"/>
  <c r="H10" i="71"/>
  <c r="G10" i="71"/>
  <c r="J9" i="71"/>
  <c r="H9" i="71"/>
  <c r="G9" i="71"/>
  <c r="G36" i="71" s="1"/>
  <c r="I13" i="71" s="1"/>
  <c r="G61" i="70"/>
  <c r="G60" i="70"/>
  <c r="G59" i="70"/>
  <c r="G58" i="70"/>
  <c r="E53" i="70"/>
  <c r="D53" i="70"/>
  <c r="C53" i="70"/>
  <c r="E52" i="70"/>
  <c r="D52" i="70"/>
  <c r="C52" i="70"/>
  <c r="H46" i="70"/>
  <c r="G46" i="70"/>
  <c r="H45" i="70"/>
  <c r="G45" i="70"/>
  <c r="H44" i="70"/>
  <c r="G44" i="70"/>
  <c r="F37" i="70"/>
  <c r="E37" i="70"/>
  <c r="D37" i="70"/>
  <c r="C37" i="70"/>
  <c r="G36" i="70"/>
  <c r="H35" i="70"/>
  <c r="G35" i="70"/>
  <c r="G34" i="70"/>
  <c r="H34" i="70" s="1"/>
  <c r="H33" i="70"/>
  <c r="G33" i="70"/>
  <c r="G32" i="70"/>
  <c r="J32" i="70" s="1"/>
  <c r="G31" i="70"/>
  <c r="G30" i="70"/>
  <c r="H30" i="70" s="1"/>
  <c r="G29" i="70"/>
  <c r="G28" i="70"/>
  <c r="G27" i="70"/>
  <c r="J26" i="70"/>
  <c r="G26" i="70"/>
  <c r="H26" i="70" s="1"/>
  <c r="G25" i="70"/>
  <c r="J24" i="70"/>
  <c r="G24" i="70"/>
  <c r="G23" i="70"/>
  <c r="J22" i="70"/>
  <c r="G22" i="70"/>
  <c r="H22" i="70" s="1"/>
  <c r="G21" i="70"/>
  <c r="G20" i="70"/>
  <c r="G19" i="70"/>
  <c r="J18" i="70"/>
  <c r="G18" i="70"/>
  <c r="H18" i="70" s="1"/>
  <c r="G17" i="70"/>
  <c r="J16" i="70"/>
  <c r="G16" i="70"/>
  <c r="G15" i="70"/>
  <c r="H14" i="70"/>
  <c r="G14" i="70"/>
  <c r="J13" i="70"/>
  <c r="H13" i="70"/>
  <c r="G13" i="70"/>
  <c r="J12" i="70"/>
  <c r="H12" i="70"/>
  <c r="G12" i="70"/>
  <c r="J11" i="70"/>
  <c r="H11" i="70"/>
  <c r="G11" i="70"/>
  <c r="J10" i="70"/>
  <c r="H10" i="70"/>
  <c r="G10" i="70"/>
  <c r="J9" i="70"/>
  <c r="H9" i="70"/>
  <c r="G9" i="70"/>
  <c r="G69" i="69"/>
  <c r="G68" i="69"/>
  <c r="G67" i="69"/>
  <c r="G66" i="69"/>
  <c r="E61" i="69"/>
  <c r="D61" i="69"/>
  <c r="C61" i="69"/>
  <c r="E60" i="69"/>
  <c r="D60" i="69"/>
  <c r="C60" i="69"/>
  <c r="H54" i="69"/>
  <c r="G54" i="69"/>
  <c r="H53" i="69"/>
  <c r="G53" i="69"/>
  <c r="H52" i="69"/>
  <c r="G52" i="69"/>
  <c r="F45" i="69"/>
  <c r="E45" i="69"/>
  <c r="D45" i="69"/>
  <c r="C45" i="69"/>
  <c r="J44" i="69"/>
  <c r="H44" i="69"/>
  <c r="G44" i="69"/>
  <c r="J43" i="69"/>
  <c r="H43" i="69"/>
  <c r="G43" i="69"/>
  <c r="J42" i="69"/>
  <c r="H42" i="69"/>
  <c r="G42" i="69"/>
  <c r="G41" i="69"/>
  <c r="J40" i="69"/>
  <c r="G40" i="69"/>
  <c r="H40" i="69" s="1"/>
  <c r="G39" i="69"/>
  <c r="G38" i="69"/>
  <c r="G37" i="69"/>
  <c r="H36" i="69"/>
  <c r="G36" i="69"/>
  <c r="G35" i="69"/>
  <c r="J34" i="69"/>
  <c r="G34" i="69"/>
  <c r="H34" i="69" s="1"/>
  <c r="G33" i="69"/>
  <c r="G32" i="69"/>
  <c r="G31" i="69"/>
  <c r="J30" i="69"/>
  <c r="G30" i="69"/>
  <c r="H30" i="69" s="1"/>
  <c r="G29" i="69"/>
  <c r="H28" i="69"/>
  <c r="G28" i="69"/>
  <c r="H27" i="69"/>
  <c r="G27" i="69"/>
  <c r="H26" i="69"/>
  <c r="G26" i="69"/>
  <c r="G25" i="69"/>
  <c r="H24" i="69"/>
  <c r="G24" i="69"/>
  <c r="J24" i="69" s="1"/>
  <c r="H23" i="69"/>
  <c r="G23" i="69"/>
  <c r="J22" i="69"/>
  <c r="H22" i="69"/>
  <c r="G22" i="69"/>
  <c r="J21" i="69"/>
  <c r="H21" i="69"/>
  <c r="G21" i="69"/>
  <c r="G20" i="69"/>
  <c r="J19" i="69"/>
  <c r="H19" i="69"/>
  <c r="G19" i="69"/>
  <c r="G18" i="69"/>
  <c r="J17" i="69"/>
  <c r="H17" i="69"/>
  <c r="G17" i="69"/>
  <c r="J16" i="69"/>
  <c r="G16" i="69"/>
  <c r="J15" i="69"/>
  <c r="H15" i="69"/>
  <c r="G15" i="69"/>
  <c r="G14" i="69"/>
  <c r="J13" i="69"/>
  <c r="H13" i="69"/>
  <c r="G13" i="69"/>
  <c r="G12" i="69"/>
  <c r="J11" i="69"/>
  <c r="H11" i="69"/>
  <c r="G11" i="69"/>
  <c r="J10" i="69"/>
  <c r="G10" i="69"/>
  <c r="J9" i="69"/>
  <c r="H9" i="69"/>
  <c r="G9" i="69"/>
  <c r="G62" i="68"/>
  <c r="G61" i="68"/>
  <c r="G60" i="68"/>
  <c r="G59" i="68"/>
  <c r="E54" i="68"/>
  <c r="D54" i="68"/>
  <c r="C54" i="68"/>
  <c r="E53" i="68"/>
  <c r="D53" i="68"/>
  <c r="C53" i="68"/>
  <c r="G47" i="68"/>
  <c r="H47" i="68" s="1"/>
  <c r="H46" i="68"/>
  <c r="G46" i="68"/>
  <c r="H45" i="68"/>
  <c r="G45" i="68"/>
  <c r="F38" i="68"/>
  <c r="E38" i="68"/>
  <c r="D38" i="68"/>
  <c r="C38" i="68"/>
  <c r="G37" i="68"/>
  <c r="G36" i="68"/>
  <c r="G35" i="68"/>
  <c r="J34" i="68"/>
  <c r="H34" i="68"/>
  <c r="G34" i="68"/>
  <c r="H33" i="68"/>
  <c r="G33" i="68"/>
  <c r="H32" i="68"/>
  <c r="G32" i="68"/>
  <c r="J31" i="68"/>
  <c r="H31" i="68"/>
  <c r="G31" i="68"/>
  <c r="J30" i="68"/>
  <c r="H30" i="68"/>
  <c r="G30" i="68"/>
  <c r="J29" i="68"/>
  <c r="H29" i="68"/>
  <c r="G29" i="68"/>
  <c r="J28" i="68"/>
  <c r="H28" i="68"/>
  <c r="G28" i="68"/>
  <c r="G27" i="68"/>
  <c r="H27" i="68" s="1"/>
  <c r="H26" i="68"/>
  <c r="G26" i="68"/>
  <c r="G25" i="68"/>
  <c r="G24" i="68"/>
  <c r="H24" i="68" s="1"/>
  <c r="J23" i="68"/>
  <c r="G23" i="68"/>
  <c r="H23" i="68" s="1"/>
  <c r="J22" i="68"/>
  <c r="G22" i="68"/>
  <c r="H22" i="68" s="1"/>
  <c r="G21" i="68"/>
  <c r="H20" i="68"/>
  <c r="G20" i="68"/>
  <c r="G19" i="68"/>
  <c r="H18" i="68"/>
  <c r="G18" i="68"/>
  <c r="J17" i="68"/>
  <c r="G17" i="68"/>
  <c r="G16" i="68"/>
  <c r="H16" i="68" s="1"/>
  <c r="J15" i="68"/>
  <c r="G15" i="68"/>
  <c r="H15" i="68" s="1"/>
  <c r="G14" i="68"/>
  <c r="H13" i="68"/>
  <c r="G13" i="68"/>
  <c r="H12" i="68"/>
  <c r="G12" i="68"/>
  <c r="G11" i="68"/>
  <c r="H10" i="68"/>
  <c r="G10" i="68"/>
  <c r="G9" i="68"/>
  <c r="G69" i="67"/>
  <c r="G68" i="67"/>
  <c r="G67" i="67"/>
  <c r="G66" i="67"/>
  <c r="E61" i="67"/>
  <c r="D61" i="67"/>
  <c r="C61" i="67"/>
  <c r="E60" i="67"/>
  <c r="D60" i="67"/>
  <c r="C60" i="67"/>
  <c r="G54" i="67"/>
  <c r="H54" i="67" s="1"/>
  <c r="H53" i="67"/>
  <c r="G53" i="67"/>
  <c r="H52" i="67"/>
  <c r="G52" i="67"/>
  <c r="F45" i="67"/>
  <c r="E45" i="67"/>
  <c r="D45" i="67"/>
  <c r="C45" i="67"/>
  <c r="G44" i="67"/>
  <c r="G43" i="67"/>
  <c r="H42" i="67"/>
  <c r="G42" i="67"/>
  <c r="G41" i="67"/>
  <c r="H40" i="67"/>
  <c r="G40" i="67"/>
  <c r="G39" i="67"/>
  <c r="H38" i="67"/>
  <c r="G38" i="67"/>
  <c r="J37" i="67"/>
  <c r="G37" i="67"/>
  <c r="H37" i="67" s="1"/>
  <c r="H36" i="67"/>
  <c r="G36" i="67"/>
  <c r="H35" i="67"/>
  <c r="G35" i="67"/>
  <c r="H34" i="67"/>
  <c r="G34" i="67"/>
  <c r="J34" i="67" s="1"/>
  <c r="G33" i="67"/>
  <c r="H32" i="67"/>
  <c r="G32" i="67"/>
  <c r="J32" i="67" s="1"/>
  <c r="H31" i="67"/>
  <c r="G31" i="67"/>
  <c r="H30" i="67"/>
  <c r="G30" i="67"/>
  <c r="H29" i="67"/>
  <c r="G29" i="67"/>
  <c r="H28" i="67"/>
  <c r="G28" i="67"/>
  <c r="J28" i="67" s="1"/>
  <c r="G27" i="67"/>
  <c r="H26" i="67"/>
  <c r="G26" i="67"/>
  <c r="J26" i="67" s="1"/>
  <c r="G25" i="67"/>
  <c r="G24" i="67"/>
  <c r="H23" i="67"/>
  <c r="G23" i="67"/>
  <c r="G22" i="67"/>
  <c r="H21" i="67"/>
  <c r="G21" i="67"/>
  <c r="H20" i="67"/>
  <c r="G20" i="67"/>
  <c r="J20" i="67" s="1"/>
  <c r="H19" i="67"/>
  <c r="G19" i="67"/>
  <c r="H18" i="67"/>
  <c r="G18" i="67"/>
  <c r="J18" i="67" s="1"/>
  <c r="G17" i="67"/>
  <c r="H16" i="67"/>
  <c r="G16" i="67"/>
  <c r="J16" i="67" s="1"/>
  <c r="H15" i="67"/>
  <c r="G15" i="67"/>
  <c r="H14" i="67"/>
  <c r="G14" i="67"/>
  <c r="H13" i="67"/>
  <c r="G13" i="67"/>
  <c r="H12" i="67"/>
  <c r="G12" i="67"/>
  <c r="J12" i="67" s="1"/>
  <c r="G11" i="67"/>
  <c r="H10" i="67"/>
  <c r="G10" i="67"/>
  <c r="J10" i="67" s="1"/>
  <c r="G9" i="67"/>
  <c r="G63" i="66"/>
  <c r="G62" i="66"/>
  <c r="G61" i="66"/>
  <c r="G60" i="66"/>
  <c r="E55" i="66"/>
  <c r="D55" i="66"/>
  <c r="C55" i="66"/>
  <c r="E54" i="66"/>
  <c r="D54" i="66"/>
  <c r="C54" i="66"/>
  <c r="G48" i="66"/>
  <c r="H48" i="66" s="1"/>
  <c r="H47" i="66"/>
  <c r="G47" i="66"/>
  <c r="G46" i="66"/>
  <c r="H46" i="66" s="1"/>
  <c r="F39" i="66"/>
  <c r="E39" i="66"/>
  <c r="D39" i="66"/>
  <c r="C39" i="66"/>
  <c r="J38" i="66"/>
  <c r="H38" i="66"/>
  <c r="G38" i="66"/>
  <c r="J37" i="66"/>
  <c r="G37" i="66"/>
  <c r="H37" i="66" s="1"/>
  <c r="J36" i="66"/>
  <c r="H36" i="66"/>
  <c r="G36" i="66"/>
  <c r="J35" i="66"/>
  <c r="G35" i="66"/>
  <c r="H35" i="66" s="1"/>
  <c r="H34" i="66"/>
  <c r="G34" i="66"/>
  <c r="H33" i="66"/>
  <c r="G33" i="66"/>
  <c r="G32" i="66"/>
  <c r="H31" i="66"/>
  <c r="G31" i="66"/>
  <c r="H30" i="66"/>
  <c r="G30" i="66"/>
  <c r="J29" i="66"/>
  <c r="H29" i="66"/>
  <c r="G29" i="66"/>
  <c r="H28" i="66"/>
  <c r="G28" i="66"/>
  <c r="J28" i="66" s="1"/>
  <c r="J27" i="66"/>
  <c r="H27" i="66"/>
  <c r="G27" i="66"/>
  <c r="H26" i="66"/>
  <c r="G26" i="66"/>
  <c r="J26" i="66" s="1"/>
  <c r="J25" i="66"/>
  <c r="H25" i="66"/>
  <c r="G25" i="66"/>
  <c r="H24" i="66"/>
  <c r="G24" i="66"/>
  <c r="J24" i="66" s="1"/>
  <c r="J23" i="66"/>
  <c r="H23" i="66"/>
  <c r="G23" i="66"/>
  <c r="H22" i="66"/>
  <c r="G22" i="66"/>
  <c r="J22" i="66" s="1"/>
  <c r="J21" i="66"/>
  <c r="H21" i="66"/>
  <c r="G21" i="66"/>
  <c r="H20" i="66"/>
  <c r="G20" i="66"/>
  <c r="J20" i="66" s="1"/>
  <c r="G19" i="66"/>
  <c r="H18" i="66"/>
  <c r="G18" i="66"/>
  <c r="H17" i="66"/>
  <c r="G17" i="66"/>
  <c r="J17" i="66" s="1"/>
  <c r="G16" i="66"/>
  <c r="G15" i="66"/>
  <c r="H14" i="66"/>
  <c r="G14" i="66"/>
  <c r="H13" i="66"/>
  <c r="G13" i="66"/>
  <c r="J13" i="66" s="1"/>
  <c r="J12" i="66"/>
  <c r="H12" i="66"/>
  <c r="G12" i="66"/>
  <c r="H11" i="66"/>
  <c r="G11" i="66"/>
  <c r="J11" i="66" s="1"/>
  <c r="J10" i="66"/>
  <c r="H10" i="66"/>
  <c r="G10" i="66"/>
  <c r="H9" i="66"/>
  <c r="G9" i="66"/>
  <c r="G39" i="66" s="1"/>
  <c r="I29" i="66" s="1"/>
  <c r="G66" i="65"/>
  <c r="G65" i="65"/>
  <c r="G64" i="65"/>
  <c r="G63" i="65"/>
  <c r="E58" i="65"/>
  <c r="D58" i="65"/>
  <c r="C58" i="65"/>
  <c r="E57" i="65"/>
  <c r="D57" i="65"/>
  <c r="C57" i="65"/>
  <c r="H51" i="65"/>
  <c r="G51" i="65"/>
  <c r="G50" i="65"/>
  <c r="H50" i="65" s="1"/>
  <c r="H49" i="65"/>
  <c r="G49" i="65"/>
  <c r="F42" i="65"/>
  <c r="E42" i="65"/>
  <c r="D42" i="65"/>
  <c r="C42" i="65"/>
  <c r="H41" i="65"/>
  <c r="G41" i="65"/>
  <c r="G40" i="65"/>
  <c r="H40" i="65" s="1"/>
  <c r="J39" i="65"/>
  <c r="H39" i="65"/>
  <c r="G39" i="65"/>
  <c r="H38" i="65"/>
  <c r="G38" i="65"/>
  <c r="J37" i="65"/>
  <c r="H37" i="65"/>
  <c r="G37" i="65"/>
  <c r="H36" i="65"/>
  <c r="G36" i="65"/>
  <c r="J36" i="65" s="1"/>
  <c r="H35" i="65"/>
  <c r="G35" i="65"/>
  <c r="G34" i="65"/>
  <c r="J33" i="65"/>
  <c r="H33" i="65"/>
  <c r="G33" i="65"/>
  <c r="G32" i="65"/>
  <c r="G31" i="65"/>
  <c r="J30" i="65"/>
  <c r="G30" i="65"/>
  <c r="H30" i="65" s="1"/>
  <c r="H29" i="65"/>
  <c r="G29" i="65"/>
  <c r="J29" i="65" s="1"/>
  <c r="J28" i="65"/>
  <c r="G28" i="65"/>
  <c r="H28" i="65" s="1"/>
  <c r="H27" i="65"/>
  <c r="G27" i="65"/>
  <c r="J27" i="65" s="1"/>
  <c r="G26" i="65"/>
  <c r="G25" i="65"/>
  <c r="G24" i="65"/>
  <c r="J23" i="65"/>
  <c r="H23" i="65"/>
  <c r="G23" i="65"/>
  <c r="J22" i="65"/>
  <c r="G22" i="65"/>
  <c r="H22" i="65" s="1"/>
  <c r="J21" i="65"/>
  <c r="H21" i="65"/>
  <c r="G21" i="65"/>
  <c r="G20" i="65"/>
  <c r="H20" i="65" s="1"/>
  <c r="H19" i="65"/>
  <c r="G19" i="65"/>
  <c r="J19" i="65" s="1"/>
  <c r="G18" i="65"/>
  <c r="H17" i="65"/>
  <c r="G17" i="65"/>
  <c r="G16" i="65"/>
  <c r="G15" i="65"/>
  <c r="J14" i="65"/>
  <c r="H14" i="65"/>
  <c r="G14" i="65"/>
  <c r="J13" i="65"/>
  <c r="G13" i="65"/>
  <c r="J12" i="65"/>
  <c r="H12" i="65"/>
  <c r="G12" i="65"/>
  <c r="H11" i="65"/>
  <c r="G11" i="65"/>
  <c r="J10" i="65"/>
  <c r="H10" i="65"/>
  <c r="G10" i="65"/>
  <c r="H9" i="65"/>
  <c r="G9" i="65"/>
  <c r="G62" i="64"/>
  <c r="G61" i="64"/>
  <c r="G60" i="64"/>
  <c r="G59" i="64"/>
  <c r="E54" i="64"/>
  <c r="D54" i="64"/>
  <c r="C54" i="64"/>
  <c r="E53" i="64"/>
  <c r="D53" i="64"/>
  <c r="C53" i="64"/>
  <c r="H47" i="64"/>
  <c r="G47" i="64"/>
  <c r="G46" i="64"/>
  <c r="H46" i="64" s="1"/>
  <c r="H45" i="64"/>
  <c r="G45" i="64"/>
  <c r="F38" i="64"/>
  <c r="E38" i="64"/>
  <c r="D38" i="64"/>
  <c r="C38" i="64"/>
  <c r="H37" i="64"/>
  <c r="G37" i="64"/>
  <c r="G36" i="64"/>
  <c r="J35" i="64"/>
  <c r="H35" i="64"/>
  <c r="G35" i="64"/>
  <c r="G34" i="64"/>
  <c r="J33" i="64"/>
  <c r="H33" i="64"/>
  <c r="G33" i="64"/>
  <c r="J32" i="64"/>
  <c r="G32" i="64"/>
  <c r="J31" i="64"/>
  <c r="H31" i="64"/>
  <c r="G31" i="64"/>
  <c r="J30" i="64"/>
  <c r="G30" i="64"/>
  <c r="J29" i="64"/>
  <c r="H29" i="64"/>
  <c r="G29" i="64"/>
  <c r="J28" i="64"/>
  <c r="G28" i="64"/>
  <c r="J27" i="64"/>
  <c r="H27" i="64"/>
  <c r="G27" i="64"/>
  <c r="G26" i="64"/>
  <c r="J25" i="64"/>
  <c r="H25" i="64"/>
  <c r="G25" i="64"/>
  <c r="G24" i="64"/>
  <c r="J23" i="64"/>
  <c r="H23" i="64"/>
  <c r="G23" i="64"/>
  <c r="J22" i="64"/>
  <c r="G22" i="64"/>
  <c r="J21" i="64"/>
  <c r="H21" i="64"/>
  <c r="G21" i="64"/>
  <c r="G20" i="64"/>
  <c r="J19" i="64"/>
  <c r="H19" i="64"/>
  <c r="G19" i="64"/>
  <c r="G18" i="64"/>
  <c r="J17" i="64"/>
  <c r="H17" i="64"/>
  <c r="G17" i="64"/>
  <c r="G16" i="64"/>
  <c r="J15" i="64"/>
  <c r="H15" i="64"/>
  <c r="G15" i="64"/>
  <c r="J14" i="64"/>
  <c r="G14" i="64"/>
  <c r="J13" i="64"/>
  <c r="H13" i="64"/>
  <c r="G13" i="64"/>
  <c r="J12" i="64"/>
  <c r="G12" i="64"/>
  <c r="J11" i="64"/>
  <c r="H11" i="64"/>
  <c r="G11" i="64"/>
  <c r="J10" i="64"/>
  <c r="G10" i="64"/>
  <c r="J9" i="64"/>
  <c r="H9" i="64"/>
  <c r="G9" i="64"/>
  <c r="G70" i="63"/>
  <c r="G69" i="63"/>
  <c r="G68" i="63"/>
  <c r="G67" i="63"/>
  <c r="E62" i="63"/>
  <c r="D62" i="63"/>
  <c r="C62" i="63"/>
  <c r="E61" i="63"/>
  <c r="D61" i="63"/>
  <c r="C61" i="63"/>
  <c r="G55" i="63"/>
  <c r="H55" i="63" s="1"/>
  <c r="H54" i="63"/>
  <c r="G54" i="63"/>
  <c r="H53" i="63"/>
  <c r="G53" i="63"/>
  <c r="F46" i="63"/>
  <c r="E46" i="63"/>
  <c r="D46" i="63"/>
  <c r="C46" i="63"/>
  <c r="H45" i="63"/>
  <c r="G45" i="63"/>
  <c r="J45" i="63" s="1"/>
  <c r="H44" i="63"/>
  <c r="G44" i="63"/>
  <c r="J44" i="63" s="1"/>
  <c r="H43" i="63"/>
  <c r="G43" i="63"/>
  <c r="J43" i="63" s="1"/>
  <c r="G42" i="63"/>
  <c r="G41" i="63"/>
  <c r="J40" i="63"/>
  <c r="H40" i="63"/>
  <c r="G40" i="63"/>
  <c r="G39" i="63"/>
  <c r="J38" i="63"/>
  <c r="H38" i="63"/>
  <c r="G38" i="63"/>
  <c r="G37" i="63"/>
  <c r="J36" i="63"/>
  <c r="H36" i="63"/>
  <c r="G36" i="63"/>
  <c r="J35" i="63"/>
  <c r="G35" i="63"/>
  <c r="J34" i="63"/>
  <c r="H34" i="63"/>
  <c r="G34" i="63"/>
  <c r="G33" i="63"/>
  <c r="J32" i="63"/>
  <c r="H32" i="63"/>
  <c r="G32" i="63"/>
  <c r="H31" i="63"/>
  <c r="G31" i="63"/>
  <c r="J30" i="63"/>
  <c r="G30" i="63"/>
  <c r="H30" i="63" s="1"/>
  <c r="H29" i="63"/>
  <c r="G29" i="63"/>
  <c r="J29" i="63" s="1"/>
  <c r="J28" i="63"/>
  <c r="G28" i="63"/>
  <c r="H28" i="63" s="1"/>
  <c r="H27" i="63"/>
  <c r="G27" i="63"/>
  <c r="J27" i="63" s="1"/>
  <c r="J26" i="63"/>
  <c r="G26" i="63"/>
  <c r="H26" i="63" s="1"/>
  <c r="H25" i="63"/>
  <c r="G25" i="63"/>
  <c r="J25" i="63" s="1"/>
  <c r="J24" i="63"/>
  <c r="G24" i="63"/>
  <c r="H24" i="63" s="1"/>
  <c r="H23" i="63"/>
  <c r="G23" i="63"/>
  <c r="J23" i="63" s="1"/>
  <c r="J22" i="63"/>
  <c r="G22" i="63"/>
  <c r="H22" i="63" s="1"/>
  <c r="H21" i="63"/>
  <c r="G21" i="63"/>
  <c r="J21" i="63" s="1"/>
  <c r="J20" i="63"/>
  <c r="G20" i="63"/>
  <c r="H20" i="63" s="1"/>
  <c r="H19" i="63"/>
  <c r="G19" i="63"/>
  <c r="J19" i="63" s="1"/>
  <c r="J18" i="63"/>
  <c r="G18" i="63"/>
  <c r="H18" i="63" s="1"/>
  <c r="H17" i="63"/>
  <c r="G17" i="63"/>
  <c r="J17" i="63" s="1"/>
  <c r="J16" i="63"/>
  <c r="G16" i="63"/>
  <c r="H16" i="63" s="1"/>
  <c r="H15" i="63"/>
  <c r="G15" i="63"/>
  <c r="J15" i="63" s="1"/>
  <c r="J14" i="63"/>
  <c r="G14" i="63"/>
  <c r="H14" i="63" s="1"/>
  <c r="H13" i="63"/>
  <c r="G13" i="63"/>
  <c r="J13" i="63" s="1"/>
  <c r="H12" i="63"/>
  <c r="G12" i="63"/>
  <c r="G11" i="63"/>
  <c r="G10" i="63"/>
  <c r="J9" i="63"/>
  <c r="H9" i="63"/>
  <c r="G9" i="63"/>
  <c r="G73" i="62"/>
  <c r="G72" i="62"/>
  <c r="G71" i="62"/>
  <c r="G70" i="62"/>
  <c r="E65" i="62"/>
  <c r="D65" i="62"/>
  <c r="C65" i="62"/>
  <c r="E64" i="62"/>
  <c r="D64" i="62"/>
  <c r="C64" i="62"/>
  <c r="G58" i="62"/>
  <c r="H58" i="62" s="1"/>
  <c r="H57" i="62"/>
  <c r="G57" i="62"/>
  <c r="H56" i="62"/>
  <c r="G56" i="62"/>
  <c r="F49" i="62"/>
  <c r="E49" i="62"/>
  <c r="D49" i="62"/>
  <c r="C49" i="62"/>
  <c r="G48" i="62"/>
  <c r="H47" i="62"/>
  <c r="G47" i="62"/>
  <c r="H46" i="62"/>
  <c r="G46" i="62"/>
  <c r="H45" i="62"/>
  <c r="G45" i="62"/>
  <c r="G44" i="62"/>
  <c r="H43" i="62"/>
  <c r="G43" i="62"/>
  <c r="J43" i="62" s="1"/>
  <c r="G42" i="62"/>
  <c r="H41" i="62"/>
  <c r="G41" i="62"/>
  <c r="J41" i="62" s="1"/>
  <c r="G40" i="62"/>
  <c r="J39" i="62"/>
  <c r="H39" i="62"/>
  <c r="G39" i="62"/>
  <c r="G38" i="62"/>
  <c r="G37" i="62"/>
  <c r="G36" i="62"/>
  <c r="J35" i="62"/>
  <c r="H35" i="62"/>
  <c r="G35" i="62"/>
  <c r="G34" i="62"/>
  <c r="J33" i="62"/>
  <c r="G33" i="62"/>
  <c r="G32" i="62"/>
  <c r="J31" i="62"/>
  <c r="H31" i="62"/>
  <c r="G31" i="62"/>
  <c r="G30" i="62"/>
  <c r="G29" i="62"/>
  <c r="G28" i="62"/>
  <c r="G27" i="62"/>
  <c r="G26" i="62"/>
  <c r="J25" i="62"/>
  <c r="G25" i="62"/>
  <c r="G24" i="62"/>
  <c r="H23" i="62"/>
  <c r="G23" i="62"/>
  <c r="G22" i="62"/>
  <c r="J21" i="62"/>
  <c r="H21" i="62"/>
  <c r="G21" i="62"/>
  <c r="G20" i="62"/>
  <c r="H19" i="62"/>
  <c r="G19" i="62"/>
  <c r="H18" i="62"/>
  <c r="G18" i="62"/>
  <c r="G17" i="62"/>
  <c r="J16" i="62"/>
  <c r="H16" i="62"/>
  <c r="G16" i="62"/>
  <c r="J15" i="62"/>
  <c r="G15" i="62"/>
  <c r="H15" i="62" s="1"/>
  <c r="J14" i="62"/>
  <c r="H14" i="62"/>
  <c r="G14" i="62"/>
  <c r="J13" i="62"/>
  <c r="G13" i="62"/>
  <c r="H13" i="62" s="1"/>
  <c r="G12" i="62"/>
  <c r="H12" i="62" s="1"/>
  <c r="H11" i="62"/>
  <c r="G11" i="62"/>
  <c r="J11" i="62" s="1"/>
  <c r="H10" i="62"/>
  <c r="G10" i="62"/>
  <c r="G9" i="62"/>
  <c r="G65" i="61"/>
  <c r="G64" i="61"/>
  <c r="G63" i="61"/>
  <c r="G62" i="61"/>
  <c r="E57" i="61"/>
  <c r="D57" i="61"/>
  <c r="C57" i="61"/>
  <c r="E56" i="61"/>
  <c r="D56" i="61"/>
  <c r="C56" i="61"/>
  <c r="G50" i="61"/>
  <c r="H50" i="61" s="1"/>
  <c r="H49" i="61"/>
  <c r="G49" i="61"/>
  <c r="G48" i="61"/>
  <c r="H48" i="61" s="1"/>
  <c r="F41" i="61"/>
  <c r="E41" i="61"/>
  <c r="D41" i="61"/>
  <c r="C41" i="61"/>
  <c r="J40" i="61"/>
  <c r="H40" i="61"/>
  <c r="G40" i="61"/>
  <c r="H39" i="61"/>
  <c r="G39" i="61"/>
  <c r="G38" i="61"/>
  <c r="H37" i="61"/>
  <c r="G37" i="61"/>
  <c r="J37" i="61" s="1"/>
  <c r="H36" i="61"/>
  <c r="G36" i="61"/>
  <c r="J36" i="61" s="1"/>
  <c r="G35" i="61"/>
  <c r="J35" i="61" s="1"/>
  <c r="G34" i="61"/>
  <c r="H33" i="61"/>
  <c r="G33" i="61"/>
  <c r="J32" i="61"/>
  <c r="G32" i="61"/>
  <c r="G31" i="61"/>
  <c r="J30" i="61"/>
  <c r="H30" i="61"/>
  <c r="G30" i="61"/>
  <c r="H29" i="61"/>
  <c r="G29" i="61"/>
  <c r="J29" i="61" s="1"/>
  <c r="J28" i="61"/>
  <c r="H28" i="61"/>
  <c r="G28" i="61"/>
  <c r="G27" i="61"/>
  <c r="H26" i="61"/>
  <c r="G26" i="61"/>
  <c r="J26" i="61" s="1"/>
  <c r="G25" i="61"/>
  <c r="J25" i="61" s="1"/>
  <c r="J24" i="61"/>
  <c r="H24" i="61"/>
  <c r="G24" i="61"/>
  <c r="H23" i="61"/>
  <c r="G23" i="61"/>
  <c r="J23" i="61" s="1"/>
  <c r="G22" i="61"/>
  <c r="H21" i="61"/>
  <c r="G21" i="61"/>
  <c r="J21" i="61" s="1"/>
  <c r="H20" i="61"/>
  <c r="G20" i="61"/>
  <c r="J20" i="61" s="1"/>
  <c r="G19" i="61"/>
  <c r="G18" i="61"/>
  <c r="H17" i="61"/>
  <c r="G17" i="61"/>
  <c r="J16" i="61"/>
  <c r="G16" i="61"/>
  <c r="H15" i="61"/>
  <c r="G15" i="61"/>
  <c r="J14" i="61"/>
  <c r="H14" i="61"/>
  <c r="G14" i="61"/>
  <c r="G13" i="61"/>
  <c r="H12" i="61"/>
  <c r="G12" i="61"/>
  <c r="J12" i="61" s="1"/>
  <c r="G11" i="61"/>
  <c r="H10" i="61"/>
  <c r="G10" i="61"/>
  <c r="J10" i="61" s="1"/>
  <c r="G9" i="61"/>
  <c r="G68" i="60"/>
  <c r="G67" i="60"/>
  <c r="G66" i="60"/>
  <c r="G65" i="60"/>
  <c r="E60" i="60"/>
  <c r="D60" i="60"/>
  <c r="C60" i="60"/>
  <c r="E59" i="60"/>
  <c r="D59" i="60"/>
  <c r="C59" i="60"/>
  <c r="G53" i="60"/>
  <c r="H53" i="60" s="1"/>
  <c r="H52" i="60"/>
  <c r="G52" i="60"/>
  <c r="G51" i="60"/>
  <c r="H51" i="60" s="1"/>
  <c r="F44" i="60"/>
  <c r="E44" i="60"/>
  <c r="D44" i="60"/>
  <c r="C44" i="60"/>
  <c r="H43" i="60"/>
  <c r="G43" i="60"/>
  <c r="G42" i="60"/>
  <c r="G41" i="60"/>
  <c r="J40" i="60"/>
  <c r="G40" i="60"/>
  <c r="J39" i="60"/>
  <c r="H39" i="60"/>
  <c r="G39" i="60"/>
  <c r="J38" i="60"/>
  <c r="G38" i="60"/>
  <c r="G37" i="60"/>
  <c r="J36" i="60"/>
  <c r="H36" i="60"/>
  <c r="G36" i="60"/>
  <c r="G35" i="60"/>
  <c r="J34" i="60"/>
  <c r="H34" i="60"/>
  <c r="G34" i="60"/>
  <c r="G33" i="60"/>
  <c r="J32" i="60"/>
  <c r="H32" i="60"/>
  <c r="G32" i="60"/>
  <c r="G31" i="60"/>
  <c r="J30" i="60"/>
  <c r="H30" i="60"/>
  <c r="G30" i="60"/>
  <c r="G29" i="60"/>
  <c r="J28" i="60"/>
  <c r="H28" i="60"/>
  <c r="G28" i="60"/>
  <c r="G27" i="60"/>
  <c r="J26" i="60"/>
  <c r="H26" i="60"/>
  <c r="G26" i="60"/>
  <c r="G25" i="60"/>
  <c r="J24" i="60"/>
  <c r="H24" i="60"/>
  <c r="G24" i="60"/>
  <c r="G23" i="60"/>
  <c r="J22" i="60"/>
  <c r="H22" i="60"/>
  <c r="G22" i="60"/>
  <c r="G21" i="60"/>
  <c r="J20" i="60"/>
  <c r="H20" i="60"/>
  <c r="G20" i="60"/>
  <c r="G19" i="60"/>
  <c r="J18" i="60"/>
  <c r="H18" i="60"/>
  <c r="G18" i="60"/>
  <c r="G17" i="60"/>
  <c r="J16" i="60"/>
  <c r="H16" i="60"/>
  <c r="G16" i="60"/>
  <c r="H15" i="60"/>
  <c r="G15" i="60"/>
  <c r="J14" i="60"/>
  <c r="H14" i="60"/>
  <c r="G14" i="60"/>
  <c r="H13" i="60"/>
  <c r="G13" i="60"/>
  <c r="J13" i="60" s="1"/>
  <c r="J12" i="60"/>
  <c r="H12" i="60"/>
  <c r="G12" i="60"/>
  <c r="H11" i="60"/>
  <c r="G11" i="60"/>
  <c r="J11" i="60" s="1"/>
  <c r="J10" i="60"/>
  <c r="H10" i="60"/>
  <c r="G10" i="60"/>
  <c r="H9" i="60"/>
  <c r="G9" i="60"/>
  <c r="G61" i="59"/>
  <c r="G60" i="59"/>
  <c r="G59" i="59"/>
  <c r="G58" i="59"/>
  <c r="E53" i="59"/>
  <c r="D53" i="59"/>
  <c r="C53" i="59"/>
  <c r="E52" i="59"/>
  <c r="D52" i="59"/>
  <c r="C52" i="59"/>
  <c r="H46" i="59"/>
  <c r="G46" i="59"/>
  <c r="G45" i="59"/>
  <c r="H45" i="59" s="1"/>
  <c r="H44" i="59"/>
  <c r="G44" i="59"/>
  <c r="F37" i="59"/>
  <c r="E37" i="59"/>
  <c r="D37" i="59"/>
  <c r="C37" i="59"/>
  <c r="H36" i="59"/>
  <c r="G36" i="59"/>
  <c r="H35" i="59"/>
  <c r="G35" i="59"/>
  <c r="J34" i="59"/>
  <c r="H34" i="59"/>
  <c r="G34" i="59"/>
  <c r="H33" i="59"/>
  <c r="G33" i="59"/>
  <c r="J33" i="59" s="1"/>
  <c r="J32" i="59"/>
  <c r="H32" i="59"/>
  <c r="G32" i="59"/>
  <c r="G31" i="59"/>
  <c r="G30" i="59"/>
  <c r="G29" i="59"/>
  <c r="G28" i="59"/>
  <c r="J28" i="59" s="1"/>
  <c r="G27" i="59"/>
  <c r="G26" i="59"/>
  <c r="G25" i="59"/>
  <c r="H24" i="59"/>
  <c r="G24" i="59"/>
  <c r="J24" i="59" s="1"/>
  <c r="G23" i="59"/>
  <c r="G22" i="59"/>
  <c r="G21" i="59"/>
  <c r="H20" i="59"/>
  <c r="G20" i="59"/>
  <c r="J20" i="59" s="1"/>
  <c r="G19" i="59"/>
  <c r="G18" i="59"/>
  <c r="G17" i="59"/>
  <c r="G16" i="59"/>
  <c r="G15" i="59"/>
  <c r="G14" i="59"/>
  <c r="G13" i="59"/>
  <c r="G12" i="59"/>
  <c r="J12" i="59" s="1"/>
  <c r="G11" i="59"/>
  <c r="G10" i="59"/>
  <c r="G9" i="59"/>
  <c r="G63" i="58"/>
  <c r="G62" i="58"/>
  <c r="G61" i="58"/>
  <c r="G60" i="58"/>
  <c r="E55" i="58"/>
  <c r="D55" i="58"/>
  <c r="C55" i="58"/>
  <c r="E54" i="58"/>
  <c r="D54" i="58"/>
  <c r="C54" i="58"/>
  <c r="H48" i="58"/>
  <c r="G48" i="58"/>
  <c r="H47" i="58"/>
  <c r="G47" i="58"/>
  <c r="G46" i="58"/>
  <c r="H46" i="58" s="1"/>
  <c r="F39" i="58"/>
  <c r="E39" i="58"/>
  <c r="D39" i="58"/>
  <c r="C39" i="58"/>
  <c r="H38" i="58"/>
  <c r="G38" i="58"/>
  <c r="H37" i="58"/>
  <c r="G37" i="58"/>
  <c r="J37" i="58" s="1"/>
  <c r="J36" i="58"/>
  <c r="H36" i="58"/>
  <c r="G36" i="58"/>
  <c r="H35" i="58"/>
  <c r="G35" i="58"/>
  <c r="J35" i="58" s="1"/>
  <c r="H34" i="58"/>
  <c r="G34" i="58"/>
  <c r="G33" i="58"/>
  <c r="H33" i="58" s="1"/>
  <c r="G32" i="58"/>
  <c r="J31" i="58"/>
  <c r="H31" i="58"/>
  <c r="G31" i="58"/>
  <c r="G30" i="58"/>
  <c r="J29" i="58"/>
  <c r="H29" i="58"/>
  <c r="G29" i="58"/>
  <c r="G28" i="58"/>
  <c r="J27" i="58"/>
  <c r="H27" i="58"/>
  <c r="G27" i="58"/>
  <c r="G26" i="58"/>
  <c r="H25" i="58"/>
  <c r="G25" i="58"/>
  <c r="G24" i="58"/>
  <c r="G23" i="58"/>
  <c r="H22" i="58"/>
  <c r="G22" i="58"/>
  <c r="G21" i="58"/>
  <c r="J20" i="58"/>
  <c r="H20" i="58"/>
  <c r="G20" i="58"/>
  <c r="H19" i="58"/>
  <c r="G19" i="58"/>
  <c r="G18" i="58"/>
  <c r="H18" i="58" s="1"/>
  <c r="G17" i="58"/>
  <c r="H16" i="58"/>
  <c r="G16" i="58"/>
  <c r="J15" i="58"/>
  <c r="G15" i="58"/>
  <c r="H15" i="58" s="1"/>
  <c r="J14" i="58"/>
  <c r="G14" i="58"/>
  <c r="H13" i="58"/>
  <c r="G13" i="58"/>
  <c r="H12" i="58"/>
  <c r="G12" i="58"/>
  <c r="J11" i="58"/>
  <c r="H11" i="58"/>
  <c r="G11" i="58"/>
  <c r="H10" i="58"/>
  <c r="G10" i="58"/>
  <c r="J10" i="58" s="1"/>
  <c r="G9" i="58"/>
  <c r="G51" i="57"/>
  <c r="G50" i="57"/>
  <c r="G49" i="57"/>
  <c r="G48" i="57"/>
  <c r="E43" i="57"/>
  <c r="D43" i="57"/>
  <c r="C43" i="57"/>
  <c r="E42" i="57"/>
  <c r="D42" i="57"/>
  <c r="C42" i="57"/>
  <c r="G36" i="57"/>
  <c r="H36" i="57" s="1"/>
  <c r="G35" i="57"/>
  <c r="H35" i="57" s="1"/>
  <c r="G34" i="57"/>
  <c r="H34" i="57" s="1"/>
  <c r="F27" i="57"/>
  <c r="E27" i="57"/>
  <c r="D27" i="57"/>
  <c r="C27" i="57"/>
  <c r="G26" i="57"/>
  <c r="J25" i="57"/>
  <c r="H25" i="57"/>
  <c r="G25" i="57"/>
  <c r="H24" i="57"/>
  <c r="G24" i="57"/>
  <c r="J23" i="57"/>
  <c r="H23" i="57"/>
  <c r="G23" i="57"/>
  <c r="G22" i="57"/>
  <c r="G21" i="57"/>
  <c r="G20" i="57"/>
  <c r="H20" i="57" s="1"/>
  <c r="J19" i="57"/>
  <c r="G19" i="57"/>
  <c r="H18" i="57"/>
  <c r="G18" i="57"/>
  <c r="H17" i="57"/>
  <c r="G17" i="57"/>
  <c r="J16" i="57"/>
  <c r="H16" i="57"/>
  <c r="G16" i="57"/>
  <c r="H15" i="57"/>
  <c r="G15" i="57"/>
  <c r="J15" i="57" s="1"/>
  <c r="J14" i="57"/>
  <c r="H14" i="57"/>
  <c r="G14" i="57"/>
  <c r="H13" i="57"/>
  <c r="G13" i="57"/>
  <c r="J13" i="57" s="1"/>
  <c r="J12" i="57"/>
  <c r="H12" i="57"/>
  <c r="G12" i="57"/>
  <c r="H11" i="57"/>
  <c r="G11" i="57"/>
  <c r="J11" i="57" s="1"/>
  <c r="J10" i="57"/>
  <c r="H10" i="57"/>
  <c r="G10" i="57"/>
  <c r="H9" i="57"/>
  <c r="G9" i="57"/>
  <c r="J9" i="57" s="1"/>
  <c r="G69" i="56"/>
  <c r="G68" i="56"/>
  <c r="G67" i="56"/>
  <c r="G66" i="56"/>
  <c r="E61" i="56"/>
  <c r="D61" i="56"/>
  <c r="C61" i="56"/>
  <c r="E60" i="56"/>
  <c r="D60" i="56"/>
  <c r="C60" i="56"/>
  <c r="H54" i="56"/>
  <c r="G54" i="56"/>
  <c r="G53" i="56"/>
  <c r="H53" i="56" s="1"/>
  <c r="H52" i="56"/>
  <c r="G52" i="56"/>
  <c r="F45" i="56"/>
  <c r="E45" i="56"/>
  <c r="D45" i="56"/>
  <c r="C45" i="56"/>
  <c r="J44" i="56"/>
  <c r="G44" i="56"/>
  <c r="H44" i="56" s="1"/>
  <c r="G43" i="56"/>
  <c r="J42" i="56"/>
  <c r="G42" i="56"/>
  <c r="H42" i="56" s="1"/>
  <c r="G41" i="56"/>
  <c r="J40" i="56"/>
  <c r="H40" i="56"/>
  <c r="G40" i="56"/>
  <c r="G39" i="56"/>
  <c r="J38" i="56"/>
  <c r="H38" i="56"/>
  <c r="G38" i="56"/>
  <c r="G37" i="56"/>
  <c r="J36" i="56"/>
  <c r="H36" i="56"/>
  <c r="G36" i="56"/>
  <c r="G35" i="56"/>
  <c r="J34" i="56"/>
  <c r="H34" i="56"/>
  <c r="G34" i="56"/>
  <c r="G33" i="56"/>
  <c r="J32" i="56"/>
  <c r="H32" i="56"/>
  <c r="G32" i="56"/>
  <c r="G31" i="56"/>
  <c r="J30" i="56"/>
  <c r="H30" i="56"/>
  <c r="G30" i="56"/>
  <c r="G29" i="56"/>
  <c r="J28" i="56"/>
  <c r="H28" i="56"/>
  <c r="G28" i="56"/>
  <c r="G27" i="56"/>
  <c r="J26" i="56"/>
  <c r="H26" i="56"/>
  <c r="G26" i="56"/>
  <c r="G25" i="56"/>
  <c r="J24" i="56"/>
  <c r="H24" i="56"/>
  <c r="G24" i="56"/>
  <c r="G23" i="56"/>
  <c r="J22" i="56"/>
  <c r="H22" i="56"/>
  <c r="G22" i="56"/>
  <c r="G21" i="56"/>
  <c r="J20" i="56"/>
  <c r="H20" i="56"/>
  <c r="G20" i="56"/>
  <c r="G19" i="56"/>
  <c r="J18" i="56"/>
  <c r="H18" i="56"/>
  <c r="G18" i="56"/>
  <c r="G17" i="56"/>
  <c r="J16" i="56"/>
  <c r="H16" i="56"/>
  <c r="G16" i="56"/>
  <c r="H15" i="56"/>
  <c r="G15" i="56"/>
  <c r="J15" i="56" s="1"/>
  <c r="J14" i="56"/>
  <c r="H14" i="56"/>
  <c r="G14" i="56"/>
  <c r="G13" i="56"/>
  <c r="H12" i="56"/>
  <c r="G12" i="56"/>
  <c r="H11" i="56"/>
  <c r="G11" i="56"/>
  <c r="G10" i="56"/>
  <c r="H9" i="56"/>
  <c r="G9" i="56"/>
  <c r="G68" i="55"/>
  <c r="G67" i="55"/>
  <c r="G66" i="55"/>
  <c r="G65" i="55"/>
  <c r="E60" i="55"/>
  <c r="D60" i="55"/>
  <c r="C60" i="55"/>
  <c r="E59" i="55"/>
  <c r="D59" i="55"/>
  <c r="C59" i="55"/>
  <c r="H53" i="55"/>
  <c r="G53" i="55"/>
  <c r="G52" i="55"/>
  <c r="H52" i="55" s="1"/>
  <c r="G51" i="55"/>
  <c r="H51" i="55" s="1"/>
  <c r="F44" i="55"/>
  <c r="E44" i="55"/>
  <c r="D44" i="55"/>
  <c r="C44" i="55"/>
  <c r="H43" i="55"/>
  <c r="G43" i="55"/>
  <c r="G42" i="55"/>
  <c r="H42" i="55" s="1"/>
  <c r="H41" i="55"/>
  <c r="G41" i="55"/>
  <c r="J41" i="55" s="1"/>
  <c r="J40" i="55"/>
  <c r="G40" i="55"/>
  <c r="H40" i="55" s="1"/>
  <c r="J39" i="55"/>
  <c r="H39" i="55"/>
  <c r="G39" i="55"/>
  <c r="J38" i="55"/>
  <c r="G38" i="55"/>
  <c r="H38" i="55" s="1"/>
  <c r="G37" i="55"/>
  <c r="J36" i="55"/>
  <c r="G36" i="55"/>
  <c r="H36" i="55" s="1"/>
  <c r="J35" i="55"/>
  <c r="H35" i="55"/>
  <c r="G35" i="55"/>
  <c r="J34" i="55"/>
  <c r="G34" i="55"/>
  <c r="H34" i="55" s="1"/>
  <c r="G33" i="55"/>
  <c r="J32" i="55"/>
  <c r="G32" i="55"/>
  <c r="H32" i="55" s="1"/>
  <c r="J31" i="55"/>
  <c r="H31" i="55"/>
  <c r="G31" i="55"/>
  <c r="J30" i="55"/>
  <c r="G30" i="55"/>
  <c r="H30" i="55" s="1"/>
  <c r="J29" i="55"/>
  <c r="H29" i="55"/>
  <c r="G29" i="55"/>
  <c r="J28" i="55"/>
  <c r="G28" i="55"/>
  <c r="H28" i="55" s="1"/>
  <c r="J27" i="55"/>
  <c r="H27" i="55"/>
  <c r="G27" i="55"/>
  <c r="J26" i="55"/>
  <c r="G26" i="55"/>
  <c r="H26" i="55" s="1"/>
  <c r="G25" i="55"/>
  <c r="J24" i="55"/>
  <c r="G24" i="55"/>
  <c r="H24" i="55" s="1"/>
  <c r="H23" i="55"/>
  <c r="G23" i="55"/>
  <c r="J22" i="55"/>
  <c r="G22" i="55"/>
  <c r="H22" i="55" s="1"/>
  <c r="G21" i="55"/>
  <c r="J20" i="55"/>
  <c r="G20" i="55"/>
  <c r="H20" i="55" s="1"/>
  <c r="J19" i="55"/>
  <c r="H19" i="55"/>
  <c r="G19" i="55"/>
  <c r="J18" i="55"/>
  <c r="G18" i="55"/>
  <c r="H18" i="55" s="1"/>
  <c r="G17" i="55"/>
  <c r="J16" i="55"/>
  <c r="G16" i="55"/>
  <c r="H16" i="55" s="1"/>
  <c r="J15" i="55"/>
  <c r="H15" i="55"/>
  <c r="G15" i="55"/>
  <c r="J14" i="55"/>
  <c r="G14" i="55"/>
  <c r="H14" i="55" s="1"/>
  <c r="J13" i="55"/>
  <c r="H13" i="55"/>
  <c r="G13" i="55"/>
  <c r="J12" i="55"/>
  <c r="G12" i="55"/>
  <c r="H12" i="55" s="1"/>
  <c r="J11" i="55"/>
  <c r="H11" i="55"/>
  <c r="G11" i="55"/>
  <c r="J10" i="55"/>
  <c r="G10" i="55"/>
  <c r="H10" i="55" s="1"/>
  <c r="H9" i="55"/>
  <c r="G9" i="55"/>
  <c r="G64" i="54"/>
  <c r="G63" i="54"/>
  <c r="G62" i="54"/>
  <c r="G61" i="54"/>
  <c r="E56" i="54"/>
  <c r="D56" i="54"/>
  <c r="C56" i="54"/>
  <c r="E55" i="54"/>
  <c r="D55" i="54"/>
  <c r="C55" i="54"/>
  <c r="G49" i="54"/>
  <c r="H49" i="54" s="1"/>
  <c r="H48" i="54"/>
  <c r="G48" i="54"/>
  <c r="H47" i="54"/>
  <c r="G47" i="54"/>
  <c r="F40" i="54"/>
  <c r="E40" i="54"/>
  <c r="D40" i="54"/>
  <c r="C40" i="54"/>
  <c r="G39" i="54"/>
  <c r="G38" i="54"/>
  <c r="G37" i="54"/>
  <c r="J36" i="54"/>
  <c r="H36" i="54"/>
  <c r="G36" i="54"/>
  <c r="G35" i="54"/>
  <c r="G34" i="54"/>
  <c r="H33" i="54"/>
  <c r="G33" i="54"/>
  <c r="H32" i="54"/>
  <c r="G32" i="54"/>
  <c r="J32" i="54" s="1"/>
  <c r="G31" i="54"/>
  <c r="H30" i="54"/>
  <c r="G30" i="54"/>
  <c r="G29" i="54"/>
  <c r="G28" i="54"/>
  <c r="G27" i="54"/>
  <c r="G26" i="54"/>
  <c r="H25" i="54"/>
  <c r="G25" i="54"/>
  <c r="G24" i="54"/>
  <c r="H24" i="54" s="1"/>
  <c r="G23" i="54"/>
  <c r="H23" i="54" s="1"/>
  <c r="J22" i="54"/>
  <c r="H22" i="54"/>
  <c r="G22" i="54"/>
  <c r="H21" i="54"/>
  <c r="G21" i="54"/>
  <c r="J21" i="54" s="1"/>
  <c r="G20" i="54"/>
  <c r="H19" i="54"/>
  <c r="G19" i="54"/>
  <c r="G18" i="54"/>
  <c r="H17" i="54"/>
  <c r="G17" i="54"/>
  <c r="G16" i="54"/>
  <c r="G15" i="54"/>
  <c r="J14" i="54"/>
  <c r="H14" i="54"/>
  <c r="G14" i="54"/>
  <c r="G13" i="54"/>
  <c r="G12" i="54"/>
  <c r="J11" i="54"/>
  <c r="G11" i="54"/>
  <c r="J10" i="54"/>
  <c r="H10" i="54"/>
  <c r="G10" i="54"/>
  <c r="G9" i="54"/>
  <c r="H9" i="54" s="1"/>
  <c r="G64" i="53"/>
  <c r="G63" i="53"/>
  <c r="G62" i="53"/>
  <c r="G61" i="53"/>
  <c r="E56" i="53"/>
  <c r="D56" i="53"/>
  <c r="C56" i="53"/>
  <c r="E55" i="53"/>
  <c r="D55" i="53"/>
  <c r="C55" i="53"/>
  <c r="H49" i="53"/>
  <c r="G49" i="53"/>
  <c r="H48" i="53"/>
  <c r="G48" i="53"/>
  <c r="G47" i="53"/>
  <c r="H47" i="53" s="1"/>
  <c r="F40" i="53"/>
  <c r="E40" i="53"/>
  <c r="D40" i="53"/>
  <c r="C40" i="53"/>
  <c r="H39" i="53"/>
  <c r="G39" i="53"/>
  <c r="G38" i="53"/>
  <c r="H38" i="53" s="1"/>
  <c r="J37" i="53"/>
  <c r="H37" i="53"/>
  <c r="G37" i="53"/>
  <c r="J36" i="53"/>
  <c r="H36" i="53"/>
  <c r="G36" i="53"/>
  <c r="H35" i="53"/>
  <c r="G35" i="53"/>
  <c r="G34" i="53"/>
  <c r="G33" i="53"/>
  <c r="J33" i="53" s="1"/>
  <c r="G32" i="53"/>
  <c r="H31" i="53"/>
  <c r="G31" i="53"/>
  <c r="J31" i="53" s="1"/>
  <c r="G30" i="53"/>
  <c r="H29" i="53"/>
  <c r="G29" i="53"/>
  <c r="J28" i="53"/>
  <c r="H28" i="53"/>
  <c r="G28" i="53"/>
  <c r="G27" i="53"/>
  <c r="H27" i="53" s="1"/>
  <c r="H26" i="53"/>
  <c r="G26" i="53"/>
  <c r="J25" i="53"/>
  <c r="H25" i="53"/>
  <c r="G25" i="53"/>
  <c r="J24" i="53"/>
  <c r="H24" i="53"/>
  <c r="G24" i="53"/>
  <c r="G23" i="53"/>
  <c r="G22" i="53"/>
  <c r="G21" i="53"/>
  <c r="H20" i="53"/>
  <c r="G20" i="53"/>
  <c r="J20" i="53" s="1"/>
  <c r="H19" i="53"/>
  <c r="G19" i="53"/>
  <c r="G18" i="53"/>
  <c r="H18" i="53" s="1"/>
  <c r="J17" i="53"/>
  <c r="H17" i="53"/>
  <c r="G17" i="53"/>
  <c r="H16" i="53"/>
  <c r="G16" i="53"/>
  <c r="J15" i="53"/>
  <c r="H15" i="53"/>
  <c r="G15" i="53"/>
  <c r="J14" i="53"/>
  <c r="H14" i="53"/>
  <c r="G14" i="53"/>
  <c r="G13" i="53"/>
  <c r="G12" i="53"/>
  <c r="H11" i="53"/>
  <c r="G11" i="53"/>
  <c r="J11" i="53" s="1"/>
  <c r="G10" i="53"/>
  <c r="G9" i="53"/>
  <c r="G63" i="52"/>
  <c r="G62" i="52"/>
  <c r="G61" i="52"/>
  <c r="G60" i="52"/>
  <c r="E55" i="52"/>
  <c r="D55" i="52"/>
  <c r="C55" i="52"/>
  <c r="E54" i="52"/>
  <c r="D54" i="52"/>
  <c r="C54" i="52"/>
  <c r="H48" i="52"/>
  <c r="G48" i="52"/>
  <c r="H47" i="52"/>
  <c r="G47" i="52"/>
  <c r="G46" i="52"/>
  <c r="H46" i="52" s="1"/>
  <c r="F39" i="52"/>
  <c r="E39" i="52"/>
  <c r="D39" i="52"/>
  <c r="C39" i="52"/>
  <c r="G38" i="52"/>
  <c r="G37" i="52"/>
  <c r="H36" i="52"/>
  <c r="G36" i="52"/>
  <c r="G35" i="52"/>
  <c r="J34" i="52"/>
  <c r="H34" i="52"/>
  <c r="G34" i="52"/>
  <c r="G33" i="52"/>
  <c r="J32" i="52"/>
  <c r="H32" i="52"/>
  <c r="G32" i="52"/>
  <c r="G31" i="52"/>
  <c r="J30" i="52"/>
  <c r="H30" i="52"/>
  <c r="G30" i="52"/>
  <c r="G29" i="52"/>
  <c r="J28" i="52"/>
  <c r="H28" i="52"/>
  <c r="G28" i="52"/>
  <c r="G27" i="52"/>
  <c r="J26" i="52"/>
  <c r="H26" i="52"/>
  <c r="G26" i="52"/>
  <c r="G25" i="52"/>
  <c r="J24" i="52"/>
  <c r="H24" i="52"/>
  <c r="G24" i="52"/>
  <c r="G23" i="52"/>
  <c r="J22" i="52"/>
  <c r="H22" i="52"/>
  <c r="G22" i="52"/>
  <c r="G21" i="52"/>
  <c r="J20" i="52"/>
  <c r="H20" i="52"/>
  <c r="G20" i="52"/>
  <c r="G19" i="52"/>
  <c r="J18" i="52"/>
  <c r="H18" i="52"/>
  <c r="G18" i="52"/>
  <c r="G17" i="52"/>
  <c r="J16" i="52"/>
  <c r="H16" i="52"/>
  <c r="G16" i="52"/>
  <c r="G15" i="52"/>
  <c r="J14" i="52"/>
  <c r="H14" i="52"/>
  <c r="G14" i="52"/>
  <c r="G13" i="52"/>
  <c r="J12" i="52"/>
  <c r="H12" i="52"/>
  <c r="G12" i="52"/>
  <c r="G11" i="52"/>
  <c r="J10" i="52"/>
  <c r="H10" i="52"/>
  <c r="G10" i="52"/>
  <c r="G9" i="52"/>
  <c r="G62" i="51"/>
  <c r="G61" i="51"/>
  <c r="G60" i="51"/>
  <c r="G59" i="51"/>
  <c r="E54" i="51"/>
  <c r="D54" i="51"/>
  <c r="C54" i="51"/>
  <c r="E53" i="51"/>
  <c r="D53" i="51"/>
  <c r="C53" i="51"/>
  <c r="H47" i="51"/>
  <c r="G47" i="51"/>
  <c r="G46" i="51"/>
  <c r="H46" i="51" s="1"/>
  <c r="G45" i="51"/>
  <c r="H45" i="51" s="1"/>
  <c r="F38" i="51"/>
  <c r="E38" i="51"/>
  <c r="D38" i="51"/>
  <c r="C38" i="51"/>
  <c r="H37" i="51"/>
  <c r="G37" i="51"/>
  <c r="G36" i="51"/>
  <c r="H36" i="51" s="1"/>
  <c r="J35" i="51"/>
  <c r="H35" i="51"/>
  <c r="G35" i="51"/>
  <c r="G34" i="51"/>
  <c r="H33" i="51"/>
  <c r="G33" i="51"/>
  <c r="G32" i="51"/>
  <c r="H31" i="51"/>
  <c r="G31" i="51"/>
  <c r="J31" i="51" s="1"/>
  <c r="G30" i="51"/>
  <c r="H29" i="51"/>
  <c r="G29" i="51"/>
  <c r="J29" i="51" s="1"/>
  <c r="G28" i="51"/>
  <c r="G27" i="51"/>
  <c r="J26" i="51"/>
  <c r="H26" i="51"/>
  <c r="G26" i="51"/>
  <c r="G25" i="51"/>
  <c r="H25" i="51" s="1"/>
  <c r="H24" i="51"/>
  <c r="G24" i="51"/>
  <c r="G23" i="51"/>
  <c r="H22" i="51"/>
  <c r="G22" i="51"/>
  <c r="J22" i="51" s="1"/>
  <c r="G21" i="51"/>
  <c r="G20" i="51"/>
  <c r="H19" i="51"/>
  <c r="G19" i="51"/>
  <c r="H18" i="51"/>
  <c r="G18" i="51"/>
  <c r="J17" i="51"/>
  <c r="H17" i="51"/>
  <c r="G17" i="51"/>
  <c r="G16" i="51"/>
  <c r="H15" i="51"/>
  <c r="G15" i="51"/>
  <c r="J15" i="51" s="1"/>
  <c r="G14" i="51"/>
  <c r="G13" i="51"/>
  <c r="H12" i="51"/>
  <c r="G12" i="51"/>
  <c r="G11" i="51"/>
  <c r="J10" i="51"/>
  <c r="H10" i="51"/>
  <c r="G10" i="51"/>
  <c r="H9" i="51"/>
  <c r="G9" i="51"/>
  <c r="G68" i="50"/>
  <c r="G67" i="50"/>
  <c r="G66" i="50"/>
  <c r="G65" i="50"/>
  <c r="E60" i="50"/>
  <c r="D60" i="50"/>
  <c r="C60" i="50"/>
  <c r="E59" i="50"/>
  <c r="D59" i="50"/>
  <c r="C59" i="50"/>
  <c r="G53" i="50"/>
  <c r="H53" i="50" s="1"/>
  <c r="H52" i="50"/>
  <c r="G52" i="50"/>
  <c r="H51" i="50"/>
  <c r="G51" i="50"/>
  <c r="F44" i="50"/>
  <c r="E44" i="50"/>
  <c r="D44" i="50"/>
  <c r="C44" i="50"/>
  <c r="J43" i="50"/>
  <c r="H43" i="50"/>
  <c r="G43" i="50"/>
  <c r="J42" i="50"/>
  <c r="H42" i="50"/>
  <c r="G42" i="50"/>
  <c r="J41" i="50"/>
  <c r="H41" i="50"/>
  <c r="G41" i="50"/>
  <c r="G40" i="50"/>
  <c r="H39" i="50"/>
  <c r="G39" i="50"/>
  <c r="G38" i="50"/>
  <c r="J37" i="50"/>
  <c r="H37" i="50"/>
  <c r="G37" i="50"/>
  <c r="G36" i="50"/>
  <c r="J35" i="50"/>
  <c r="H35" i="50"/>
  <c r="G35" i="50"/>
  <c r="G34" i="50"/>
  <c r="J33" i="50"/>
  <c r="H33" i="50"/>
  <c r="G33" i="50"/>
  <c r="G32" i="50"/>
  <c r="J31" i="50"/>
  <c r="H31" i="50"/>
  <c r="G31" i="50"/>
  <c r="G30" i="50"/>
  <c r="J29" i="50"/>
  <c r="H29" i="50"/>
  <c r="G29" i="50"/>
  <c r="G28" i="50"/>
  <c r="J27" i="50"/>
  <c r="H27" i="50"/>
  <c r="G27" i="50"/>
  <c r="G26" i="50"/>
  <c r="J25" i="50"/>
  <c r="H25" i="50"/>
  <c r="G25" i="50"/>
  <c r="G24" i="50"/>
  <c r="J23" i="50"/>
  <c r="H23" i="50"/>
  <c r="G23" i="50"/>
  <c r="G22" i="50"/>
  <c r="J21" i="50"/>
  <c r="H21" i="50"/>
  <c r="G21" i="50"/>
  <c r="G20" i="50"/>
  <c r="J19" i="50"/>
  <c r="H19" i="50"/>
  <c r="G19" i="50"/>
  <c r="H18" i="50"/>
  <c r="G18" i="50"/>
  <c r="J17" i="50"/>
  <c r="H17" i="50"/>
  <c r="G17" i="50"/>
  <c r="J16" i="50"/>
  <c r="H16" i="50"/>
  <c r="G16" i="50"/>
  <c r="J15" i="50"/>
  <c r="H15" i="50"/>
  <c r="G15" i="50"/>
  <c r="J14" i="50"/>
  <c r="H14" i="50"/>
  <c r="G14" i="50"/>
  <c r="J13" i="50"/>
  <c r="G13" i="50"/>
  <c r="H13" i="50" s="1"/>
  <c r="J12" i="50"/>
  <c r="H12" i="50"/>
  <c r="G12" i="50"/>
  <c r="G11" i="50"/>
  <c r="H10" i="50"/>
  <c r="G10" i="50"/>
  <c r="G9" i="50"/>
  <c r="G64" i="49"/>
  <c r="G63" i="49"/>
  <c r="G62" i="49"/>
  <c r="G61" i="49"/>
  <c r="E56" i="49"/>
  <c r="D56" i="49"/>
  <c r="C56" i="49"/>
  <c r="E55" i="49"/>
  <c r="D55" i="49"/>
  <c r="C55" i="49"/>
  <c r="H49" i="49"/>
  <c r="G49" i="49"/>
  <c r="G48" i="49"/>
  <c r="H48" i="49" s="1"/>
  <c r="G47" i="49"/>
  <c r="H47" i="49" s="1"/>
  <c r="F40" i="49"/>
  <c r="E40" i="49"/>
  <c r="D40" i="49"/>
  <c r="C40" i="49"/>
  <c r="H39" i="49"/>
  <c r="G39" i="49"/>
  <c r="G38" i="49"/>
  <c r="J37" i="49"/>
  <c r="H37" i="49"/>
  <c r="G37" i="49"/>
  <c r="G36" i="49"/>
  <c r="H35" i="49"/>
  <c r="G35" i="49"/>
  <c r="G34" i="49"/>
  <c r="H33" i="49"/>
  <c r="G33" i="49"/>
  <c r="H32" i="49"/>
  <c r="G32" i="49"/>
  <c r="G31" i="49"/>
  <c r="J30" i="49"/>
  <c r="H30" i="49"/>
  <c r="G30" i="49"/>
  <c r="G29" i="49"/>
  <c r="J28" i="49"/>
  <c r="H28" i="49"/>
  <c r="G28" i="49"/>
  <c r="G27" i="49"/>
  <c r="H26" i="49"/>
  <c r="G26" i="49"/>
  <c r="J25" i="49"/>
  <c r="H25" i="49"/>
  <c r="G25" i="49"/>
  <c r="G24" i="49"/>
  <c r="H23" i="49"/>
  <c r="G23" i="49"/>
  <c r="G22" i="49"/>
  <c r="H22" i="49" s="1"/>
  <c r="J21" i="49"/>
  <c r="H21" i="49"/>
  <c r="G21" i="49"/>
  <c r="G20" i="49"/>
  <c r="H19" i="49"/>
  <c r="G19" i="49"/>
  <c r="G18" i="49"/>
  <c r="G17" i="49"/>
  <c r="J17" i="49" s="1"/>
  <c r="H16" i="49"/>
  <c r="G16" i="49"/>
  <c r="G15" i="49"/>
  <c r="J14" i="49"/>
  <c r="H14" i="49"/>
  <c r="G14" i="49"/>
  <c r="G13" i="49"/>
  <c r="H13" i="49" s="1"/>
  <c r="G12" i="49"/>
  <c r="G11" i="49"/>
  <c r="G10" i="49"/>
  <c r="H9" i="49"/>
  <c r="G9" i="49"/>
  <c r="G72" i="48"/>
  <c r="G71" i="48"/>
  <c r="G70" i="48"/>
  <c r="G69" i="48"/>
  <c r="E64" i="48"/>
  <c r="D64" i="48"/>
  <c r="C64" i="48"/>
  <c r="E63" i="48"/>
  <c r="D63" i="48"/>
  <c r="C63" i="48"/>
  <c r="H57" i="48"/>
  <c r="G57" i="48"/>
  <c r="H56" i="48"/>
  <c r="G56" i="48"/>
  <c r="H55" i="48"/>
  <c r="G55" i="48"/>
  <c r="F48" i="48"/>
  <c r="E48" i="48"/>
  <c r="D48" i="48"/>
  <c r="C48" i="48"/>
  <c r="J47" i="48"/>
  <c r="H47" i="48"/>
  <c r="G47" i="48"/>
  <c r="J46" i="48"/>
  <c r="H46" i="48"/>
  <c r="G46" i="48"/>
  <c r="J45" i="48"/>
  <c r="H45" i="48"/>
  <c r="G45" i="48"/>
  <c r="G44" i="48"/>
  <c r="J43" i="48"/>
  <c r="G43" i="48"/>
  <c r="H43" i="48" s="1"/>
  <c r="G42" i="48"/>
  <c r="G41" i="48"/>
  <c r="J41" i="48" s="1"/>
  <c r="G40" i="48"/>
  <c r="G39" i="48"/>
  <c r="G38" i="48"/>
  <c r="J37" i="48"/>
  <c r="H37" i="48"/>
  <c r="G37" i="48"/>
  <c r="G36" i="48"/>
  <c r="J35" i="48"/>
  <c r="G35" i="48"/>
  <c r="H35" i="48" s="1"/>
  <c r="G34" i="48"/>
  <c r="G33" i="48"/>
  <c r="J33" i="48" s="1"/>
  <c r="G32" i="48"/>
  <c r="G31" i="48"/>
  <c r="G30" i="48"/>
  <c r="H29" i="48"/>
  <c r="G29" i="48"/>
  <c r="J28" i="48"/>
  <c r="H28" i="48"/>
  <c r="G28" i="48"/>
  <c r="J27" i="48"/>
  <c r="G27" i="48"/>
  <c r="H27" i="48" s="1"/>
  <c r="J26" i="48"/>
  <c r="H26" i="48"/>
  <c r="G26" i="48"/>
  <c r="J25" i="48"/>
  <c r="H25" i="48"/>
  <c r="G25" i="48"/>
  <c r="J24" i="48"/>
  <c r="H24" i="48"/>
  <c r="G24" i="48"/>
  <c r="H23" i="48"/>
  <c r="G23" i="48"/>
  <c r="J23" i="48" s="1"/>
  <c r="J22" i="48"/>
  <c r="H22" i="48"/>
  <c r="G22" i="48"/>
  <c r="G21" i="48"/>
  <c r="H20" i="48"/>
  <c r="G20" i="48"/>
  <c r="J19" i="48"/>
  <c r="H19" i="48"/>
  <c r="G19" i="48"/>
  <c r="J18" i="48"/>
  <c r="H18" i="48"/>
  <c r="G18" i="48"/>
  <c r="H17" i="48"/>
  <c r="G17" i="48"/>
  <c r="J16" i="48"/>
  <c r="H16" i="48"/>
  <c r="G16" i="48"/>
  <c r="J15" i="48"/>
  <c r="G15" i="48"/>
  <c r="J14" i="48"/>
  <c r="H14" i="48"/>
  <c r="G14" i="48"/>
  <c r="G13" i="48"/>
  <c r="H12" i="48"/>
  <c r="G12" i="48"/>
  <c r="J11" i="48"/>
  <c r="H11" i="48"/>
  <c r="G11" i="48"/>
  <c r="G10" i="48"/>
  <c r="J9" i="48"/>
  <c r="H9" i="48"/>
  <c r="G9" i="48"/>
  <c r="G72" i="47"/>
  <c r="G71" i="47"/>
  <c r="G70" i="47"/>
  <c r="G69" i="47"/>
  <c r="E64" i="47"/>
  <c r="D64" i="47"/>
  <c r="C64" i="47"/>
  <c r="E63" i="47"/>
  <c r="D63" i="47"/>
  <c r="C63" i="47"/>
  <c r="H57" i="47"/>
  <c r="G57" i="47"/>
  <c r="H56" i="47"/>
  <c r="G56" i="47"/>
  <c r="H55" i="47"/>
  <c r="G55" i="47"/>
  <c r="F48" i="47"/>
  <c r="E48" i="47"/>
  <c r="D48" i="47"/>
  <c r="C48" i="47"/>
  <c r="J47" i="47"/>
  <c r="H47" i="47"/>
  <c r="G47" i="47"/>
  <c r="G46" i="47"/>
  <c r="J45" i="47"/>
  <c r="H45" i="47"/>
  <c r="G45" i="47"/>
  <c r="J44" i="47"/>
  <c r="H44" i="47"/>
  <c r="G44" i="47"/>
  <c r="J43" i="47"/>
  <c r="H43" i="47"/>
  <c r="G43" i="47"/>
  <c r="H42" i="47"/>
  <c r="G42" i="47"/>
  <c r="J42" i="47" s="1"/>
  <c r="J41" i="47"/>
  <c r="H41" i="47"/>
  <c r="G41" i="47"/>
  <c r="H40" i="47"/>
  <c r="G40" i="47"/>
  <c r="H39" i="47"/>
  <c r="G39" i="47"/>
  <c r="G38" i="47"/>
  <c r="H37" i="47"/>
  <c r="G37" i="47"/>
  <c r="J37" i="47" s="1"/>
  <c r="G36" i="47"/>
  <c r="H36" i="47" s="1"/>
  <c r="J35" i="47"/>
  <c r="H35" i="47"/>
  <c r="G35" i="47"/>
  <c r="G34" i="47"/>
  <c r="H33" i="47"/>
  <c r="G33" i="47"/>
  <c r="J32" i="47"/>
  <c r="H32" i="47"/>
  <c r="G32" i="47"/>
  <c r="J31" i="47"/>
  <c r="H31" i="47"/>
  <c r="G31" i="47"/>
  <c r="J30" i="47"/>
  <c r="H30" i="47"/>
  <c r="G30" i="47"/>
  <c r="J29" i="47"/>
  <c r="H29" i="47"/>
  <c r="G29" i="47"/>
  <c r="J28" i="47"/>
  <c r="H28" i="47"/>
  <c r="G28" i="47"/>
  <c r="J27" i="47"/>
  <c r="H27" i="47"/>
  <c r="G27" i="47"/>
  <c r="J26" i="47"/>
  <c r="H26" i="47"/>
  <c r="G26" i="47"/>
  <c r="J25" i="47"/>
  <c r="H25" i="47"/>
  <c r="G25" i="47"/>
  <c r="J24" i="47"/>
  <c r="H24" i="47"/>
  <c r="G24" i="47"/>
  <c r="J23" i="47"/>
  <c r="H23" i="47"/>
  <c r="G23" i="47"/>
  <c r="J22" i="47"/>
  <c r="H22" i="47"/>
  <c r="G22" i="47"/>
  <c r="J21" i="47"/>
  <c r="H21" i="47"/>
  <c r="G21" i="47"/>
  <c r="J20" i="47"/>
  <c r="H20" i="47"/>
  <c r="G20" i="47"/>
  <c r="J19" i="47"/>
  <c r="H19" i="47"/>
  <c r="G19" i="47"/>
  <c r="J18" i="47"/>
  <c r="H18" i="47"/>
  <c r="G18" i="47"/>
  <c r="J17" i="47"/>
  <c r="H17" i="47"/>
  <c r="G17" i="47"/>
  <c r="J16" i="47"/>
  <c r="H16" i="47"/>
  <c r="G16" i="47"/>
  <c r="J15" i="47"/>
  <c r="H15" i="47"/>
  <c r="G15" i="47"/>
  <c r="J14" i="47"/>
  <c r="H14" i="47"/>
  <c r="G14" i="47"/>
  <c r="J13" i="47"/>
  <c r="H13" i="47"/>
  <c r="G13" i="47"/>
  <c r="J12" i="47"/>
  <c r="H12" i="47"/>
  <c r="G12" i="47"/>
  <c r="J11" i="47"/>
  <c r="H11" i="47"/>
  <c r="G11" i="47"/>
  <c r="J10" i="47"/>
  <c r="H10" i="47"/>
  <c r="G10" i="47"/>
  <c r="J9" i="47"/>
  <c r="H9" i="47"/>
  <c r="G9" i="47"/>
  <c r="G67" i="46"/>
  <c r="G66" i="46"/>
  <c r="G65" i="46"/>
  <c r="G64" i="46"/>
  <c r="E59" i="46"/>
  <c r="D59" i="46"/>
  <c r="C59" i="46"/>
  <c r="E58" i="46"/>
  <c r="D58" i="46"/>
  <c r="C58" i="46"/>
  <c r="H52" i="46"/>
  <c r="G52" i="46"/>
  <c r="G51" i="46"/>
  <c r="H51" i="46" s="1"/>
  <c r="H50" i="46"/>
  <c r="G50" i="46"/>
  <c r="F43" i="46"/>
  <c r="E43" i="46"/>
  <c r="D43" i="46"/>
  <c r="C43" i="46"/>
  <c r="G42" i="46"/>
  <c r="H42" i="46" s="1"/>
  <c r="G41" i="46"/>
  <c r="H40" i="46"/>
  <c r="G40" i="46"/>
  <c r="H39" i="46"/>
  <c r="G39" i="46"/>
  <c r="G38" i="46"/>
  <c r="H38" i="46" s="1"/>
  <c r="G37" i="46"/>
  <c r="J36" i="46"/>
  <c r="H36" i="46"/>
  <c r="G36" i="46"/>
  <c r="H35" i="46"/>
  <c r="G35" i="46"/>
  <c r="J35" i="46" s="1"/>
  <c r="J34" i="46"/>
  <c r="H34" i="46"/>
  <c r="G34" i="46"/>
  <c r="H33" i="46"/>
  <c r="G33" i="46"/>
  <c r="H32" i="46"/>
  <c r="G32" i="46"/>
  <c r="J32" i="46" s="1"/>
  <c r="G31" i="46"/>
  <c r="H30" i="46"/>
  <c r="G30" i="46"/>
  <c r="H29" i="46"/>
  <c r="G29" i="46"/>
  <c r="J29" i="46" s="1"/>
  <c r="J28" i="46"/>
  <c r="G28" i="46"/>
  <c r="H28" i="46" s="1"/>
  <c r="G27" i="46"/>
  <c r="H26" i="46"/>
  <c r="G26" i="46"/>
  <c r="J26" i="46" s="1"/>
  <c r="G25" i="46"/>
  <c r="J25" i="46" s="1"/>
  <c r="G24" i="46"/>
  <c r="G23" i="46"/>
  <c r="G22" i="46"/>
  <c r="H22" i="46" s="1"/>
  <c r="G21" i="46"/>
  <c r="J20" i="46"/>
  <c r="H20" i="46"/>
  <c r="G20" i="46"/>
  <c r="H19" i="46"/>
  <c r="G19" i="46"/>
  <c r="J19" i="46" s="1"/>
  <c r="J18" i="46"/>
  <c r="G18" i="46"/>
  <c r="H18" i="46" s="1"/>
  <c r="H17" i="46"/>
  <c r="G17" i="46"/>
  <c r="G16" i="46"/>
  <c r="G15" i="46"/>
  <c r="J14" i="46"/>
  <c r="H14" i="46"/>
  <c r="G14" i="46"/>
  <c r="H13" i="46"/>
  <c r="G13" i="46"/>
  <c r="J13" i="46" s="1"/>
  <c r="G12" i="46"/>
  <c r="G11" i="46"/>
  <c r="J11" i="46" s="1"/>
  <c r="H10" i="46"/>
  <c r="G10" i="46"/>
  <c r="J10" i="46" s="1"/>
  <c r="H9" i="46"/>
  <c r="G9" i="46"/>
  <c r="J9" i="46" s="1"/>
  <c r="G65" i="45"/>
  <c r="G64" i="45"/>
  <c r="G63" i="45"/>
  <c r="G62" i="45"/>
  <c r="E57" i="45"/>
  <c r="D57" i="45"/>
  <c r="C57" i="45"/>
  <c r="E56" i="45"/>
  <c r="D56" i="45"/>
  <c r="C56" i="45"/>
  <c r="G50" i="45"/>
  <c r="H50" i="45" s="1"/>
  <c r="G49" i="45"/>
  <c r="H49" i="45" s="1"/>
  <c r="G48" i="45"/>
  <c r="H48" i="45" s="1"/>
  <c r="F41" i="45"/>
  <c r="E41" i="45"/>
  <c r="D41" i="45"/>
  <c r="C41" i="45"/>
  <c r="H40" i="45"/>
  <c r="G40" i="45"/>
  <c r="J40" i="45" s="1"/>
  <c r="G39" i="45"/>
  <c r="J38" i="45"/>
  <c r="H38" i="45"/>
  <c r="G38" i="45"/>
  <c r="H37" i="45"/>
  <c r="G37" i="45"/>
  <c r="J37" i="45" s="1"/>
  <c r="J36" i="45"/>
  <c r="H36" i="45"/>
  <c r="G36" i="45"/>
  <c r="H35" i="45"/>
  <c r="G35" i="45"/>
  <c r="H34" i="45"/>
  <c r="G34" i="45"/>
  <c r="H33" i="45"/>
  <c r="G33" i="45"/>
  <c r="H32" i="45"/>
  <c r="G32" i="45"/>
  <c r="G31" i="45"/>
  <c r="G30" i="45"/>
  <c r="G29" i="45"/>
  <c r="G28" i="45"/>
  <c r="J27" i="45"/>
  <c r="H27" i="45"/>
  <c r="G27" i="45"/>
  <c r="H26" i="45"/>
  <c r="G26" i="45"/>
  <c r="J26" i="45" s="1"/>
  <c r="J25" i="45"/>
  <c r="H25" i="45"/>
  <c r="G25" i="45"/>
  <c r="H24" i="45"/>
  <c r="G24" i="45"/>
  <c r="J24" i="45" s="1"/>
  <c r="G23" i="45"/>
  <c r="H23" i="45" s="1"/>
  <c r="J22" i="45"/>
  <c r="H22" i="45"/>
  <c r="G22" i="45"/>
  <c r="J21" i="45"/>
  <c r="G21" i="45"/>
  <c r="H21" i="45" s="1"/>
  <c r="G20" i="45"/>
  <c r="G19" i="45"/>
  <c r="G18" i="45"/>
  <c r="H18" i="45" s="1"/>
  <c r="J17" i="45"/>
  <c r="H17" i="45"/>
  <c r="G17" i="45"/>
  <c r="J16" i="45"/>
  <c r="G16" i="45"/>
  <c r="H16" i="45" s="1"/>
  <c r="J15" i="45"/>
  <c r="H15" i="45"/>
  <c r="G15" i="45"/>
  <c r="J14" i="45"/>
  <c r="G14" i="45"/>
  <c r="J13" i="45"/>
  <c r="H13" i="45"/>
  <c r="G13" i="45"/>
  <c r="G12" i="45"/>
  <c r="H12" i="45" s="1"/>
  <c r="J11" i="45"/>
  <c r="H11" i="45"/>
  <c r="G11" i="45"/>
  <c r="G10" i="45"/>
  <c r="J9" i="45"/>
  <c r="H9" i="45"/>
  <c r="G9" i="45"/>
  <c r="G72" i="44"/>
  <c r="G71" i="44"/>
  <c r="G70" i="44"/>
  <c r="G69" i="44"/>
  <c r="E64" i="44"/>
  <c r="D64" i="44"/>
  <c r="C64" i="44"/>
  <c r="E63" i="44"/>
  <c r="D63" i="44"/>
  <c r="C63" i="44"/>
  <c r="G57" i="44"/>
  <c r="H57" i="44" s="1"/>
  <c r="H56" i="44"/>
  <c r="G56" i="44"/>
  <c r="H55" i="44"/>
  <c r="G55" i="44"/>
  <c r="F48" i="44"/>
  <c r="E48" i="44"/>
  <c r="D48" i="44"/>
  <c r="C48" i="44"/>
  <c r="J47" i="44"/>
  <c r="H47" i="44"/>
  <c r="G47" i="44"/>
  <c r="G46" i="44"/>
  <c r="J45" i="44"/>
  <c r="H45" i="44"/>
  <c r="G45" i="44"/>
  <c r="G44" i="44"/>
  <c r="H44" i="44" s="1"/>
  <c r="G43" i="44"/>
  <c r="J42" i="44"/>
  <c r="H42" i="44"/>
  <c r="G42" i="44"/>
  <c r="G41" i="44"/>
  <c r="J40" i="44"/>
  <c r="H40" i="44"/>
  <c r="G40" i="44"/>
  <c r="G39" i="44"/>
  <c r="J38" i="44"/>
  <c r="H38" i="44"/>
  <c r="G38" i="44"/>
  <c r="G37" i="44"/>
  <c r="J36" i="44"/>
  <c r="H36" i="44"/>
  <c r="G36" i="44"/>
  <c r="G35" i="44"/>
  <c r="J34" i="44"/>
  <c r="H34" i="44"/>
  <c r="G34" i="44"/>
  <c r="G33" i="44"/>
  <c r="J32" i="44"/>
  <c r="H32" i="44"/>
  <c r="G32" i="44"/>
  <c r="G31" i="44"/>
  <c r="J30" i="44"/>
  <c r="H30" i="44"/>
  <c r="G30" i="44"/>
  <c r="G29" i="44"/>
  <c r="G28" i="44"/>
  <c r="H28" i="44" s="1"/>
  <c r="G27" i="44"/>
  <c r="G26" i="44"/>
  <c r="H26" i="44" s="1"/>
  <c r="G25" i="44"/>
  <c r="G24" i="44"/>
  <c r="H24" i="44" s="1"/>
  <c r="G23" i="44"/>
  <c r="G22" i="44"/>
  <c r="H22" i="44" s="1"/>
  <c r="G21" i="44"/>
  <c r="G20" i="44"/>
  <c r="H20" i="44" s="1"/>
  <c r="G19" i="44"/>
  <c r="G18" i="44"/>
  <c r="H18" i="44" s="1"/>
  <c r="G17" i="44"/>
  <c r="G16" i="44"/>
  <c r="H16" i="44" s="1"/>
  <c r="G15" i="44"/>
  <c r="G14" i="44"/>
  <c r="H14" i="44" s="1"/>
  <c r="G13" i="44"/>
  <c r="H12" i="44"/>
  <c r="G12" i="44"/>
  <c r="G11" i="44"/>
  <c r="G10" i="44"/>
  <c r="J9" i="44"/>
  <c r="H9" i="44"/>
  <c r="G9" i="44"/>
  <c r="G63" i="43"/>
  <c r="G62" i="43"/>
  <c r="G61" i="43"/>
  <c r="G60" i="43"/>
  <c r="E55" i="43"/>
  <c r="D55" i="43"/>
  <c r="C55" i="43"/>
  <c r="E54" i="43"/>
  <c r="D54" i="43"/>
  <c r="C54" i="43"/>
  <c r="G48" i="43"/>
  <c r="H48" i="43" s="1"/>
  <c r="G47" i="43"/>
  <c r="H47" i="43" s="1"/>
  <c r="H46" i="43"/>
  <c r="G46" i="43"/>
  <c r="F39" i="43"/>
  <c r="E39" i="43"/>
  <c r="D39" i="43"/>
  <c r="C39" i="43"/>
  <c r="H38" i="43"/>
  <c r="G38" i="43"/>
  <c r="H37" i="43"/>
  <c r="G37" i="43"/>
  <c r="J36" i="43"/>
  <c r="H36" i="43"/>
  <c r="G36" i="43"/>
  <c r="J35" i="43"/>
  <c r="H35" i="43"/>
  <c r="G35" i="43"/>
  <c r="H34" i="43"/>
  <c r="G34" i="43"/>
  <c r="J33" i="43"/>
  <c r="H33" i="43"/>
  <c r="G33" i="43"/>
  <c r="G32" i="43"/>
  <c r="J31" i="43"/>
  <c r="H31" i="43"/>
  <c r="G31" i="43"/>
  <c r="G30" i="43"/>
  <c r="J30" i="43" s="1"/>
  <c r="H29" i="43"/>
  <c r="G29" i="43"/>
  <c r="G28" i="43"/>
  <c r="J28" i="43" s="1"/>
  <c r="G27" i="43"/>
  <c r="H27" i="43" s="1"/>
  <c r="G26" i="43"/>
  <c r="J25" i="43"/>
  <c r="H25" i="43"/>
  <c r="G25" i="43"/>
  <c r="G24" i="43"/>
  <c r="G23" i="43"/>
  <c r="J22" i="43"/>
  <c r="H22" i="43"/>
  <c r="G22" i="43"/>
  <c r="J21" i="43"/>
  <c r="H21" i="43"/>
  <c r="G21" i="43"/>
  <c r="J20" i="43"/>
  <c r="H20" i="43"/>
  <c r="G20" i="43"/>
  <c r="G19" i="43"/>
  <c r="G18" i="43"/>
  <c r="H18" i="43" s="1"/>
  <c r="G17" i="43"/>
  <c r="H16" i="43"/>
  <c r="G16" i="43"/>
  <c r="G15" i="43"/>
  <c r="J14" i="43"/>
  <c r="H14" i="43"/>
  <c r="G14" i="43"/>
  <c r="G13" i="43"/>
  <c r="J12" i="43"/>
  <c r="H12" i="43"/>
  <c r="G12" i="43"/>
  <c r="G11" i="43"/>
  <c r="J10" i="43"/>
  <c r="H10" i="43"/>
  <c r="G10" i="43"/>
  <c r="H9" i="43"/>
  <c r="G9" i="43"/>
  <c r="G70" i="42"/>
  <c r="G69" i="42"/>
  <c r="G68" i="42"/>
  <c r="G67" i="42"/>
  <c r="E62" i="42"/>
  <c r="D62" i="42"/>
  <c r="C62" i="42"/>
  <c r="E61" i="42"/>
  <c r="D61" i="42"/>
  <c r="C61" i="42"/>
  <c r="G55" i="42"/>
  <c r="H55" i="42" s="1"/>
  <c r="G54" i="42"/>
  <c r="H54" i="42" s="1"/>
  <c r="H53" i="42"/>
  <c r="G53" i="42"/>
  <c r="F46" i="42"/>
  <c r="E46" i="42"/>
  <c r="D46" i="42"/>
  <c r="C46" i="42"/>
  <c r="J45" i="42"/>
  <c r="G45" i="42"/>
  <c r="H45" i="42" s="1"/>
  <c r="G44" i="42"/>
  <c r="J43" i="42"/>
  <c r="H43" i="42"/>
  <c r="G43" i="42"/>
  <c r="H42" i="42"/>
  <c r="G42" i="42"/>
  <c r="H41" i="42"/>
  <c r="G41" i="42"/>
  <c r="J40" i="42"/>
  <c r="H40" i="42"/>
  <c r="G40" i="42"/>
  <c r="G39" i="42"/>
  <c r="J38" i="42"/>
  <c r="H38" i="42"/>
  <c r="G38" i="42"/>
  <c r="H37" i="42"/>
  <c r="G37" i="42"/>
  <c r="J36" i="42"/>
  <c r="H36" i="42"/>
  <c r="G36" i="42"/>
  <c r="G35" i="42"/>
  <c r="J35" i="42" s="1"/>
  <c r="J34" i="42"/>
  <c r="H34" i="42"/>
  <c r="G34" i="42"/>
  <c r="H33" i="42"/>
  <c r="G33" i="42"/>
  <c r="J33" i="42" s="1"/>
  <c r="J32" i="42"/>
  <c r="H32" i="42"/>
  <c r="G32" i="42"/>
  <c r="G31" i="42"/>
  <c r="J30" i="42"/>
  <c r="H30" i="42"/>
  <c r="G30" i="42"/>
  <c r="H29" i="42"/>
  <c r="G29" i="42"/>
  <c r="J29" i="42" s="1"/>
  <c r="J28" i="42"/>
  <c r="H28" i="42"/>
  <c r="G28" i="42"/>
  <c r="H27" i="42"/>
  <c r="G27" i="42"/>
  <c r="J27" i="42" s="1"/>
  <c r="J26" i="42"/>
  <c r="H26" i="42"/>
  <c r="G26" i="42"/>
  <c r="H25" i="42"/>
  <c r="G25" i="42"/>
  <c r="J25" i="42" s="1"/>
  <c r="J24" i="42"/>
  <c r="H24" i="42"/>
  <c r="G24" i="42"/>
  <c r="G23" i="42"/>
  <c r="J22" i="42"/>
  <c r="H22" i="42"/>
  <c r="G22" i="42"/>
  <c r="H21" i="42"/>
  <c r="G21" i="42"/>
  <c r="J21" i="42" s="1"/>
  <c r="J20" i="42"/>
  <c r="H20" i="42"/>
  <c r="G20" i="42"/>
  <c r="H19" i="42"/>
  <c r="G19" i="42"/>
  <c r="J19" i="42" s="1"/>
  <c r="J18" i="42"/>
  <c r="H18" i="42"/>
  <c r="G18" i="42"/>
  <c r="H17" i="42"/>
  <c r="G17" i="42"/>
  <c r="J17" i="42" s="1"/>
  <c r="J16" i="42"/>
  <c r="H16" i="42"/>
  <c r="G16" i="42"/>
  <c r="G15" i="42"/>
  <c r="J14" i="42"/>
  <c r="H14" i="42"/>
  <c r="G14" i="42"/>
  <c r="H13" i="42"/>
  <c r="G13" i="42"/>
  <c r="J13" i="42" s="1"/>
  <c r="J12" i="42"/>
  <c r="H12" i="42"/>
  <c r="G12" i="42"/>
  <c r="H11" i="42"/>
  <c r="G11" i="42"/>
  <c r="J11" i="42" s="1"/>
  <c r="J10" i="42"/>
  <c r="H10" i="42"/>
  <c r="G10" i="42"/>
  <c r="H9" i="42"/>
  <c r="G9" i="42"/>
  <c r="G67" i="41"/>
  <c r="G66" i="41"/>
  <c r="G65" i="41"/>
  <c r="G64" i="41"/>
  <c r="E59" i="41"/>
  <c r="D59" i="41"/>
  <c r="C59" i="41"/>
  <c r="E58" i="41"/>
  <c r="D58" i="41"/>
  <c r="C58" i="41"/>
  <c r="H52" i="41"/>
  <c r="G52" i="41"/>
  <c r="G51" i="41"/>
  <c r="H51" i="41" s="1"/>
  <c r="H50" i="41"/>
  <c r="G50" i="41"/>
  <c r="F43" i="41"/>
  <c r="E43" i="41"/>
  <c r="D43" i="41"/>
  <c r="C43" i="41"/>
  <c r="H42" i="41"/>
  <c r="G42" i="41"/>
  <c r="G41" i="41"/>
  <c r="J41" i="41" s="1"/>
  <c r="J40" i="41"/>
  <c r="H40" i="41"/>
  <c r="G40" i="41"/>
  <c r="G39" i="41"/>
  <c r="J39" i="41" s="1"/>
  <c r="J38" i="41"/>
  <c r="H38" i="41"/>
  <c r="G38" i="41"/>
  <c r="G37" i="41"/>
  <c r="J37" i="41" s="1"/>
  <c r="H36" i="41"/>
  <c r="G36" i="41"/>
  <c r="G35" i="41"/>
  <c r="J34" i="41"/>
  <c r="G34" i="41"/>
  <c r="H34" i="41" s="1"/>
  <c r="G33" i="41"/>
  <c r="G32" i="41"/>
  <c r="G31" i="41"/>
  <c r="J30" i="41"/>
  <c r="H30" i="41"/>
  <c r="G30" i="41"/>
  <c r="J29" i="41"/>
  <c r="G29" i="41"/>
  <c r="J28" i="41"/>
  <c r="H28" i="41"/>
  <c r="G28" i="41"/>
  <c r="G27" i="41"/>
  <c r="J26" i="41"/>
  <c r="H26" i="41"/>
  <c r="G26" i="41"/>
  <c r="J25" i="41"/>
  <c r="G25" i="41"/>
  <c r="H24" i="41"/>
  <c r="G24" i="41"/>
  <c r="J23" i="41"/>
  <c r="H23" i="41"/>
  <c r="G23" i="41"/>
  <c r="H22" i="41"/>
  <c r="G22" i="41"/>
  <c r="J21" i="41"/>
  <c r="H21" i="41"/>
  <c r="G21" i="41"/>
  <c r="H20" i="41"/>
  <c r="G20" i="41"/>
  <c r="J19" i="41"/>
  <c r="H19" i="41"/>
  <c r="G19" i="41"/>
  <c r="H18" i="41"/>
  <c r="G18" i="41"/>
  <c r="J17" i="41"/>
  <c r="H17" i="41"/>
  <c r="G17" i="41"/>
  <c r="H16" i="41"/>
  <c r="G16" i="41"/>
  <c r="J15" i="41"/>
  <c r="H15" i="41"/>
  <c r="G15" i="41"/>
  <c r="H14" i="41"/>
  <c r="G14" i="41"/>
  <c r="J13" i="41"/>
  <c r="H13" i="41"/>
  <c r="G13" i="41"/>
  <c r="H12" i="41"/>
  <c r="G12" i="41"/>
  <c r="J11" i="41"/>
  <c r="H11" i="41"/>
  <c r="G11" i="41"/>
  <c r="H10" i="41"/>
  <c r="G10" i="41"/>
  <c r="J9" i="41"/>
  <c r="H9" i="41"/>
  <c r="G9" i="41"/>
  <c r="G63" i="40"/>
  <c r="G62" i="40"/>
  <c r="G61" i="40"/>
  <c r="G60" i="40"/>
  <c r="E55" i="40"/>
  <c r="D55" i="40"/>
  <c r="C55" i="40"/>
  <c r="E54" i="40"/>
  <c r="D54" i="40"/>
  <c r="C54" i="40"/>
  <c r="H48" i="40"/>
  <c r="G48" i="40"/>
  <c r="G47" i="40"/>
  <c r="H47" i="40" s="1"/>
  <c r="H46" i="40"/>
  <c r="G46" i="40"/>
  <c r="F39" i="40"/>
  <c r="E39" i="40"/>
  <c r="D39" i="40"/>
  <c r="C39" i="40"/>
  <c r="G38" i="40"/>
  <c r="H37" i="40"/>
  <c r="G37" i="40"/>
  <c r="H36" i="40"/>
  <c r="G36" i="40"/>
  <c r="J35" i="40"/>
  <c r="H35" i="40"/>
  <c r="G35" i="40"/>
  <c r="G34" i="40"/>
  <c r="J34" i="40" s="1"/>
  <c r="G33" i="40"/>
  <c r="G32" i="40"/>
  <c r="G31" i="40"/>
  <c r="J31" i="40" s="1"/>
  <c r="G30" i="40"/>
  <c r="H30" i="40" s="1"/>
  <c r="G29" i="40"/>
  <c r="J29" i="40" s="1"/>
  <c r="G28" i="40"/>
  <c r="J27" i="40"/>
  <c r="H27" i="40"/>
  <c r="G27" i="40"/>
  <c r="G26" i="40"/>
  <c r="H26" i="40" s="1"/>
  <c r="J25" i="40"/>
  <c r="G25" i="40"/>
  <c r="H25" i="40" s="1"/>
  <c r="J24" i="40"/>
  <c r="G24" i="40"/>
  <c r="H24" i="40" s="1"/>
  <c r="J23" i="40"/>
  <c r="H23" i="40"/>
  <c r="G23" i="40"/>
  <c r="J22" i="40"/>
  <c r="G22" i="40"/>
  <c r="H22" i="40" s="1"/>
  <c r="G21" i="40"/>
  <c r="G20" i="40"/>
  <c r="H20" i="40" s="1"/>
  <c r="G19" i="40"/>
  <c r="J18" i="40"/>
  <c r="G18" i="40"/>
  <c r="G17" i="40"/>
  <c r="J17" i="40" s="1"/>
  <c r="J16" i="40"/>
  <c r="G16" i="40"/>
  <c r="H16" i="40" s="1"/>
  <c r="J15" i="40"/>
  <c r="H15" i="40"/>
  <c r="G15" i="40"/>
  <c r="G14" i="40"/>
  <c r="G13" i="40"/>
  <c r="J13" i="40" s="1"/>
  <c r="G12" i="40"/>
  <c r="J11" i="40"/>
  <c r="H11" i="40"/>
  <c r="G11" i="40"/>
  <c r="G10" i="40"/>
  <c r="H10" i="40" s="1"/>
  <c r="H9" i="40"/>
  <c r="G9" i="40"/>
  <c r="G66" i="39"/>
  <c r="G65" i="39"/>
  <c r="G64" i="39"/>
  <c r="G63" i="39"/>
  <c r="E58" i="39"/>
  <c r="D58" i="39"/>
  <c r="C58" i="39"/>
  <c r="E57" i="39"/>
  <c r="D57" i="39"/>
  <c r="C57" i="39"/>
  <c r="H51" i="39"/>
  <c r="G51" i="39"/>
  <c r="G50" i="39"/>
  <c r="H50" i="39" s="1"/>
  <c r="H49" i="39"/>
  <c r="G49" i="39"/>
  <c r="F42" i="39"/>
  <c r="E42" i="39"/>
  <c r="D42" i="39"/>
  <c r="C42" i="39"/>
  <c r="G41" i="39"/>
  <c r="H41" i="39" s="1"/>
  <c r="G40" i="39"/>
  <c r="G39" i="39"/>
  <c r="H38" i="39"/>
  <c r="G38" i="39"/>
  <c r="J38" i="39" s="1"/>
  <c r="J37" i="39"/>
  <c r="H37" i="39"/>
  <c r="G37" i="39"/>
  <c r="G36" i="39"/>
  <c r="J36" i="39" s="1"/>
  <c r="G35" i="39"/>
  <c r="H34" i="39"/>
  <c r="G34" i="39"/>
  <c r="J34" i="39" s="1"/>
  <c r="G33" i="39"/>
  <c r="J32" i="39"/>
  <c r="H32" i="39"/>
  <c r="G32" i="39"/>
  <c r="J31" i="39"/>
  <c r="H31" i="39"/>
  <c r="G31" i="39"/>
  <c r="H30" i="39"/>
  <c r="G30" i="39"/>
  <c r="G29" i="39"/>
  <c r="J29" i="39" s="1"/>
  <c r="G28" i="39"/>
  <c r="J27" i="39"/>
  <c r="H27" i="39"/>
  <c r="G27" i="39"/>
  <c r="G26" i="39"/>
  <c r="J25" i="39"/>
  <c r="G25" i="39"/>
  <c r="H25" i="39" s="1"/>
  <c r="J24" i="39"/>
  <c r="H24" i="39"/>
  <c r="G24" i="39"/>
  <c r="J23" i="39"/>
  <c r="H23" i="39"/>
  <c r="G23" i="39"/>
  <c r="J22" i="39"/>
  <c r="G22" i="39"/>
  <c r="G21" i="39"/>
  <c r="H20" i="39"/>
  <c r="G20" i="39"/>
  <c r="G19" i="39"/>
  <c r="J18" i="39"/>
  <c r="H18" i="39"/>
  <c r="G18" i="39"/>
  <c r="G17" i="39"/>
  <c r="J16" i="39"/>
  <c r="H16" i="39"/>
  <c r="G16" i="39"/>
  <c r="G15" i="39"/>
  <c r="J14" i="39"/>
  <c r="H14" i="39"/>
  <c r="G14" i="39"/>
  <c r="G13" i="39"/>
  <c r="J12" i="39"/>
  <c r="H12" i="39"/>
  <c r="G12" i="39"/>
  <c r="G11" i="39"/>
  <c r="J10" i="39"/>
  <c r="H10" i="39"/>
  <c r="G10" i="39"/>
  <c r="G9" i="39"/>
  <c r="G68" i="38"/>
  <c r="G67" i="38"/>
  <c r="G66" i="38"/>
  <c r="G65" i="38"/>
  <c r="E60" i="38"/>
  <c r="D60" i="38"/>
  <c r="C60" i="38"/>
  <c r="E59" i="38"/>
  <c r="D59" i="38"/>
  <c r="C59" i="38"/>
  <c r="G53" i="38"/>
  <c r="H53" i="38" s="1"/>
  <c r="G52" i="38"/>
  <c r="H52" i="38" s="1"/>
  <c r="G51" i="38"/>
  <c r="H51" i="38" s="1"/>
  <c r="F44" i="38"/>
  <c r="E44" i="38"/>
  <c r="D44" i="38"/>
  <c r="C44" i="38"/>
  <c r="C45" i="38" s="1"/>
  <c r="G43" i="38"/>
  <c r="J43" i="38" s="1"/>
  <c r="G42" i="38"/>
  <c r="J41" i="38"/>
  <c r="H41" i="38"/>
  <c r="G41" i="38"/>
  <c r="G40" i="38"/>
  <c r="J39" i="38"/>
  <c r="H39" i="38"/>
  <c r="G39" i="38"/>
  <c r="G38" i="38"/>
  <c r="G44" i="38" s="1"/>
  <c r="H37" i="38"/>
  <c r="G37" i="38"/>
  <c r="J36" i="38"/>
  <c r="H36" i="38"/>
  <c r="G36" i="38"/>
  <c r="J35" i="38"/>
  <c r="I35" i="38"/>
  <c r="H35" i="38"/>
  <c r="G35" i="38"/>
  <c r="J34" i="38"/>
  <c r="H34" i="38"/>
  <c r="G34" i="38"/>
  <c r="J33" i="38"/>
  <c r="H33" i="38"/>
  <c r="G33" i="38"/>
  <c r="J32" i="38"/>
  <c r="H32" i="38"/>
  <c r="G32" i="38"/>
  <c r="J31" i="38"/>
  <c r="H31" i="38"/>
  <c r="G31" i="38"/>
  <c r="J30" i="38"/>
  <c r="H30" i="38"/>
  <c r="G30" i="38"/>
  <c r="J29" i="38"/>
  <c r="H29" i="38"/>
  <c r="G29" i="38"/>
  <c r="J28" i="38"/>
  <c r="H28" i="38"/>
  <c r="G28" i="38"/>
  <c r="J27" i="38"/>
  <c r="H27" i="38"/>
  <c r="G27" i="38"/>
  <c r="J26" i="38"/>
  <c r="H26" i="38"/>
  <c r="G26" i="38"/>
  <c r="J25" i="38"/>
  <c r="H25" i="38"/>
  <c r="G25" i="38"/>
  <c r="J24" i="38"/>
  <c r="H24" i="38"/>
  <c r="G24" i="38"/>
  <c r="J23" i="38"/>
  <c r="H23" i="38"/>
  <c r="G23" i="38"/>
  <c r="J22" i="38"/>
  <c r="H22" i="38"/>
  <c r="G22" i="38"/>
  <c r="J21" i="38"/>
  <c r="H21" i="38"/>
  <c r="G21" i="38"/>
  <c r="J20" i="38"/>
  <c r="H20" i="38"/>
  <c r="G20" i="38"/>
  <c r="J19" i="38"/>
  <c r="I19" i="38"/>
  <c r="H19" i="38"/>
  <c r="G19" i="38"/>
  <c r="J18" i="38"/>
  <c r="H18" i="38"/>
  <c r="G18" i="38"/>
  <c r="J17" i="38"/>
  <c r="H17" i="38"/>
  <c r="G17" i="38"/>
  <c r="J16" i="38"/>
  <c r="H16" i="38"/>
  <c r="G16" i="38"/>
  <c r="J15" i="38"/>
  <c r="H15" i="38"/>
  <c r="G15" i="38"/>
  <c r="J14" i="38"/>
  <c r="H14" i="38"/>
  <c r="G14" i="38"/>
  <c r="J13" i="38"/>
  <c r="H13" i="38"/>
  <c r="G13" i="38"/>
  <c r="J12" i="38"/>
  <c r="H12" i="38"/>
  <c r="G12" i="38"/>
  <c r="J11" i="38"/>
  <c r="H11" i="38"/>
  <c r="G11" i="38"/>
  <c r="J10" i="38"/>
  <c r="H10" i="38"/>
  <c r="G10" i="38"/>
  <c r="J9" i="38"/>
  <c r="H9" i="38"/>
  <c r="G9" i="38"/>
  <c r="G68" i="37"/>
  <c r="G67" i="37"/>
  <c r="G66" i="37"/>
  <c r="G65" i="37"/>
  <c r="E60" i="37"/>
  <c r="D60" i="37"/>
  <c r="C60" i="37"/>
  <c r="E59" i="37"/>
  <c r="D59" i="37"/>
  <c r="C59" i="37"/>
  <c r="H53" i="37"/>
  <c r="G53" i="37"/>
  <c r="G52" i="37"/>
  <c r="H52" i="37" s="1"/>
  <c r="H51" i="37"/>
  <c r="G51" i="37"/>
  <c r="F44" i="37"/>
  <c r="E44" i="37"/>
  <c r="D44" i="37"/>
  <c r="C44" i="37"/>
  <c r="G43" i="37"/>
  <c r="J42" i="37"/>
  <c r="H42" i="37"/>
  <c r="G42" i="37"/>
  <c r="G41" i="37"/>
  <c r="J40" i="37"/>
  <c r="H40" i="37"/>
  <c r="G40" i="37"/>
  <c r="G39" i="37"/>
  <c r="H38" i="37"/>
  <c r="G38" i="37"/>
  <c r="J37" i="37"/>
  <c r="H37" i="37"/>
  <c r="G37" i="37"/>
  <c r="J36" i="37"/>
  <c r="H36" i="37"/>
  <c r="G36" i="37"/>
  <c r="J35" i="37"/>
  <c r="H35" i="37"/>
  <c r="G35" i="37"/>
  <c r="J34" i="37"/>
  <c r="H34" i="37"/>
  <c r="G34" i="37"/>
  <c r="J33" i="37"/>
  <c r="H33" i="37"/>
  <c r="G33" i="37"/>
  <c r="J32" i="37"/>
  <c r="H32" i="37"/>
  <c r="G32" i="37"/>
  <c r="J31" i="37"/>
  <c r="H31" i="37"/>
  <c r="G31" i="37"/>
  <c r="J30" i="37"/>
  <c r="H30" i="37"/>
  <c r="G30" i="37"/>
  <c r="J29" i="37"/>
  <c r="H29" i="37"/>
  <c r="G29" i="37"/>
  <c r="H28" i="37"/>
  <c r="G28" i="37"/>
  <c r="G27" i="37"/>
  <c r="J27" i="37" s="1"/>
  <c r="H26" i="37"/>
  <c r="G26" i="37"/>
  <c r="H25" i="37"/>
  <c r="G25" i="37"/>
  <c r="G24" i="37"/>
  <c r="J23" i="37"/>
  <c r="H23" i="37"/>
  <c r="G23" i="37"/>
  <c r="G22" i="37"/>
  <c r="J21" i="37"/>
  <c r="H21" i="37"/>
  <c r="G21" i="37"/>
  <c r="G20" i="37"/>
  <c r="J19" i="37"/>
  <c r="H19" i="37"/>
  <c r="G19" i="37"/>
  <c r="G18" i="37"/>
  <c r="J17" i="37"/>
  <c r="H17" i="37"/>
  <c r="G17" i="37"/>
  <c r="G16" i="37"/>
  <c r="J15" i="37"/>
  <c r="H15" i="37"/>
  <c r="G15" i="37"/>
  <c r="G14" i="37"/>
  <c r="J13" i="37"/>
  <c r="H13" i="37"/>
  <c r="G13" i="37"/>
  <c r="G12" i="37"/>
  <c r="J11" i="37"/>
  <c r="H11" i="37"/>
  <c r="G11" i="37"/>
  <c r="G10" i="37"/>
  <c r="J9" i="37"/>
  <c r="G9" i="37"/>
  <c r="H9" i="37" s="1"/>
  <c r="G59" i="36"/>
  <c r="G58" i="36"/>
  <c r="G57" i="36"/>
  <c r="G56" i="36"/>
  <c r="E51" i="36"/>
  <c r="D51" i="36"/>
  <c r="C51" i="36"/>
  <c r="E50" i="36"/>
  <c r="D50" i="36"/>
  <c r="C50" i="36"/>
  <c r="G44" i="36"/>
  <c r="H44" i="36" s="1"/>
  <c r="G43" i="36"/>
  <c r="H43" i="36" s="1"/>
  <c r="G42" i="36"/>
  <c r="H42" i="36" s="1"/>
  <c r="F35" i="36"/>
  <c r="E35" i="36"/>
  <c r="D35" i="36"/>
  <c r="C35" i="36"/>
  <c r="H34" i="36"/>
  <c r="G34" i="36"/>
  <c r="J34" i="36" s="1"/>
  <c r="G33" i="36"/>
  <c r="J33" i="36" s="1"/>
  <c r="H32" i="36"/>
  <c r="G32" i="36"/>
  <c r="J31" i="36"/>
  <c r="H31" i="36"/>
  <c r="G31" i="36"/>
  <c r="G30" i="36"/>
  <c r="H29" i="36"/>
  <c r="G29" i="36"/>
  <c r="J28" i="36"/>
  <c r="H28" i="36"/>
  <c r="G28" i="36"/>
  <c r="J27" i="36"/>
  <c r="H27" i="36"/>
  <c r="G27" i="36"/>
  <c r="G26" i="36"/>
  <c r="H26" i="36" s="1"/>
  <c r="G25" i="36"/>
  <c r="J25" i="36" s="1"/>
  <c r="G24" i="36"/>
  <c r="J24" i="36" s="1"/>
  <c r="H23" i="36"/>
  <c r="G23" i="36"/>
  <c r="J23" i="36" s="1"/>
  <c r="G22" i="36"/>
  <c r="J22" i="36" s="1"/>
  <c r="H21" i="36"/>
  <c r="G21" i="36"/>
  <c r="G20" i="36"/>
  <c r="H20" i="36" s="1"/>
  <c r="G19" i="36"/>
  <c r="G18" i="36"/>
  <c r="H18" i="36" s="1"/>
  <c r="H17" i="36"/>
  <c r="G17" i="36"/>
  <c r="J16" i="36"/>
  <c r="H16" i="36"/>
  <c r="G16" i="36"/>
  <c r="J15" i="36"/>
  <c r="H15" i="36"/>
  <c r="G15" i="36"/>
  <c r="H14" i="36"/>
  <c r="G14" i="36"/>
  <c r="G13" i="36"/>
  <c r="J13" i="36" s="1"/>
  <c r="G12" i="36"/>
  <c r="J12" i="36" s="1"/>
  <c r="G11" i="36"/>
  <c r="J11" i="36" s="1"/>
  <c r="H10" i="36"/>
  <c r="G10" i="36"/>
  <c r="J10" i="36" s="1"/>
  <c r="G9" i="36"/>
  <c r="J9" i="36" s="1"/>
  <c r="G64" i="35"/>
  <c r="G63" i="35"/>
  <c r="G62" i="35"/>
  <c r="G61" i="35"/>
  <c r="E56" i="35"/>
  <c r="D56" i="35"/>
  <c r="C56" i="35"/>
  <c r="E55" i="35"/>
  <c r="D55" i="35"/>
  <c r="C55" i="35"/>
  <c r="H49" i="35"/>
  <c r="G49" i="35"/>
  <c r="G48" i="35"/>
  <c r="H48" i="35" s="1"/>
  <c r="G47" i="35"/>
  <c r="H47" i="35" s="1"/>
  <c r="F40" i="35"/>
  <c r="E40" i="35"/>
  <c r="D40" i="35"/>
  <c r="C40" i="35"/>
  <c r="H39" i="35"/>
  <c r="G39" i="35"/>
  <c r="J38" i="35"/>
  <c r="H38" i="35"/>
  <c r="G38" i="35"/>
  <c r="J37" i="35"/>
  <c r="H37" i="35"/>
  <c r="G37" i="35"/>
  <c r="J36" i="35"/>
  <c r="H36" i="35"/>
  <c r="G36" i="35"/>
  <c r="J35" i="35"/>
  <c r="H35" i="35"/>
  <c r="G35" i="35"/>
  <c r="J34" i="35"/>
  <c r="H34" i="35"/>
  <c r="G34" i="35"/>
  <c r="J33" i="35"/>
  <c r="H33" i="35"/>
  <c r="G33" i="35"/>
  <c r="J32" i="35"/>
  <c r="H32" i="35"/>
  <c r="G32" i="35"/>
  <c r="J31" i="35"/>
  <c r="H31" i="35"/>
  <c r="G31" i="35"/>
  <c r="G30" i="35"/>
  <c r="H30" i="35" s="1"/>
  <c r="H29" i="35"/>
  <c r="G29" i="35"/>
  <c r="J29" i="35" s="1"/>
  <c r="G28" i="35"/>
  <c r="G27" i="35"/>
  <c r="G26" i="35"/>
  <c r="G25" i="35"/>
  <c r="J24" i="35"/>
  <c r="H24" i="35"/>
  <c r="G24" i="35"/>
  <c r="J23" i="35"/>
  <c r="G23" i="35"/>
  <c r="J22" i="35"/>
  <c r="H22" i="35"/>
  <c r="G22" i="35"/>
  <c r="J21" i="35"/>
  <c r="G21" i="35"/>
  <c r="G20" i="35"/>
  <c r="H20" i="35" s="1"/>
  <c r="H19" i="35"/>
  <c r="G19" i="35"/>
  <c r="J18" i="35"/>
  <c r="H18" i="35"/>
  <c r="G18" i="35"/>
  <c r="G17" i="35"/>
  <c r="H17" i="35" s="1"/>
  <c r="H16" i="35"/>
  <c r="G16" i="35"/>
  <c r="J16" i="35" s="1"/>
  <c r="G15" i="35"/>
  <c r="H14" i="35"/>
  <c r="G14" i="35"/>
  <c r="J13" i="35"/>
  <c r="H13" i="35"/>
  <c r="G13" i="35"/>
  <c r="J12" i="35"/>
  <c r="H12" i="35"/>
  <c r="G12" i="35"/>
  <c r="J11" i="35"/>
  <c r="H11" i="35"/>
  <c r="G11" i="35"/>
  <c r="J10" i="35"/>
  <c r="H10" i="35"/>
  <c r="G10" i="35"/>
  <c r="G9" i="35"/>
  <c r="H9" i="35" s="1"/>
  <c r="G64" i="34"/>
  <c r="G63" i="34"/>
  <c r="G62" i="34"/>
  <c r="G61" i="34"/>
  <c r="E56" i="34"/>
  <c r="D56" i="34"/>
  <c r="C56" i="34"/>
  <c r="E55" i="34"/>
  <c r="D55" i="34"/>
  <c r="C55" i="34"/>
  <c r="G49" i="34"/>
  <c r="H49" i="34" s="1"/>
  <c r="G48" i="34"/>
  <c r="H48" i="34" s="1"/>
  <c r="G47" i="34"/>
  <c r="H47" i="34" s="1"/>
  <c r="F40" i="34"/>
  <c r="E40" i="34"/>
  <c r="D40" i="34"/>
  <c r="C40" i="34"/>
  <c r="H39" i="34"/>
  <c r="G39" i="34"/>
  <c r="G38" i="34"/>
  <c r="H38" i="34" s="1"/>
  <c r="G37" i="34"/>
  <c r="G36" i="34"/>
  <c r="G35" i="34"/>
  <c r="G34" i="34"/>
  <c r="H34" i="34" s="1"/>
  <c r="G33" i="34"/>
  <c r="J32" i="34"/>
  <c r="G32" i="34"/>
  <c r="G31" i="34"/>
  <c r="J30" i="34"/>
  <c r="G30" i="34"/>
  <c r="H30" i="34" s="1"/>
  <c r="G29" i="34"/>
  <c r="J28" i="34"/>
  <c r="G28" i="34"/>
  <c r="H28" i="34" s="1"/>
  <c r="G27" i="34"/>
  <c r="J26" i="34"/>
  <c r="G26" i="34"/>
  <c r="H26" i="34" s="1"/>
  <c r="G25" i="34"/>
  <c r="G24" i="34"/>
  <c r="H24" i="34" s="1"/>
  <c r="G23" i="34"/>
  <c r="G22" i="34"/>
  <c r="H22" i="34" s="1"/>
  <c r="G21" i="34"/>
  <c r="H20" i="34"/>
  <c r="G20" i="34"/>
  <c r="G19" i="34"/>
  <c r="H18" i="34"/>
  <c r="G18" i="34"/>
  <c r="J18" i="34" s="1"/>
  <c r="G17" i="34"/>
  <c r="G16" i="34"/>
  <c r="G15" i="34"/>
  <c r="G14" i="34"/>
  <c r="J13" i="34"/>
  <c r="H13" i="34"/>
  <c r="G13" i="34"/>
  <c r="J12" i="34"/>
  <c r="G12" i="34"/>
  <c r="J11" i="34"/>
  <c r="H11" i="34"/>
  <c r="G11" i="34"/>
  <c r="J10" i="34"/>
  <c r="G10" i="34"/>
  <c r="J9" i="34"/>
  <c r="H9" i="34"/>
  <c r="G9" i="34"/>
  <c r="G68" i="33"/>
  <c r="G67" i="33"/>
  <c r="G66" i="33"/>
  <c r="G65" i="33"/>
  <c r="E60" i="33"/>
  <c r="D60" i="33"/>
  <c r="C60" i="33"/>
  <c r="E59" i="33"/>
  <c r="D59" i="33"/>
  <c r="C59" i="33"/>
  <c r="H53" i="33"/>
  <c r="G53" i="33"/>
  <c r="H52" i="33"/>
  <c r="G52" i="33"/>
  <c r="H51" i="33"/>
  <c r="G51" i="33"/>
  <c r="F44" i="33"/>
  <c r="E44" i="33"/>
  <c r="D44" i="33"/>
  <c r="C44" i="33"/>
  <c r="J43" i="33"/>
  <c r="H43" i="33"/>
  <c r="G43" i="33"/>
  <c r="J42" i="33"/>
  <c r="H42" i="33"/>
  <c r="G42" i="33"/>
  <c r="J41" i="33"/>
  <c r="H41" i="33"/>
  <c r="G41" i="33"/>
  <c r="G40" i="33"/>
  <c r="G39" i="33"/>
  <c r="J39" i="33" s="1"/>
  <c r="G38" i="33"/>
  <c r="G37" i="33"/>
  <c r="G36" i="33"/>
  <c r="H35" i="33"/>
  <c r="G35" i="33"/>
  <c r="J35" i="33" s="1"/>
  <c r="G34" i="33"/>
  <c r="G33" i="33"/>
  <c r="J33" i="33" s="1"/>
  <c r="G32" i="33"/>
  <c r="H31" i="33"/>
  <c r="G31" i="33"/>
  <c r="J31" i="33" s="1"/>
  <c r="G30" i="33"/>
  <c r="H29" i="33"/>
  <c r="G29" i="33"/>
  <c r="J29" i="33" s="1"/>
  <c r="G28" i="33"/>
  <c r="H27" i="33"/>
  <c r="G27" i="33"/>
  <c r="J27" i="33" s="1"/>
  <c r="G26" i="33"/>
  <c r="G25" i="33"/>
  <c r="G24" i="33"/>
  <c r="G23" i="33"/>
  <c r="J23" i="33" s="1"/>
  <c r="G22" i="33"/>
  <c r="G21" i="33"/>
  <c r="G20" i="33"/>
  <c r="H19" i="33"/>
  <c r="G19" i="33"/>
  <c r="J18" i="33"/>
  <c r="H18" i="33"/>
  <c r="G18" i="33"/>
  <c r="J17" i="33"/>
  <c r="G17" i="33"/>
  <c r="J16" i="33"/>
  <c r="H16" i="33"/>
  <c r="G16" i="33"/>
  <c r="J15" i="33"/>
  <c r="G15" i="33"/>
  <c r="J14" i="33"/>
  <c r="H14" i="33"/>
  <c r="G14" i="33"/>
  <c r="G13" i="33"/>
  <c r="G12" i="33"/>
  <c r="G11" i="33"/>
  <c r="H10" i="33"/>
  <c r="G10" i="33"/>
  <c r="G9" i="33"/>
  <c r="G69" i="32"/>
  <c r="G68" i="32"/>
  <c r="G67" i="32"/>
  <c r="G66" i="32"/>
  <c r="E61" i="32"/>
  <c r="D61" i="32"/>
  <c r="C61" i="32"/>
  <c r="E60" i="32"/>
  <c r="D60" i="32"/>
  <c r="C60" i="32"/>
  <c r="G54" i="32"/>
  <c r="H54" i="32" s="1"/>
  <c r="G53" i="32"/>
  <c r="H53" i="32" s="1"/>
  <c r="G52" i="32"/>
  <c r="H52" i="32" s="1"/>
  <c r="F45" i="32"/>
  <c r="E45" i="32"/>
  <c r="D45" i="32"/>
  <c r="C45" i="32"/>
  <c r="H44" i="32"/>
  <c r="G44" i="32"/>
  <c r="G43" i="32"/>
  <c r="H43" i="32" s="1"/>
  <c r="H42" i="32"/>
  <c r="G42" i="32"/>
  <c r="J42" i="32" s="1"/>
  <c r="G41" i="32"/>
  <c r="H40" i="32"/>
  <c r="G40" i="32"/>
  <c r="J39" i="32"/>
  <c r="H39" i="32"/>
  <c r="G39" i="32"/>
  <c r="J38" i="32"/>
  <c r="H38" i="32"/>
  <c r="G38" i="32"/>
  <c r="J37" i="32"/>
  <c r="H37" i="32"/>
  <c r="G37" i="32"/>
  <c r="G36" i="32"/>
  <c r="H36" i="32" s="1"/>
  <c r="H35" i="32"/>
  <c r="G35" i="32"/>
  <c r="G34" i="32"/>
  <c r="H33" i="32"/>
  <c r="G33" i="32"/>
  <c r="J33" i="32" s="1"/>
  <c r="H32" i="32"/>
  <c r="G32" i="32"/>
  <c r="G31" i="32"/>
  <c r="J30" i="32"/>
  <c r="H30" i="32"/>
  <c r="G30" i="32"/>
  <c r="J29" i="32"/>
  <c r="H29" i="32"/>
  <c r="G29" i="32"/>
  <c r="J28" i="32"/>
  <c r="H28" i="32"/>
  <c r="G28" i="32"/>
  <c r="J27" i="32"/>
  <c r="H27" i="32"/>
  <c r="G27" i="32"/>
  <c r="J26" i="32"/>
  <c r="H26" i="32"/>
  <c r="G26" i="32"/>
  <c r="J25" i="32"/>
  <c r="G25" i="32"/>
  <c r="J24" i="32"/>
  <c r="H24" i="32"/>
  <c r="G24" i="32"/>
  <c r="G23" i="32"/>
  <c r="J22" i="32"/>
  <c r="H22" i="32"/>
  <c r="G22" i="32"/>
  <c r="J21" i="32"/>
  <c r="H21" i="32"/>
  <c r="G21" i="32"/>
  <c r="J20" i="32"/>
  <c r="H20" i="32"/>
  <c r="G20" i="32"/>
  <c r="J19" i="32"/>
  <c r="H19" i="32"/>
  <c r="G19" i="32"/>
  <c r="J18" i="32"/>
  <c r="H18" i="32"/>
  <c r="G18" i="32"/>
  <c r="J17" i="32"/>
  <c r="G17" i="32"/>
  <c r="J16" i="32"/>
  <c r="H16" i="32"/>
  <c r="G16" i="32"/>
  <c r="H15" i="32"/>
  <c r="G15" i="32"/>
  <c r="J14" i="32"/>
  <c r="H14" i="32"/>
  <c r="G14" i="32"/>
  <c r="J13" i="32"/>
  <c r="H13" i="32"/>
  <c r="G13" i="32"/>
  <c r="J12" i="32"/>
  <c r="H12" i="32"/>
  <c r="G12" i="32"/>
  <c r="J11" i="32"/>
  <c r="H11" i="32"/>
  <c r="G11" i="32"/>
  <c r="J10" i="32"/>
  <c r="H10" i="32"/>
  <c r="G10" i="32"/>
  <c r="J9" i="32"/>
  <c r="G9" i="32"/>
  <c r="G65" i="31"/>
  <c r="G64" i="31"/>
  <c r="G63" i="31"/>
  <c r="G62" i="31"/>
  <c r="E57" i="31"/>
  <c r="D57" i="31"/>
  <c r="C57" i="31"/>
  <c r="E56" i="31"/>
  <c r="D56" i="31"/>
  <c r="C56" i="31"/>
  <c r="H50" i="31"/>
  <c r="G50" i="31"/>
  <c r="H49" i="31"/>
  <c r="G49" i="31"/>
  <c r="G48" i="31"/>
  <c r="H48" i="31" s="1"/>
  <c r="F41" i="31"/>
  <c r="E41" i="31"/>
  <c r="D41" i="31"/>
  <c r="C41" i="31"/>
  <c r="G40" i="31"/>
  <c r="H39" i="31"/>
  <c r="G39" i="31"/>
  <c r="J38" i="31"/>
  <c r="H38" i="31"/>
  <c r="G38" i="31"/>
  <c r="G37" i="31"/>
  <c r="J36" i="31"/>
  <c r="H36" i="31"/>
  <c r="G36" i="31"/>
  <c r="H35" i="31"/>
  <c r="G35" i="31"/>
  <c r="J35" i="31" s="1"/>
  <c r="G34" i="31"/>
  <c r="G33" i="31"/>
  <c r="H32" i="31"/>
  <c r="G32" i="31"/>
  <c r="H31" i="31"/>
  <c r="G31" i="31"/>
  <c r="G30" i="31"/>
  <c r="J29" i="31"/>
  <c r="G29" i="31"/>
  <c r="J28" i="31"/>
  <c r="H28" i="31"/>
  <c r="G28" i="31"/>
  <c r="J27" i="31"/>
  <c r="H27" i="31"/>
  <c r="G27" i="31"/>
  <c r="J26" i="31"/>
  <c r="G26" i="31"/>
  <c r="H26" i="31" s="1"/>
  <c r="G25" i="31"/>
  <c r="J24" i="31"/>
  <c r="H24" i="31"/>
  <c r="G24" i="31"/>
  <c r="J23" i="31"/>
  <c r="G23" i="31"/>
  <c r="H22" i="31"/>
  <c r="G22" i="31"/>
  <c r="J21" i="31"/>
  <c r="H21" i="31"/>
  <c r="G21" i="31"/>
  <c r="J20" i="31"/>
  <c r="G20" i="31"/>
  <c r="H20" i="31" s="1"/>
  <c r="J19" i="31"/>
  <c r="G19" i="31"/>
  <c r="H18" i="31"/>
  <c r="G18" i="31"/>
  <c r="J18" i="31" s="1"/>
  <c r="J17" i="31"/>
  <c r="G17" i="31"/>
  <c r="H17" i="31" s="1"/>
  <c r="H16" i="31"/>
  <c r="G16" i="31"/>
  <c r="J16" i="31" s="1"/>
  <c r="G15" i="31"/>
  <c r="H15" i="31" s="1"/>
  <c r="H14" i="31"/>
  <c r="G14" i="31"/>
  <c r="J14" i="31" s="1"/>
  <c r="J13" i="31"/>
  <c r="G13" i="31"/>
  <c r="H13" i="31" s="1"/>
  <c r="H12" i="31"/>
  <c r="G12" i="31"/>
  <c r="J12" i="31" s="1"/>
  <c r="G11" i="31"/>
  <c r="H11" i="31" s="1"/>
  <c r="H10" i="31"/>
  <c r="G10" i="31"/>
  <c r="J10" i="31" s="1"/>
  <c r="H9" i="31"/>
  <c r="G9" i="31"/>
  <c r="G62" i="30"/>
  <c r="G61" i="30"/>
  <c r="G60" i="30"/>
  <c r="G59" i="30"/>
  <c r="E54" i="30"/>
  <c r="D54" i="30"/>
  <c r="C54" i="30"/>
  <c r="E53" i="30"/>
  <c r="D53" i="30"/>
  <c r="C53" i="30"/>
  <c r="H47" i="30"/>
  <c r="G47" i="30"/>
  <c r="G46" i="30"/>
  <c r="H46" i="30" s="1"/>
  <c r="H45" i="30"/>
  <c r="G45" i="30"/>
  <c r="G38" i="30"/>
  <c r="F38" i="30"/>
  <c r="E38" i="30"/>
  <c r="D38" i="30"/>
  <c r="C38" i="30"/>
  <c r="H37" i="30"/>
  <c r="G37" i="30"/>
  <c r="G36" i="30"/>
  <c r="H35" i="30"/>
  <c r="G35" i="30"/>
  <c r="J35" i="30" s="1"/>
  <c r="G34" i="30"/>
  <c r="G33" i="30"/>
  <c r="J32" i="30"/>
  <c r="H32" i="30"/>
  <c r="G32" i="30"/>
  <c r="J31" i="30"/>
  <c r="H31" i="30"/>
  <c r="G31" i="30"/>
  <c r="H30" i="30"/>
  <c r="G30" i="30"/>
  <c r="H29" i="30"/>
  <c r="G29" i="30"/>
  <c r="G28" i="30"/>
  <c r="J27" i="30"/>
  <c r="H27" i="30"/>
  <c r="G27" i="30"/>
  <c r="G26" i="30"/>
  <c r="H26" i="30" s="1"/>
  <c r="J25" i="30"/>
  <c r="H25" i="30"/>
  <c r="G25" i="30"/>
  <c r="J24" i="30"/>
  <c r="G24" i="30"/>
  <c r="H24" i="30" s="1"/>
  <c r="J23" i="30"/>
  <c r="H23" i="30"/>
  <c r="G23" i="30"/>
  <c r="G22" i="30"/>
  <c r="H22" i="30" s="1"/>
  <c r="J21" i="30"/>
  <c r="G21" i="30"/>
  <c r="H21" i="30" s="1"/>
  <c r="G20" i="30"/>
  <c r="G19" i="30"/>
  <c r="H19" i="30" s="1"/>
  <c r="G18" i="30"/>
  <c r="J18" i="30" s="1"/>
  <c r="J17" i="30"/>
  <c r="G17" i="30"/>
  <c r="H17" i="30" s="1"/>
  <c r="H16" i="30"/>
  <c r="G16" i="30"/>
  <c r="J16" i="30" s="1"/>
  <c r="G15" i="30"/>
  <c r="H15" i="30" s="1"/>
  <c r="G14" i="30"/>
  <c r="J13" i="30"/>
  <c r="G13" i="30"/>
  <c r="H13" i="30" s="1"/>
  <c r="G12" i="30"/>
  <c r="G11" i="30"/>
  <c r="H11" i="30" s="1"/>
  <c r="G10" i="30"/>
  <c r="J10" i="30" s="1"/>
  <c r="J9" i="30"/>
  <c r="G9" i="30"/>
  <c r="H9" i="30" s="1"/>
  <c r="G67" i="29"/>
  <c r="G66" i="29"/>
  <c r="G65" i="29"/>
  <c r="G64" i="29"/>
  <c r="E59" i="29"/>
  <c r="D59" i="29"/>
  <c r="C59" i="29"/>
  <c r="E58" i="29"/>
  <c r="D58" i="29"/>
  <c r="C58" i="29"/>
  <c r="H52" i="29"/>
  <c r="G52" i="29"/>
  <c r="H51" i="29"/>
  <c r="G51" i="29"/>
  <c r="G50" i="29"/>
  <c r="H50" i="29" s="1"/>
  <c r="F43" i="29"/>
  <c r="E43" i="29"/>
  <c r="D43" i="29"/>
  <c r="C43" i="29"/>
  <c r="H42" i="29"/>
  <c r="G42" i="29"/>
  <c r="G41" i="29"/>
  <c r="H41" i="29" s="1"/>
  <c r="G40" i="29"/>
  <c r="H39" i="29"/>
  <c r="G39" i="29"/>
  <c r="I39" i="29" s="1"/>
  <c r="G38" i="29"/>
  <c r="J38" i="29" s="1"/>
  <c r="G37" i="29"/>
  <c r="G36" i="29"/>
  <c r="J36" i="29" s="1"/>
  <c r="G35" i="29"/>
  <c r="G34" i="29"/>
  <c r="J34" i="29" s="1"/>
  <c r="G33" i="29"/>
  <c r="G32" i="29"/>
  <c r="J32" i="29" s="1"/>
  <c r="G31" i="29"/>
  <c r="G30" i="29"/>
  <c r="J30" i="29" s="1"/>
  <c r="G29" i="29"/>
  <c r="G28" i="29"/>
  <c r="J28" i="29" s="1"/>
  <c r="H27" i="29"/>
  <c r="G27" i="29"/>
  <c r="J26" i="29"/>
  <c r="H26" i="29"/>
  <c r="G26" i="29"/>
  <c r="J25" i="29"/>
  <c r="H25" i="29"/>
  <c r="G25" i="29"/>
  <c r="J24" i="29"/>
  <c r="H24" i="29"/>
  <c r="G24" i="29"/>
  <c r="J23" i="29"/>
  <c r="H23" i="29"/>
  <c r="G23" i="29"/>
  <c r="J22" i="29"/>
  <c r="H22" i="29"/>
  <c r="G22" i="29"/>
  <c r="J21" i="29"/>
  <c r="H21" i="29"/>
  <c r="G21" i="29"/>
  <c r="J20" i="29"/>
  <c r="H20" i="29"/>
  <c r="G20" i="29"/>
  <c r="J19" i="29"/>
  <c r="H19" i="29"/>
  <c r="G19" i="29"/>
  <c r="J18" i="29"/>
  <c r="H18" i="29"/>
  <c r="G18" i="29"/>
  <c r="J17" i="29"/>
  <c r="H17" i="29"/>
  <c r="G17" i="29"/>
  <c r="J16" i="29"/>
  <c r="H16" i="29"/>
  <c r="G16" i="29"/>
  <c r="J15" i="29"/>
  <c r="H15" i="29"/>
  <c r="G15" i="29"/>
  <c r="J14" i="29"/>
  <c r="H14" i="29"/>
  <c r="G14" i="29"/>
  <c r="J13" i="29"/>
  <c r="H13" i="29"/>
  <c r="G13" i="29"/>
  <c r="J12" i="29"/>
  <c r="H12" i="29"/>
  <c r="G12" i="29"/>
  <c r="J11" i="29"/>
  <c r="H11" i="29"/>
  <c r="G11" i="29"/>
  <c r="J10" i="29"/>
  <c r="H10" i="29"/>
  <c r="G10" i="29"/>
  <c r="J9" i="29"/>
  <c r="H9" i="29"/>
  <c r="G9" i="29"/>
  <c r="G43" i="29" s="1"/>
  <c r="I33" i="29" s="1"/>
  <c r="G62" i="28"/>
  <c r="G61" i="28"/>
  <c r="G60" i="28"/>
  <c r="G59" i="28"/>
  <c r="E54" i="28"/>
  <c r="D54" i="28"/>
  <c r="C54" i="28"/>
  <c r="E53" i="28"/>
  <c r="D53" i="28"/>
  <c r="C53" i="28"/>
  <c r="H47" i="28"/>
  <c r="G47" i="28"/>
  <c r="H46" i="28"/>
  <c r="G46" i="28"/>
  <c r="H45" i="28"/>
  <c r="G45" i="28"/>
  <c r="F38" i="28"/>
  <c r="E38" i="28"/>
  <c r="D38" i="28"/>
  <c r="C38" i="28"/>
  <c r="G37" i="28"/>
  <c r="H36" i="28"/>
  <c r="G36" i="28"/>
  <c r="J35" i="28"/>
  <c r="H35" i="28"/>
  <c r="G35" i="28"/>
  <c r="J34" i="28"/>
  <c r="H34" i="28"/>
  <c r="G34" i="28"/>
  <c r="H33" i="28"/>
  <c r="G33" i="28"/>
  <c r="H32" i="28"/>
  <c r="G32" i="28"/>
  <c r="J31" i="28"/>
  <c r="H31" i="28"/>
  <c r="G31" i="28"/>
  <c r="H30" i="28"/>
  <c r="G30" i="28"/>
  <c r="J30" i="28" s="1"/>
  <c r="J29" i="28"/>
  <c r="H29" i="28"/>
  <c r="G29" i="28"/>
  <c r="H28" i="28"/>
  <c r="G28" i="28"/>
  <c r="J28" i="28" s="1"/>
  <c r="G27" i="28"/>
  <c r="H27" i="28" s="1"/>
  <c r="G26" i="28"/>
  <c r="J26" i="28" s="1"/>
  <c r="H25" i="28"/>
  <c r="G25" i="28"/>
  <c r="H24" i="28"/>
  <c r="G24" i="28"/>
  <c r="G23" i="28"/>
  <c r="J22" i="28"/>
  <c r="H22" i="28"/>
  <c r="G22" i="28"/>
  <c r="G21" i="28"/>
  <c r="J20" i="28"/>
  <c r="H20" i="28"/>
  <c r="G20" i="28"/>
  <c r="H19" i="28"/>
  <c r="G19" i="28"/>
  <c r="G18" i="28"/>
  <c r="H18" i="28" s="1"/>
  <c r="G17" i="28"/>
  <c r="J17" i="28" s="1"/>
  <c r="H16" i="28"/>
  <c r="G16" i="28"/>
  <c r="J15" i="28"/>
  <c r="H15" i="28"/>
  <c r="G15" i="28"/>
  <c r="J14" i="28"/>
  <c r="H14" i="28"/>
  <c r="G14" i="28"/>
  <c r="H13" i="28"/>
  <c r="G13" i="28"/>
  <c r="H12" i="28"/>
  <c r="G12" i="28"/>
  <c r="J11" i="28"/>
  <c r="H11" i="28"/>
  <c r="G11" i="28"/>
  <c r="H10" i="28"/>
  <c r="G10" i="28"/>
  <c r="J10" i="28" s="1"/>
  <c r="G9" i="28"/>
  <c r="G72" i="27"/>
  <c r="G71" i="27"/>
  <c r="G70" i="27"/>
  <c r="G69" i="27"/>
  <c r="E64" i="27"/>
  <c r="D64" i="27"/>
  <c r="C64" i="27"/>
  <c r="E63" i="27"/>
  <c r="D63" i="27"/>
  <c r="C63" i="27"/>
  <c r="G57" i="27"/>
  <c r="H57" i="27" s="1"/>
  <c r="G56" i="27"/>
  <c r="H56" i="27" s="1"/>
  <c r="G55" i="27"/>
  <c r="H55" i="27" s="1"/>
  <c r="F48" i="27"/>
  <c r="E48" i="27"/>
  <c r="D48" i="27"/>
  <c r="C48" i="27"/>
  <c r="H47" i="27"/>
  <c r="G47" i="27"/>
  <c r="G46" i="27"/>
  <c r="H46" i="27" s="1"/>
  <c r="H45" i="27"/>
  <c r="G45" i="27"/>
  <c r="G44" i="27"/>
  <c r="J43" i="27"/>
  <c r="H43" i="27"/>
  <c r="G43" i="27"/>
  <c r="G42" i="27"/>
  <c r="J41" i="27"/>
  <c r="H41" i="27"/>
  <c r="G41" i="27"/>
  <c r="H40" i="27"/>
  <c r="G40" i="27"/>
  <c r="G39" i="27"/>
  <c r="H39" i="27" s="1"/>
  <c r="H38" i="27"/>
  <c r="G38" i="27"/>
  <c r="J37" i="27"/>
  <c r="H37" i="27"/>
  <c r="G37" i="27"/>
  <c r="J36" i="27"/>
  <c r="H36" i="27"/>
  <c r="G36" i="27"/>
  <c r="J35" i="27"/>
  <c r="H35" i="27"/>
  <c r="G35" i="27"/>
  <c r="J34" i="27"/>
  <c r="H34" i="27"/>
  <c r="G34" i="27"/>
  <c r="J33" i="27"/>
  <c r="H33" i="27"/>
  <c r="G33" i="27"/>
  <c r="J32" i="27"/>
  <c r="H32" i="27"/>
  <c r="G32" i="27"/>
  <c r="J31" i="27"/>
  <c r="H31" i="27"/>
  <c r="G31" i="27"/>
  <c r="J30" i="27"/>
  <c r="H30" i="27"/>
  <c r="G30" i="27"/>
  <c r="J29" i="27"/>
  <c r="H29" i="27"/>
  <c r="G29" i="27"/>
  <c r="J28" i="27"/>
  <c r="H28" i="27"/>
  <c r="G28" i="27"/>
  <c r="J27" i="27"/>
  <c r="H27" i="27"/>
  <c r="G27" i="27"/>
  <c r="J26" i="27"/>
  <c r="H26" i="27"/>
  <c r="G26" i="27"/>
  <c r="J25" i="27"/>
  <c r="H25" i="27"/>
  <c r="G25" i="27"/>
  <c r="J24" i="27"/>
  <c r="H24" i="27"/>
  <c r="G24" i="27"/>
  <c r="J23" i="27"/>
  <c r="H23" i="27"/>
  <c r="G23" i="27"/>
  <c r="J22" i="27"/>
  <c r="H22" i="27"/>
  <c r="G22" i="27"/>
  <c r="J21" i="27"/>
  <c r="H21" i="27"/>
  <c r="G21" i="27"/>
  <c r="J20" i="27"/>
  <c r="H20" i="27"/>
  <c r="G20" i="27"/>
  <c r="J19" i="27"/>
  <c r="H19" i="27"/>
  <c r="G19" i="27"/>
  <c r="J18" i="27"/>
  <c r="H18" i="27"/>
  <c r="G18" i="27"/>
  <c r="J17" i="27"/>
  <c r="H17" i="27"/>
  <c r="G17" i="27"/>
  <c r="J16" i="27"/>
  <c r="H16" i="27"/>
  <c r="G16" i="27"/>
  <c r="J15" i="27"/>
  <c r="H15" i="27"/>
  <c r="G15" i="27"/>
  <c r="J14" i="27"/>
  <c r="H14" i="27"/>
  <c r="G14" i="27"/>
  <c r="J13" i="27"/>
  <c r="H13" i="27"/>
  <c r="G13" i="27"/>
  <c r="J12" i="27"/>
  <c r="H12" i="27"/>
  <c r="G12" i="27"/>
  <c r="J11" i="27"/>
  <c r="H11" i="27"/>
  <c r="G11" i="27"/>
  <c r="J10" i="27"/>
  <c r="H10" i="27"/>
  <c r="G10" i="27"/>
  <c r="J9" i="27"/>
  <c r="H9" i="27"/>
  <c r="G9" i="27"/>
  <c r="G61" i="26"/>
  <c r="G60" i="26"/>
  <c r="G59" i="26"/>
  <c r="G58" i="26"/>
  <c r="E53" i="26"/>
  <c r="D53" i="26"/>
  <c r="C53" i="26"/>
  <c r="E52" i="26"/>
  <c r="D52" i="26"/>
  <c r="C52" i="26"/>
  <c r="H46" i="26"/>
  <c r="G46" i="26"/>
  <c r="H45" i="26"/>
  <c r="G45" i="26"/>
  <c r="H44" i="26"/>
  <c r="G44" i="26"/>
  <c r="F37" i="26"/>
  <c r="E37" i="26"/>
  <c r="D37" i="26"/>
  <c r="C37" i="26"/>
  <c r="G36" i="26"/>
  <c r="G35" i="26"/>
  <c r="G34" i="26"/>
  <c r="J34" i="26" s="1"/>
  <c r="G33" i="26"/>
  <c r="H32" i="26"/>
  <c r="G32" i="26"/>
  <c r="G31" i="26"/>
  <c r="H30" i="26"/>
  <c r="G30" i="26"/>
  <c r="G29" i="26"/>
  <c r="G28" i="26"/>
  <c r="G27" i="26"/>
  <c r="J27" i="26" s="1"/>
  <c r="G26" i="26"/>
  <c r="G25" i="26"/>
  <c r="J25" i="26" s="1"/>
  <c r="H24" i="26"/>
  <c r="G24" i="26"/>
  <c r="H23" i="26"/>
  <c r="G23" i="26"/>
  <c r="H22" i="26"/>
  <c r="G22" i="26"/>
  <c r="G21" i="26"/>
  <c r="H21" i="26" s="1"/>
  <c r="H20" i="26"/>
  <c r="G20" i="26"/>
  <c r="G19" i="26"/>
  <c r="H18" i="26"/>
  <c r="G18" i="26"/>
  <c r="G17" i="26"/>
  <c r="G16" i="26"/>
  <c r="H15" i="26"/>
  <c r="G15" i="26"/>
  <c r="J14" i="26"/>
  <c r="H14" i="26"/>
  <c r="G14" i="26"/>
  <c r="J13" i="26"/>
  <c r="H13" i="26"/>
  <c r="G13" i="26"/>
  <c r="G12" i="26"/>
  <c r="H11" i="26"/>
  <c r="G11" i="26"/>
  <c r="J11" i="26" s="1"/>
  <c r="G10" i="26"/>
  <c r="H9" i="26"/>
  <c r="G9" i="26"/>
  <c r="G63" i="25"/>
  <c r="G62" i="25"/>
  <c r="G61" i="25"/>
  <c r="G60" i="25"/>
  <c r="E55" i="25"/>
  <c r="D55" i="25"/>
  <c r="C55" i="25"/>
  <c r="E54" i="25"/>
  <c r="D54" i="25"/>
  <c r="C54" i="25"/>
  <c r="H48" i="25"/>
  <c r="G48" i="25"/>
  <c r="H47" i="25"/>
  <c r="G47" i="25"/>
  <c r="H46" i="25"/>
  <c r="G46" i="25"/>
  <c r="F39" i="25"/>
  <c r="E39" i="25"/>
  <c r="D39" i="25"/>
  <c r="C39" i="25"/>
  <c r="G38" i="25"/>
  <c r="H37" i="25"/>
  <c r="G37" i="25"/>
  <c r="J36" i="25"/>
  <c r="H36" i="25"/>
  <c r="G36" i="25"/>
  <c r="J35" i="25"/>
  <c r="H35" i="25"/>
  <c r="G35" i="25"/>
  <c r="G34" i="25"/>
  <c r="H33" i="25"/>
  <c r="G33" i="25"/>
  <c r="H32" i="25"/>
  <c r="G32" i="25"/>
  <c r="G31" i="25"/>
  <c r="H30" i="25"/>
  <c r="G30" i="25"/>
  <c r="J30" i="25" s="1"/>
  <c r="G29" i="25"/>
  <c r="H28" i="25"/>
  <c r="G28" i="25"/>
  <c r="J28" i="25" s="1"/>
  <c r="G27" i="25"/>
  <c r="H26" i="25"/>
  <c r="G26" i="25"/>
  <c r="J26" i="25" s="1"/>
  <c r="G25" i="25"/>
  <c r="H24" i="25"/>
  <c r="G24" i="25"/>
  <c r="J24" i="25" s="1"/>
  <c r="G23" i="25"/>
  <c r="H22" i="25"/>
  <c r="G22" i="25"/>
  <c r="J22" i="25" s="1"/>
  <c r="G21" i="25"/>
  <c r="H20" i="25"/>
  <c r="G20" i="25"/>
  <c r="J20" i="25" s="1"/>
  <c r="H19" i="25"/>
  <c r="G19" i="25"/>
  <c r="J18" i="25"/>
  <c r="H18" i="25"/>
  <c r="G18" i="25"/>
  <c r="J17" i="25"/>
  <c r="H17" i="25"/>
  <c r="G17" i="25"/>
  <c r="J16" i="25"/>
  <c r="H16" i="25"/>
  <c r="G16" i="25"/>
  <c r="J15" i="25"/>
  <c r="H15" i="25"/>
  <c r="G15" i="25"/>
  <c r="J14" i="25"/>
  <c r="H14" i="25"/>
  <c r="G14" i="25"/>
  <c r="J13" i="25"/>
  <c r="H13" i="25"/>
  <c r="G13" i="25"/>
  <c r="J12" i="25"/>
  <c r="H12" i="25"/>
  <c r="G12" i="25"/>
  <c r="J11" i="25"/>
  <c r="H11" i="25"/>
  <c r="G11" i="25"/>
  <c r="J10" i="25"/>
  <c r="H10" i="25"/>
  <c r="G10" i="25"/>
  <c r="J9" i="25"/>
  <c r="H9" i="25"/>
  <c r="G9" i="25"/>
  <c r="G67" i="24"/>
  <c r="G66" i="24"/>
  <c r="G65" i="24"/>
  <c r="G64" i="24"/>
  <c r="E59" i="24"/>
  <c r="D59" i="24"/>
  <c r="C59" i="24"/>
  <c r="E58" i="24"/>
  <c r="D58" i="24"/>
  <c r="C58" i="24"/>
  <c r="H52" i="24"/>
  <c r="G52" i="24"/>
  <c r="H51" i="24"/>
  <c r="G51" i="24"/>
  <c r="H50" i="24"/>
  <c r="G50" i="24"/>
  <c r="F43" i="24"/>
  <c r="E43" i="24"/>
  <c r="D43" i="24"/>
  <c r="C43" i="24"/>
  <c r="J42" i="24"/>
  <c r="H42" i="24"/>
  <c r="G42" i="24"/>
  <c r="G41" i="24"/>
  <c r="H40" i="24"/>
  <c r="G40" i="24"/>
  <c r="J40" i="24" s="1"/>
  <c r="G39" i="24"/>
  <c r="H38" i="24"/>
  <c r="G38" i="24"/>
  <c r="G37" i="24"/>
  <c r="H36" i="24"/>
  <c r="G36" i="24"/>
  <c r="H35" i="24"/>
  <c r="G35" i="24"/>
  <c r="H34" i="24"/>
  <c r="G34" i="24"/>
  <c r="G33" i="24"/>
  <c r="H33" i="24" s="1"/>
  <c r="G32" i="24"/>
  <c r="J32" i="24" s="1"/>
  <c r="H31" i="24"/>
  <c r="G31" i="24"/>
  <c r="J30" i="24"/>
  <c r="H30" i="24"/>
  <c r="G30" i="24"/>
  <c r="J29" i="24"/>
  <c r="H29" i="24"/>
  <c r="G29" i="24"/>
  <c r="J28" i="24"/>
  <c r="H28" i="24"/>
  <c r="G28" i="24"/>
  <c r="J27" i="24"/>
  <c r="H27" i="24"/>
  <c r="G27" i="24"/>
  <c r="H26" i="24"/>
  <c r="G26" i="24"/>
  <c r="G25" i="24"/>
  <c r="H24" i="24"/>
  <c r="G24" i="24"/>
  <c r="G23" i="24"/>
  <c r="H22" i="24"/>
  <c r="G22" i="24"/>
  <c r="J21" i="24"/>
  <c r="H21" i="24"/>
  <c r="G21" i="24"/>
  <c r="J20" i="24"/>
  <c r="H20" i="24"/>
  <c r="G20" i="24"/>
  <c r="H19" i="24"/>
  <c r="G19" i="24"/>
  <c r="H18" i="24"/>
  <c r="G18" i="24"/>
  <c r="J17" i="24"/>
  <c r="H17" i="24"/>
  <c r="G17" i="24"/>
  <c r="G16" i="24"/>
  <c r="G15" i="24"/>
  <c r="G14" i="24"/>
  <c r="J14" i="24" s="1"/>
  <c r="H13" i="24"/>
  <c r="G13" i="24"/>
  <c r="H12" i="24"/>
  <c r="G12" i="24"/>
  <c r="G11" i="24"/>
  <c r="H10" i="24"/>
  <c r="G10" i="24"/>
  <c r="J10" i="24" s="1"/>
  <c r="H9" i="24"/>
  <c r="G9" i="24"/>
  <c r="G64" i="23"/>
  <c r="G63" i="23"/>
  <c r="G62" i="23"/>
  <c r="G61" i="23"/>
  <c r="E56" i="23"/>
  <c r="D56" i="23"/>
  <c r="C56" i="23"/>
  <c r="E55" i="23"/>
  <c r="D55" i="23"/>
  <c r="C55" i="23"/>
  <c r="H49" i="23"/>
  <c r="G49" i="23"/>
  <c r="H48" i="23"/>
  <c r="G48" i="23"/>
  <c r="H47" i="23"/>
  <c r="G47" i="23"/>
  <c r="F40" i="23"/>
  <c r="E40" i="23"/>
  <c r="D40" i="23"/>
  <c r="C40" i="23"/>
  <c r="H39" i="23"/>
  <c r="G39" i="23"/>
  <c r="G38" i="23"/>
  <c r="H37" i="23"/>
  <c r="G37" i="23"/>
  <c r="J37" i="23" s="1"/>
  <c r="H36" i="23"/>
  <c r="G36" i="23"/>
  <c r="J35" i="23"/>
  <c r="H35" i="23"/>
  <c r="G35" i="23"/>
  <c r="G34" i="23"/>
  <c r="H33" i="23"/>
  <c r="G33" i="23"/>
  <c r="J32" i="23"/>
  <c r="H32" i="23"/>
  <c r="G32" i="23"/>
  <c r="J31" i="23"/>
  <c r="H31" i="23"/>
  <c r="G31" i="23"/>
  <c r="J30" i="23"/>
  <c r="H30" i="23"/>
  <c r="G30" i="23"/>
  <c r="J29" i="23"/>
  <c r="H29" i="23"/>
  <c r="G29" i="23"/>
  <c r="J28" i="23"/>
  <c r="H28" i="23"/>
  <c r="G28" i="23"/>
  <c r="J27" i="23"/>
  <c r="H27" i="23"/>
  <c r="G27" i="23"/>
  <c r="J26" i="23"/>
  <c r="H26" i="23"/>
  <c r="G26" i="23"/>
  <c r="J25" i="23"/>
  <c r="H25" i="23"/>
  <c r="G25" i="23"/>
  <c r="J24" i="23"/>
  <c r="H24" i="23"/>
  <c r="G24" i="23"/>
  <c r="G23" i="23"/>
  <c r="H22" i="23"/>
  <c r="G22" i="23"/>
  <c r="J22" i="23" s="1"/>
  <c r="G21" i="23"/>
  <c r="H20" i="23"/>
  <c r="G20" i="23"/>
  <c r="J20" i="23" s="1"/>
  <c r="G19" i="23"/>
  <c r="H18" i="23"/>
  <c r="G18" i="23"/>
  <c r="J18" i="23" s="1"/>
  <c r="G17" i="23"/>
  <c r="H16" i="23"/>
  <c r="G16" i="23"/>
  <c r="J16" i="23" s="1"/>
  <c r="G15" i="23"/>
  <c r="H14" i="23"/>
  <c r="G14" i="23"/>
  <c r="J14" i="23" s="1"/>
  <c r="G13" i="23"/>
  <c r="H12" i="23"/>
  <c r="G12" i="23"/>
  <c r="J12" i="23" s="1"/>
  <c r="H11" i="23"/>
  <c r="G11" i="23"/>
  <c r="G10" i="23"/>
  <c r="H10" i="23" s="1"/>
  <c r="G9" i="23"/>
  <c r="J9" i="23" s="1"/>
  <c r="G54" i="22"/>
  <c r="G53" i="22"/>
  <c r="G52" i="22"/>
  <c r="G51" i="22"/>
  <c r="E46" i="22"/>
  <c r="D46" i="22"/>
  <c r="C46" i="22"/>
  <c r="E45" i="22"/>
  <c r="D45" i="22"/>
  <c r="C45" i="22"/>
  <c r="G39" i="22"/>
  <c r="H39" i="22" s="1"/>
  <c r="H38" i="22"/>
  <c r="G38" i="22"/>
  <c r="G37" i="22"/>
  <c r="H37" i="22" s="1"/>
  <c r="F30" i="22"/>
  <c r="E30" i="22"/>
  <c r="D30" i="22"/>
  <c r="C30" i="22"/>
  <c r="H29" i="22"/>
  <c r="G29" i="22"/>
  <c r="J28" i="22"/>
  <c r="H28" i="22"/>
  <c r="G28" i="22"/>
  <c r="J27" i="22"/>
  <c r="H27" i="22"/>
  <c r="G27" i="22"/>
  <c r="G26" i="22"/>
  <c r="G25" i="22"/>
  <c r="G24" i="22"/>
  <c r="J24" i="22" s="1"/>
  <c r="G23" i="22"/>
  <c r="G22" i="22"/>
  <c r="J22" i="22" s="1"/>
  <c r="G21" i="22"/>
  <c r="G20" i="22"/>
  <c r="J20" i="22" s="1"/>
  <c r="G19" i="22"/>
  <c r="G18" i="22"/>
  <c r="J18" i="22" s="1"/>
  <c r="G17" i="22"/>
  <c r="G16" i="22"/>
  <c r="J16" i="22" s="1"/>
  <c r="G15" i="22"/>
  <c r="G14" i="22"/>
  <c r="J14" i="22" s="1"/>
  <c r="G13" i="22"/>
  <c r="G12" i="22"/>
  <c r="J12" i="22" s="1"/>
  <c r="G11" i="22"/>
  <c r="G10" i="22"/>
  <c r="J10" i="22" s="1"/>
  <c r="H9" i="22"/>
  <c r="G9" i="22"/>
  <c r="G70" i="21"/>
  <c r="G69" i="21"/>
  <c r="G68" i="21"/>
  <c r="G67" i="21"/>
  <c r="E62" i="21"/>
  <c r="D62" i="21"/>
  <c r="C62" i="21"/>
  <c r="E61" i="21"/>
  <c r="D61" i="21"/>
  <c r="C61" i="21"/>
  <c r="H55" i="21"/>
  <c r="G55" i="21"/>
  <c r="H54" i="21"/>
  <c r="G54" i="21"/>
  <c r="H53" i="21"/>
  <c r="G53" i="21"/>
  <c r="F46" i="21"/>
  <c r="E46" i="21"/>
  <c r="D46" i="21"/>
  <c r="C46" i="21"/>
  <c r="J45" i="21"/>
  <c r="H45" i="21"/>
  <c r="G45" i="21"/>
  <c r="J44" i="21"/>
  <c r="H44" i="21"/>
  <c r="G44" i="21"/>
  <c r="J43" i="21"/>
  <c r="H43" i="21"/>
  <c r="G43" i="21"/>
  <c r="G42" i="21"/>
  <c r="H42" i="21" s="1"/>
  <c r="H41" i="21"/>
  <c r="G41" i="21"/>
  <c r="J40" i="21"/>
  <c r="H40" i="21"/>
  <c r="G40" i="21"/>
  <c r="J39" i="21"/>
  <c r="H39" i="21"/>
  <c r="G39" i="21"/>
  <c r="J38" i="21"/>
  <c r="H38" i="21"/>
  <c r="G38" i="21"/>
  <c r="J37" i="21"/>
  <c r="H37" i="21"/>
  <c r="G37" i="21"/>
  <c r="J36" i="21"/>
  <c r="H36" i="21"/>
  <c r="G36" i="21"/>
  <c r="J35" i="21"/>
  <c r="H35" i="21"/>
  <c r="G35" i="21"/>
  <c r="J34" i="21"/>
  <c r="H34" i="21"/>
  <c r="G34" i="21"/>
  <c r="J33" i="21"/>
  <c r="H33" i="21"/>
  <c r="G33" i="21"/>
  <c r="J32" i="21"/>
  <c r="H32" i="21"/>
  <c r="G32" i="21"/>
  <c r="J31" i="21"/>
  <c r="H31" i="21"/>
  <c r="G31" i="21"/>
  <c r="J30" i="21"/>
  <c r="H30" i="21"/>
  <c r="G30" i="21"/>
  <c r="H29" i="21"/>
  <c r="G29" i="21"/>
  <c r="G28" i="21"/>
  <c r="H27" i="21"/>
  <c r="G27" i="21"/>
  <c r="J27" i="21" s="1"/>
  <c r="G26" i="21"/>
  <c r="H25" i="21"/>
  <c r="G25" i="21"/>
  <c r="J25" i="21" s="1"/>
  <c r="G24" i="21"/>
  <c r="H23" i="21"/>
  <c r="G23" i="21"/>
  <c r="J23" i="21" s="1"/>
  <c r="G22" i="21"/>
  <c r="H21" i="21"/>
  <c r="G21" i="21"/>
  <c r="J21" i="21" s="1"/>
  <c r="G20" i="21"/>
  <c r="H19" i="21"/>
  <c r="G19" i="21"/>
  <c r="J19" i="21" s="1"/>
  <c r="H18" i="21"/>
  <c r="G18" i="21"/>
  <c r="J17" i="21"/>
  <c r="H17" i="21"/>
  <c r="G17" i="21"/>
  <c r="J16" i="21"/>
  <c r="H16" i="21"/>
  <c r="G16" i="21"/>
  <c r="J15" i="21"/>
  <c r="H15" i="21"/>
  <c r="G15" i="21"/>
  <c r="J14" i="21"/>
  <c r="H14" i="21"/>
  <c r="G14" i="21"/>
  <c r="J13" i="21"/>
  <c r="H13" i="21"/>
  <c r="G13" i="21"/>
  <c r="J12" i="21"/>
  <c r="H12" i="21"/>
  <c r="G12" i="21"/>
  <c r="G11" i="21"/>
  <c r="H11" i="21" s="1"/>
  <c r="H10" i="21"/>
  <c r="G10" i="21"/>
  <c r="G9" i="21"/>
  <c r="G66" i="20"/>
  <c r="G65" i="20"/>
  <c r="G64" i="20"/>
  <c r="G63" i="20"/>
  <c r="E58" i="20"/>
  <c r="D58" i="20"/>
  <c r="C58" i="20"/>
  <c r="E57" i="20"/>
  <c r="D57" i="20"/>
  <c r="C57" i="20"/>
  <c r="H51" i="20"/>
  <c r="G51" i="20"/>
  <c r="G50" i="20"/>
  <c r="H50" i="20" s="1"/>
  <c r="G49" i="20"/>
  <c r="H49" i="20" s="1"/>
  <c r="F42" i="20"/>
  <c r="E42" i="20"/>
  <c r="D42" i="20"/>
  <c r="C42" i="20"/>
  <c r="H41" i="20"/>
  <c r="G41" i="20"/>
  <c r="G40" i="20"/>
  <c r="H39" i="20"/>
  <c r="G39" i="20"/>
  <c r="J39" i="20" s="1"/>
  <c r="G38" i="20"/>
  <c r="H37" i="20"/>
  <c r="G37" i="20"/>
  <c r="J37" i="20" s="1"/>
  <c r="H36" i="20"/>
  <c r="G36" i="20"/>
  <c r="G35" i="20"/>
  <c r="H35" i="20" s="1"/>
  <c r="H34" i="20"/>
  <c r="G34" i="20"/>
  <c r="G33" i="20"/>
  <c r="H32" i="20"/>
  <c r="G32" i="20"/>
  <c r="J32" i="20" s="1"/>
  <c r="G31" i="20"/>
  <c r="G30" i="20"/>
  <c r="J29" i="20"/>
  <c r="H29" i="20"/>
  <c r="G29" i="20"/>
  <c r="H28" i="20"/>
  <c r="G28" i="20"/>
  <c r="J27" i="20"/>
  <c r="H27" i="20"/>
  <c r="G27" i="20"/>
  <c r="J26" i="20"/>
  <c r="H26" i="20"/>
  <c r="G26" i="20"/>
  <c r="J25" i="20"/>
  <c r="H25" i="20"/>
  <c r="G25" i="20"/>
  <c r="J24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45" i="19"/>
  <c r="G44" i="19"/>
  <c r="G43" i="19"/>
  <c r="G42" i="19"/>
  <c r="E37" i="19"/>
  <c r="D37" i="19"/>
  <c r="C37" i="19"/>
  <c r="E36" i="19"/>
  <c r="D36" i="19"/>
  <c r="C36" i="19"/>
  <c r="G30" i="19"/>
  <c r="H30" i="19" s="1"/>
  <c r="H29" i="19"/>
  <c r="G29" i="19"/>
  <c r="G28" i="19"/>
  <c r="H28" i="19" s="1"/>
  <c r="F21" i="19"/>
  <c r="E21" i="19"/>
  <c r="D21" i="19"/>
  <c r="C21" i="19"/>
  <c r="H20" i="19"/>
  <c r="G20" i="19"/>
  <c r="J19" i="19"/>
  <c r="H19" i="19"/>
  <c r="G19" i="19"/>
  <c r="J18" i="19"/>
  <c r="H18" i="19"/>
  <c r="G18" i="19"/>
  <c r="G17" i="19"/>
  <c r="G16" i="19"/>
  <c r="J15" i="19"/>
  <c r="G15" i="19"/>
  <c r="G14" i="19"/>
  <c r="G13" i="19"/>
  <c r="G12" i="19"/>
  <c r="J11" i="19"/>
  <c r="G11" i="19"/>
  <c r="G10" i="19"/>
  <c r="G9" i="19"/>
  <c r="G62" i="18"/>
  <c r="G61" i="18"/>
  <c r="G60" i="18"/>
  <c r="G59" i="18"/>
  <c r="E54" i="18"/>
  <c r="D54" i="18"/>
  <c r="C54" i="18"/>
  <c r="E53" i="18"/>
  <c r="D53" i="18"/>
  <c r="C53" i="18"/>
  <c r="G47" i="18"/>
  <c r="H47" i="18" s="1"/>
  <c r="H46" i="18"/>
  <c r="G46" i="18"/>
  <c r="G45" i="18"/>
  <c r="H45" i="18" s="1"/>
  <c r="F38" i="18"/>
  <c r="E38" i="18"/>
  <c r="D38" i="18"/>
  <c r="C38" i="18"/>
  <c r="H37" i="18"/>
  <c r="G37" i="18"/>
  <c r="J36" i="18"/>
  <c r="H36" i="18"/>
  <c r="G36" i="18"/>
  <c r="J35" i="18"/>
  <c r="G35" i="18"/>
  <c r="J34" i="18"/>
  <c r="H34" i="18"/>
  <c r="G34" i="18"/>
  <c r="G33" i="18"/>
  <c r="J32" i="18"/>
  <c r="H32" i="18"/>
  <c r="G32" i="18"/>
  <c r="H31" i="18"/>
  <c r="G31" i="18"/>
  <c r="J30" i="18"/>
  <c r="H30" i="18"/>
  <c r="G30" i="18"/>
  <c r="J29" i="18"/>
  <c r="H29" i="18"/>
  <c r="G29" i="18"/>
  <c r="J28" i="18"/>
  <c r="H28" i="18"/>
  <c r="G28" i="18"/>
  <c r="J27" i="18"/>
  <c r="G27" i="18"/>
  <c r="J26" i="18"/>
  <c r="H26" i="18"/>
  <c r="G26" i="18"/>
  <c r="H25" i="18"/>
  <c r="G25" i="18"/>
  <c r="J24" i="18"/>
  <c r="H24" i="18"/>
  <c r="G24" i="18"/>
  <c r="H23" i="18"/>
  <c r="G23" i="18"/>
  <c r="J22" i="18"/>
  <c r="H22" i="18"/>
  <c r="G22" i="18"/>
  <c r="J21" i="18"/>
  <c r="H21" i="18"/>
  <c r="G21" i="18"/>
  <c r="J20" i="18"/>
  <c r="H20" i="18"/>
  <c r="G20" i="18"/>
  <c r="J19" i="18"/>
  <c r="G19" i="18"/>
  <c r="J18" i="18"/>
  <c r="H18" i="18"/>
  <c r="G18" i="18"/>
  <c r="H17" i="18"/>
  <c r="G17" i="18"/>
  <c r="J16" i="18"/>
  <c r="H16" i="18"/>
  <c r="G16" i="18"/>
  <c r="H15" i="18"/>
  <c r="G15" i="18"/>
  <c r="J14" i="18"/>
  <c r="H14" i="18"/>
  <c r="G14" i="18"/>
  <c r="G13" i="18"/>
  <c r="H13" i="18" s="1"/>
  <c r="G12" i="18"/>
  <c r="G11" i="18"/>
  <c r="J10" i="18"/>
  <c r="G10" i="18"/>
  <c r="G9" i="18"/>
  <c r="G68" i="17"/>
  <c r="G67" i="17"/>
  <c r="G66" i="17"/>
  <c r="G65" i="17"/>
  <c r="E60" i="17"/>
  <c r="D60" i="17"/>
  <c r="C60" i="17"/>
  <c r="E59" i="17"/>
  <c r="D59" i="17"/>
  <c r="C59" i="17"/>
  <c r="G53" i="17"/>
  <c r="H53" i="17" s="1"/>
  <c r="G52" i="17"/>
  <c r="H52" i="17" s="1"/>
  <c r="G51" i="17"/>
  <c r="H51" i="17" s="1"/>
  <c r="F44" i="17"/>
  <c r="E44" i="17"/>
  <c r="D44" i="17"/>
  <c r="C44" i="17"/>
  <c r="H43" i="17"/>
  <c r="G43" i="17"/>
  <c r="G42" i="17"/>
  <c r="H42" i="17" s="1"/>
  <c r="H41" i="17"/>
  <c r="G41" i="17"/>
  <c r="J40" i="17"/>
  <c r="H40" i="17"/>
  <c r="G40" i="17"/>
  <c r="J39" i="17"/>
  <c r="H39" i="17"/>
  <c r="G39" i="17"/>
  <c r="G38" i="17"/>
  <c r="H37" i="17"/>
  <c r="G37" i="17"/>
  <c r="G36" i="17"/>
  <c r="H36" i="17" s="1"/>
  <c r="H35" i="17"/>
  <c r="G35" i="17"/>
  <c r="J34" i="17"/>
  <c r="H34" i="17"/>
  <c r="G34" i="17"/>
  <c r="J33" i="17"/>
  <c r="H33" i="17"/>
  <c r="G33" i="17"/>
  <c r="J32" i="17"/>
  <c r="H32" i="17"/>
  <c r="G32" i="17"/>
  <c r="J31" i="17"/>
  <c r="H31" i="17"/>
  <c r="G31" i="17"/>
  <c r="J30" i="17"/>
  <c r="H30" i="17"/>
  <c r="G30" i="17"/>
  <c r="J29" i="17"/>
  <c r="H29" i="17"/>
  <c r="G29" i="17"/>
  <c r="J28" i="17"/>
  <c r="H28" i="17"/>
  <c r="G28" i="17"/>
  <c r="J27" i="17"/>
  <c r="H27" i="17"/>
  <c r="G27" i="17"/>
  <c r="J26" i="17"/>
  <c r="H26" i="17"/>
  <c r="G26" i="17"/>
  <c r="J25" i="17"/>
  <c r="H25" i="17"/>
  <c r="G25" i="17"/>
  <c r="J24" i="17"/>
  <c r="H24" i="17"/>
  <c r="G24" i="17"/>
  <c r="J23" i="17"/>
  <c r="H23" i="17"/>
  <c r="G23" i="17"/>
  <c r="J22" i="17"/>
  <c r="H22" i="17"/>
  <c r="G22" i="17"/>
  <c r="J21" i="17"/>
  <c r="H21" i="17"/>
  <c r="G21" i="17"/>
  <c r="J20" i="17"/>
  <c r="H20" i="17"/>
  <c r="G20" i="17"/>
  <c r="J19" i="17"/>
  <c r="H19" i="17"/>
  <c r="G19" i="17"/>
  <c r="J18" i="17"/>
  <c r="H18" i="17"/>
  <c r="G18" i="17"/>
  <c r="J17" i="17"/>
  <c r="H17" i="17"/>
  <c r="G17" i="17"/>
  <c r="J16" i="17"/>
  <c r="H16" i="17"/>
  <c r="G16" i="17"/>
  <c r="J15" i="17"/>
  <c r="H15" i="17"/>
  <c r="G15" i="17"/>
  <c r="J14" i="17"/>
  <c r="H14" i="17"/>
  <c r="G14" i="17"/>
  <c r="J13" i="17"/>
  <c r="H13" i="17"/>
  <c r="G13" i="17"/>
  <c r="J12" i="17"/>
  <c r="H12" i="17"/>
  <c r="G12" i="17"/>
  <c r="J11" i="17"/>
  <c r="H11" i="17"/>
  <c r="G11" i="17"/>
  <c r="J10" i="17"/>
  <c r="H10" i="17"/>
  <c r="G10" i="17"/>
  <c r="J9" i="17"/>
  <c r="H9" i="17"/>
  <c r="G9" i="17"/>
  <c r="G63" i="16"/>
  <c r="G62" i="16"/>
  <c r="G61" i="16"/>
  <c r="G60" i="16"/>
  <c r="E55" i="16"/>
  <c r="D55" i="16"/>
  <c r="C55" i="16"/>
  <c r="E54" i="16"/>
  <c r="D54" i="16"/>
  <c r="C54" i="16"/>
  <c r="H48" i="16"/>
  <c r="G48" i="16"/>
  <c r="H47" i="16"/>
  <c r="G47" i="16"/>
  <c r="H46" i="16"/>
  <c r="G46" i="16"/>
  <c r="F39" i="16"/>
  <c r="E39" i="16"/>
  <c r="D39" i="16"/>
  <c r="C39" i="16"/>
  <c r="J38" i="16"/>
  <c r="H38" i="16"/>
  <c r="G38" i="16"/>
  <c r="H37" i="16"/>
  <c r="G37" i="16"/>
  <c r="J36" i="16"/>
  <c r="H36" i="16"/>
  <c r="G36" i="16"/>
  <c r="J35" i="16"/>
  <c r="H35" i="16"/>
  <c r="G35" i="16"/>
  <c r="J34" i="16"/>
  <c r="H34" i="16"/>
  <c r="G34" i="16"/>
  <c r="J33" i="16"/>
  <c r="G33" i="16"/>
  <c r="J32" i="16"/>
  <c r="H32" i="16"/>
  <c r="G32" i="16"/>
  <c r="G31" i="16"/>
  <c r="J30" i="16"/>
  <c r="H30" i="16"/>
  <c r="G30" i="16"/>
  <c r="H29" i="16"/>
  <c r="G29" i="16"/>
  <c r="J28" i="16"/>
  <c r="H28" i="16"/>
  <c r="G28" i="16"/>
  <c r="J27" i="16"/>
  <c r="H27" i="16"/>
  <c r="G27" i="16"/>
  <c r="G26" i="16"/>
  <c r="H26" i="16" s="1"/>
  <c r="G25" i="16"/>
  <c r="G24" i="16"/>
  <c r="H24" i="16" s="1"/>
  <c r="G23" i="16"/>
  <c r="G22" i="16"/>
  <c r="G21" i="16"/>
  <c r="G20" i="16"/>
  <c r="G19" i="16"/>
  <c r="J18" i="16"/>
  <c r="G18" i="16"/>
  <c r="H18" i="16" s="1"/>
  <c r="G17" i="16"/>
  <c r="G16" i="16"/>
  <c r="G15" i="16"/>
  <c r="J14" i="16"/>
  <c r="G14" i="16"/>
  <c r="H14" i="16" s="1"/>
  <c r="G13" i="16"/>
  <c r="J12" i="16"/>
  <c r="G12" i="16"/>
  <c r="H12" i="16" s="1"/>
  <c r="G11" i="16"/>
  <c r="G10" i="16"/>
  <c r="H10" i="16" s="1"/>
  <c r="G9" i="16"/>
  <c r="G63" i="15"/>
  <c r="G62" i="15"/>
  <c r="G61" i="15"/>
  <c r="G60" i="15"/>
  <c r="E55" i="15"/>
  <c r="D55" i="15"/>
  <c r="C55" i="15"/>
  <c r="E54" i="15"/>
  <c r="D54" i="15"/>
  <c r="C54" i="15"/>
  <c r="G48" i="15"/>
  <c r="H48" i="15" s="1"/>
  <c r="G47" i="15"/>
  <c r="H47" i="15" s="1"/>
  <c r="G46" i="15"/>
  <c r="H46" i="15" s="1"/>
  <c r="F39" i="15"/>
  <c r="E39" i="15"/>
  <c r="D39" i="15"/>
  <c r="C39" i="15"/>
  <c r="H38" i="15"/>
  <c r="G38" i="15"/>
  <c r="G37" i="15"/>
  <c r="H37" i="15" s="1"/>
  <c r="J36" i="15"/>
  <c r="G36" i="15"/>
  <c r="H36" i="15" s="1"/>
  <c r="G35" i="15"/>
  <c r="H34" i="15"/>
  <c r="G34" i="15"/>
  <c r="G33" i="15"/>
  <c r="H33" i="15" s="1"/>
  <c r="G32" i="15"/>
  <c r="J31" i="15"/>
  <c r="H31" i="15"/>
  <c r="G31" i="15"/>
  <c r="G30" i="15"/>
  <c r="J29" i="15"/>
  <c r="H29" i="15"/>
  <c r="G29" i="15"/>
  <c r="J28" i="15"/>
  <c r="H28" i="15"/>
  <c r="G28" i="15"/>
  <c r="J27" i="15"/>
  <c r="H27" i="15"/>
  <c r="G27" i="15"/>
  <c r="G26" i="15"/>
  <c r="G25" i="15"/>
  <c r="H25" i="15" s="1"/>
  <c r="H24" i="15"/>
  <c r="G24" i="15"/>
  <c r="H23" i="15"/>
  <c r="G23" i="15"/>
  <c r="G22" i="15"/>
  <c r="G21" i="15"/>
  <c r="J21" i="15" s="1"/>
  <c r="G20" i="15"/>
  <c r="G19" i="15"/>
  <c r="G18" i="15"/>
  <c r="H18" i="15" s="1"/>
  <c r="G17" i="15"/>
  <c r="H16" i="15"/>
  <c r="G16" i="15"/>
  <c r="J15" i="15"/>
  <c r="H15" i="15"/>
  <c r="G15" i="15"/>
  <c r="J14" i="15"/>
  <c r="H14" i="15"/>
  <c r="G14" i="15"/>
  <c r="G13" i="15"/>
  <c r="G12" i="15"/>
  <c r="J12" i="15" s="1"/>
  <c r="G11" i="15"/>
  <c r="G10" i="15"/>
  <c r="H9" i="15"/>
  <c r="G9" i="15"/>
  <c r="G59" i="14"/>
  <c r="G58" i="14"/>
  <c r="G57" i="14"/>
  <c r="G56" i="14"/>
  <c r="E51" i="14"/>
  <c r="D51" i="14"/>
  <c r="C51" i="14"/>
  <c r="E50" i="14"/>
  <c r="D50" i="14"/>
  <c r="C50" i="14"/>
  <c r="G44" i="14"/>
  <c r="H44" i="14" s="1"/>
  <c r="H43" i="14"/>
  <c r="G43" i="14"/>
  <c r="H42" i="14"/>
  <c r="G42" i="14"/>
  <c r="F35" i="14"/>
  <c r="E35" i="14"/>
  <c r="D35" i="14"/>
  <c r="C35" i="14"/>
  <c r="G34" i="14"/>
  <c r="G33" i="14"/>
  <c r="J32" i="14"/>
  <c r="G32" i="14"/>
  <c r="G31" i="14"/>
  <c r="J30" i="14"/>
  <c r="H30" i="14"/>
  <c r="G30" i="14"/>
  <c r="G29" i="14"/>
  <c r="G28" i="14"/>
  <c r="G27" i="14"/>
  <c r="G26" i="14"/>
  <c r="G25" i="14"/>
  <c r="J24" i="14"/>
  <c r="G24" i="14"/>
  <c r="H23" i="14"/>
  <c r="G23" i="14"/>
  <c r="J22" i="14"/>
  <c r="H22" i="14"/>
  <c r="G22" i="14"/>
  <c r="J21" i="14"/>
  <c r="H21" i="14"/>
  <c r="G21" i="14"/>
  <c r="G20" i="14"/>
  <c r="J19" i="14"/>
  <c r="H19" i="14"/>
  <c r="G19" i="14"/>
  <c r="G18" i="14"/>
  <c r="J17" i="14"/>
  <c r="H17" i="14"/>
  <c r="G17" i="14"/>
  <c r="J16" i="14"/>
  <c r="H16" i="14"/>
  <c r="G16" i="14"/>
  <c r="J15" i="14"/>
  <c r="H15" i="14"/>
  <c r="G15" i="14"/>
  <c r="G14" i="14"/>
  <c r="J13" i="14"/>
  <c r="H13" i="14"/>
  <c r="G13" i="14"/>
  <c r="H12" i="14"/>
  <c r="G12" i="14"/>
  <c r="J12" i="14" s="1"/>
  <c r="J11" i="14"/>
  <c r="H11" i="14"/>
  <c r="G11" i="14"/>
  <c r="J10" i="14"/>
  <c r="G10" i="14"/>
  <c r="G9" i="14"/>
  <c r="G73" i="13"/>
  <c r="G72" i="13"/>
  <c r="G71" i="13"/>
  <c r="G70" i="13"/>
  <c r="E65" i="13"/>
  <c r="D65" i="13"/>
  <c r="C65" i="13"/>
  <c r="E64" i="13"/>
  <c r="D64" i="13"/>
  <c r="C64" i="13"/>
  <c r="H58" i="13"/>
  <c r="G58" i="13"/>
  <c r="G57" i="13"/>
  <c r="H57" i="13" s="1"/>
  <c r="G56" i="13"/>
  <c r="H56" i="13" s="1"/>
  <c r="F49" i="13"/>
  <c r="E49" i="13"/>
  <c r="D49" i="13"/>
  <c r="C49" i="13"/>
  <c r="G48" i="13"/>
  <c r="H48" i="13" s="1"/>
  <c r="G47" i="13"/>
  <c r="J46" i="13"/>
  <c r="H46" i="13"/>
  <c r="G46" i="13"/>
  <c r="H45" i="13"/>
  <c r="G45" i="13"/>
  <c r="G44" i="13"/>
  <c r="H44" i="13" s="1"/>
  <c r="J43" i="13"/>
  <c r="G43" i="13"/>
  <c r="G42" i="13"/>
  <c r="J41" i="13"/>
  <c r="G41" i="13"/>
  <c r="H40" i="13"/>
  <c r="G40" i="13"/>
  <c r="J39" i="13"/>
  <c r="G39" i="13"/>
  <c r="H39" i="13" s="1"/>
  <c r="J38" i="13"/>
  <c r="H38" i="13"/>
  <c r="G38" i="13"/>
  <c r="H37" i="13"/>
  <c r="G37" i="13"/>
  <c r="G36" i="13"/>
  <c r="J35" i="13"/>
  <c r="H35" i="13"/>
  <c r="G35" i="13"/>
  <c r="G34" i="13"/>
  <c r="J33" i="13"/>
  <c r="H33" i="13"/>
  <c r="G33" i="13"/>
  <c r="G32" i="13"/>
  <c r="J31" i="13"/>
  <c r="H31" i="13"/>
  <c r="G31" i="13"/>
  <c r="G30" i="13"/>
  <c r="J29" i="13"/>
  <c r="H29" i="13"/>
  <c r="G29" i="13"/>
  <c r="G28" i="13"/>
  <c r="J27" i="13"/>
  <c r="H27" i="13"/>
  <c r="G27" i="13"/>
  <c r="G26" i="13"/>
  <c r="J25" i="13"/>
  <c r="H25" i="13"/>
  <c r="G25" i="13"/>
  <c r="G24" i="13"/>
  <c r="J23" i="13"/>
  <c r="H23" i="13"/>
  <c r="G23" i="13"/>
  <c r="G22" i="13"/>
  <c r="J21" i="13"/>
  <c r="H21" i="13"/>
  <c r="G21" i="13"/>
  <c r="G20" i="13"/>
  <c r="J19" i="13"/>
  <c r="H19" i="13"/>
  <c r="G19" i="13"/>
  <c r="G18" i="13"/>
  <c r="J17" i="13"/>
  <c r="H17" i="13"/>
  <c r="G17" i="13"/>
  <c r="G16" i="13"/>
  <c r="J15" i="13"/>
  <c r="H15" i="13"/>
  <c r="G15" i="13"/>
  <c r="G14" i="13"/>
  <c r="J13" i="13"/>
  <c r="H13" i="13"/>
  <c r="G13" i="13"/>
  <c r="G12" i="13"/>
  <c r="J11" i="13"/>
  <c r="H11" i="13"/>
  <c r="G11" i="13"/>
  <c r="G10" i="13"/>
  <c r="J9" i="13"/>
  <c r="H9" i="13"/>
  <c r="G9" i="13"/>
  <c r="G64" i="12"/>
  <c r="G63" i="12"/>
  <c r="G62" i="12"/>
  <c r="G61" i="12"/>
  <c r="E56" i="12"/>
  <c r="D56" i="12"/>
  <c r="C56" i="12"/>
  <c r="E55" i="12"/>
  <c r="D55" i="12"/>
  <c r="C55" i="12"/>
  <c r="G49" i="12"/>
  <c r="H49" i="12" s="1"/>
  <c r="G48" i="12"/>
  <c r="H48" i="12" s="1"/>
  <c r="H47" i="12"/>
  <c r="G47" i="12"/>
  <c r="F40" i="12"/>
  <c r="E40" i="12"/>
  <c r="D40" i="12"/>
  <c r="C40" i="12"/>
  <c r="H39" i="12"/>
  <c r="G39" i="12"/>
  <c r="H38" i="12"/>
  <c r="G38" i="12"/>
  <c r="G37" i="12"/>
  <c r="J36" i="12"/>
  <c r="H36" i="12"/>
  <c r="G36" i="12"/>
  <c r="H35" i="12"/>
  <c r="G35" i="12"/>
  <c r="G34" i="12"/>
  <c r="H33" i="12"/>
  <c r="G33" i="12"/>
  <c r="J33" i="12" s="1"/>
  <c r="G32" i="12"/>
  <c r="H31" i="12"/>
  <c r="G31" i="12"/>
  <c r="J31" i="12" s="1"/>
  <c r="J30" i="12"/>
  <c r="H30" i="12"/>
  <c r="G30" i="12"/>
  <c r="G29" i="12"/>
  <c r="G28" i="12"/>
  <c r="G27" i="12"/>
  <c r="H27" i="12" s="1"/>
  <c r="G26" i="12"/>
  <c r="J25" i="12"/>
  <c r="H25" i="12"/>
  <c r="G25" i="12"/>
  <c r="G24" i="12"/>
  <c r="G23" i="12"/>
  <c r="H22" i="12"/>
  <c r="G22" i="12"/>
  <c r="J22" i="12" s="1"/>
  <c r="J21" i="12"/>
  <c r="H21" i="12"/>
  <c r="G21" i="12"/>
  <c r="H20" i="12"/>
  <c r="G20" i="12"/>
  <c r="J20" i="12" s="1"/>
  <c r="G19" i="12"/>
  <c r="H19" i="12" s="1"/>
  <c r="G18" i="12"/>
  <c r="H18" i="12" s="1"/>
  <c r="J17" i="12"/>
  <c r="H17" i="12"/>
  <c r="G17" i="12"/>
  <c r="H16" i="12"/>
  <c r="G16" i="12"/>
  <c r="G15" i="12"/>
  <c r="J14" i="12"/>
  <c r="H14" i="12"/>
  <c r="G14" i="12"/>
  <c r="G13" i="12"/>
  <c r="J12" i="12"/>
  <c r="H12" i="12"/>
  <c r="G12" i="12"/>
  <c r="G11" i="12"/>
  <c r="J10" i="12"/>
  <c r="H10" i="12"/>
  <c r="G10" i="12"/>
  <c r="H9" i="12"/>
  <c r="G9" i="12"/>
  <c r="G65" i="11"/>
  <c r="G64" i="11"/>
  <c r="G63" i="11"/>
  <c r="G62" i="11"/>
  <c r="E57" i="11"/>
  <c r="D57" i="11"/>
  <c r="C57" i="11"/>
  <c r="E56" i="11"/>
  <c r="D56" i="11"/>
  <c r="C56" i="11"/>
  <c r="G50" i="11"/>
  <c r="H50" i="11" s="1"/>
  <c r="G49" i="11"/>
  <c r="H49" i="11" s="1"/>
  <c r="H48" i="11"/>
  <c r="G48" i="11"/>
  <c r="F41" i="11"/>
  <c r="E41" i="11"/>
  <c r="D41" i="11"/>
  <c r="C41" i="11"/>
  <c r="H40" i="11"/>
  <c r="G40" i="11"/>
  <c r="H39" i="11"/>
  <c r="G39" i="11"/>
  <c r="G38" i="11"/>
  <c r="H38" i="11" s="1"/>
  <c r="J37" i="11"/>
  <c r="G37" i="11"/>
  <c r="G36" i="11"/>
  <c r="G35" i="11"/>
  <c r="H35" i="11" s="1"/>
  <c r="J34" i="11"/>
  <c r="H34" i="11"/>
  <c r="G34" i="11"/>
  <c r="J33" i="11"/>
  <c r="G33" i="11"/>
  <c r="H33" i="11" s="1"/>
  <c r="J32" i="11"/>
  <c r="H32" i="11"/>
  <c r="G32" i="11"/>
  <c r="J31" i="11"/>
  <c r="G31" i="11"/>
  <c r="H31" i="11" s="1"/>
  <c r="J30" i="11"/>
  <c r="H30" i="11"/>
  <c r="G30" i="11"/>
  <c r="J29" i="11"/>
  <c r="G29" i="11"/>
  <c r="H29" i="11" s="1"/>
  <c r="J28" i="11"/>
  <c r="H28" i="11"/>
  <c r="G28" i="11"/>
  <c r="J27" i="11"/>
  <c r="G27" i="11"/>
  <c r="H27" i="11" s="1"/>
  <c r="G26" i="11"/>
  <c r="G25" i="11"/>
  <c r="H24" i="11"/>
  <c r="G24" i="11"/>
  <c r="J24" i="11" s="1"/>
  <c r="J23" i="11"/>
  <c r="H23" i="11"/>
  <c r="G23" i="11"/>
  <c r="H22" i="11"/>
  <c r="G22" i="11"/>
  <c r="J22" i="11" s="1"/>
  <c r="H21" i="11"/>
  <c r="G21" i="11"/>
  <c r="G20" i="11"/>
  <c r="H19" i="11"/>
  <c r="G19" i="11"/>
  <c r="J18" i="11"/>
  <c r="G18" i="11"/>
  <c r="H18" i="11" s="1"/>
  <c r="G17" i="11"/>
  <c r="J16" i="11"/>
  <c r="H16" i="11"/>
  <c r="G16" i="11"/>
  <c r="G15" i="11"/>
  <c r="J14" i="11"/>
  <c r="H14" i="11"/>
  <c r="G14" i="11"/>
  <c r="G13" i="11"/>
  <c r="J12" i="11"/>
  <c r="H12" i="11"/>
  <c r="G12" i="11"/>
  <c r="G11" i="11"/>
  <c r="H10" i="11"/>
  <c r="G10" i="11"/>
  <c r="G9" i="11"/>
  <c r="G71" i="10"/>
  <c r="G70" i="10"/>
  <c r="G69" i="10"/>
  <c r="G68" i="10"/>
  <c r="E63" i="10"/>
  <c r="D63" i="10"/>
  <c r="C63" i="10"/>
  <c r="E62" i="10"/>
  <c r="D62" i="10"/>
  <c r="C62" i="10"/>
  <c r="G56" i="10"/>
  <c r="H56" i="10" s="1"/>
  <c r="H55" i="10"/>
  <c r="G55" i="10"/>
  <c r="G54" i="10"/>
  <c r="H54" i="10" s="1"/>
  <c r="F47" i="10"/>
  <c r="E47" i="10"/>
  <c r="D47" i="10"/>
  <c r="C47" i="10"/>
  <c r="J46" i="10"/>
  <c r="H46" i="10"/>
  <c r="G46" i="10"/>
  <c r="G45" i="10"/>
  <c r="H44" i="10"/>
  <c r="G44" i="10"/>
  <c r="H43" i="10"/>
  <c r="G43" i="10"/>
  <c r="J43" i="10" s="1"/>
  <c r="G42" i="10"/>
  <c r="J42" i="10" s="1"/>
  <c r="H41" i="10"/>
  <c r="G41" i="10"/>
  <c r="J41" i="10" s="1"/>
  <c r="G40" i="10"/>
  <c r="G39" i="10"/>
  <c r="H38" i="10"/>
  <c r="G38" i="10"/>
  <c r="J37" i="10"/>
  <c r="G37" i="10"/>
  <c r="H37" i="10" s="1"/>
  <c r="J36" i="10"/>
  <c r="H36" i="10"/>
  <c r="G36" i="10"/>
  <c r="J35" i="10"/>
  <c r="G35" i="10"/>
  <c r="H35" i="10" s="1"/>
  <c r="J34" i="10"/>
  <c r="H34" i="10"/>
  <c r="G34" i="10"/>
  <c r="J33" i="10"/>
  <c r="G33" i="10"/>
  <c r="H33" i="10" s="1"/>
  <c r="J32" i="10"/>
  <c r="H32" i="10"/>
  <c r="G32" i="10"/>
  <c r="J31" i="10"/>
  <c r="G31" i="10"/>
  <c r="H31" i="10" s="1"/>
  <c r="J30" i="10"/>
  <c r="H30" i="10"/>
  <c r="G30" i="10"/>
  <c r="J29" i="10"/>
  <c r="G29" i="10"/>
  <c r="H29" i="10" s="1"/>
  <c r="J28" i="10"/>
  <c r="H28" i="10"/>
  <c r="G28" i="10"/>
  <c r="J27" i="10"/>
  <c r="G27" i="10"/>
  <c r="H27" i="10" s="1"/>
  <c r="J26" i="10"/>
  <c r="H26" i="10"/>
  <c r="G26" i="10"/>
  <c r="J25" i="10"/>
  <c r="G25" i="10"/>
  <c r="H25" i="10" s="1"/>
  <c r="J24" i="10"/>
  <c r="H24" i="10"/>
  <c r="G24" i="10"/>
  <c r="J23" i="10"/>
  <c r="G23" i="10"/>
  <c r="H23" i="10" s="1"/>
  <c r="J22" i="10"/>
  <c r="H22" i="10"/>
  <c r="G22" i="10"/>
  <c r="J21" i="10"/>
  <c r="G21" i="10"/>
  <c r="H21" i="10" s="1"/>
  <c r="J20" i="10"/>
  <c r="H20" i="10"/>
  <c r="G20" i="10"/>
  <c r="J19" i="10"/>
  <c r="G19" i="10"/>
  <c r="H19" i="10" s="1"/>
  <c r="J18" i="10"/>
  <c r="H18" i="10"/>
  <c r="G18" i="10"/>
  <c r="J17" i="10"/>
  <c r="G17" i="10"/>
  <c r="H17" i="10" s="1"/>
  <c r="J16" i="10"/>
  <c r="H16" i="10"/>
  <c r="G16" i="10"/>
  <c r="J15" i="10"/>
  <c r="G15" i="10"/>
  <c r="H15" i="10" s="1"/>
  <c r="J14" i="10"/>
  <c r="H14" i="10"/>
  <c r="G14" i="10"/>
  <c r="J13" i="10"/>
  <c r="G13" i="10"/>
  <c r="H13" i="10" s="1"/>
  <c r="J12" i="10"/>
  <c r="H12" i="10"/>
  <c r="G12" i="10"/>
  <c r="J11" i="10"/>
  <c r="G11" i="10"/>
  <c r="H11" i="10" s="1"/>
  <c r="J10" i="10"/>
  <c r="H10" i="10"/>
  <c r="G10" i="10"/>
  <c r="J9" i="10"/>
  <c r="G9" i="10"/>
  <c r="G60" i="9"/>
  <c r="G59" i="9"/>
  <c r="G58" i="9"/>
  <c r="G57" i="9"/>
  <c r="E52" i="9"/>
  <c r="D52" i="9"/>
  <c r="C52" i="9"/>
  <c r="E51" i="9"/>
  <c r="D51" i="9"/>
  <c r="C51" i="9"/>
  <c r="H45" i="9"/>
  <c r="G45" i="9"/>
  <c r="G44" i="9"/>
  <c r="H44" i="9" s="1"/>
  <c r="G43" i="9"/>
  <c r="H43" i="9" s="1"/>
  <c r="F36" i="9"/>
  <c r="E36" i="9"/>
  <c r="D36" i="9"/>
  <c r="C36" i="9"/>
  <c r="J35" i="9"/>
  <c r="H35" i="9"/>
  <c r="G35" i="9"/>
  <c r="H34" i="9"/>
  <c r="G34" i="9"/>
  <c r="J34" i="9" s="1"/>
  <c r="H33" i="9"/>
  <c r="G33" i="9"/>
  <c r="G32" i="9"/>
  <c r="H31" i="9"/>
  <c r="G31" i="9"/>
  <c r="J30" i="9"/>
  <c r="G30" i="9"/>
  <c r="H30" i="9" s="1"/>
  <c r="J29" i="9"/>
  <c r="H29" i="9"/>
  <c r="G29" i="9"/>
  <c r="J28" i="9"/>
  <c r="G28" i="9"/>
  <c r="H28" i="9" s="1"/>
  <c r="J27" i="9"/>
  <c r="H27" i="9"/>
  <c r="G27" i="9"/>
  <c r="J26" i="9"/>
  <c r="G26" i="9"/>
  <c r="H26" i="9" s="1"/>
  <c r="J25" i="9"/>
  <c r="H25" i="9"/>
  <c r="G25" i="9"/>
  <c r="J24" i="9"/>
  <c r="G24" i="9"/>
  <c r="H24" i="9" s="1"/>
  <c r="J23" i="9"/>
  <c r="H23" i="9"/>
  <c r="G23" i="9"/>
  <c r="J22" i="9"/>
  <c r="G22" i="9"/>
  <c r="H22" i="9" s="1"/>
  <c r="G21" i="9"/>
  <c r="H21" i="9" s="1"/>
  <c r="J20" i="9"/>
  <c r="H20" i="9"/>
  <c r="G20" i="9"/>
  <c r="G19" i="9"/>
  <c r="J18" i="9"/>
  <c r="H18" i="9"/>
  <c r="G18" i="9"/>
  <c r="G17" i="9"/>
  <c r="J16" i="9"/>
  <c r="H16" i="9"/>
  <c r="G16" i="9"/>
  <c r="G15" i="9"/>
  <c r="J14" i="9"/>
  <c r="H14" i="9"/>
  <c r="G14" i="9"/>
  <c r="G13" i="9"/>
  <c r="G12" i="9"/>
  <c r="H12" i="9" s="1"/>
  <c r="H11" i="9"/>
  <c r="G11" i="9"/>
  <c r="J11" i="9" s="1"/>
  <c r="G10" i="9"/>
  <c r="G9" i="9"/>
  <c r="G65" i="8"/>
  <c r="G64" i="8"/>
  <c r="G63" i="8"/>
  <c r="G62" i="8"/>
  <c r="E57" i="8"/>
  <c r="D57" i="8"/>
  <c r="C57" i="8"/>
  <c r="E56" i="8"/>
  <c r="D56" i="8"/>
  <c r="C56" i="8"/>
  <c r="G50" i="8"/>
  <c r="H50" i="8" s="1"/>
  <c r="H49" i="8"/>
  <c r="G49" i="8"/>
  <c r="G48" i="8"/>
  <c r="H48" i="8" s="1"/>
  <c r="F41" i="8"/>
  <c r="E41" i="8"/>
  <c r="D41" i="8"/>
  <c r="C41" i="8"/>
  <c r="G40" i="8"/>
  <c r="G39" i="8"/>
  <c r="G38" i="8"/>
  <c r="G37" i="8"/>
  <c r="G36" i="8"/>
  <c r="J35" i="8"/>
  <c r="G35" i="8"/>
  <c r="G34" i="8"/>
  <c r="G33" i="8"/>
  <c r="G32" i="8"/>
  <c r="J31" i="8"/>
  <c r="G31" i="8"/>
  <c r="G30" i="8"/>
  <c r="G29" i="8"/>
  <c r="G28" i="8"/>
  <c r="J27" i="8"/>
  <c r="G27" i="8"/>
  <c r="G26" i="8"/>
  <c r="G25" i="8"/>
  <c r="G24" i="8"/>
  <c r="J23" i="8"/>
  <c r="G23" i="8"/>
  <c r="G22" i="8"/>
  <c r="G21" i="8"/>
  <c r="G20" i="8"/>
  <c r="J19" i="8"/>
  <c r="G19" i="8"/>
  <c r="G18" i="8"/>
  <c r="G17" i="8"/>
  <c r="G16" i="8"/>
  <c r="J15" i="8"/>
  <c r="G15" i="8"/>
  <c r="G14" i="8"/>
  <c r="G13" i="8"/>
  <c r="G12" i="8"/>
  <c r="J11" i="8"/>
  <c r="G11" i="8"/>
  <c r="G10" i="8"/>
  <c r="G9" i="8"/>
  <c r="G64" i="7"/>
  <c r="G63" i="7"/>
  <c r="G62" i="7"/>
  <c r="G61" i="7"/>
  <c r="E56" i="7"/>
  <c r="D56" i="7"/>
  <c r="C56" i="7"/>
  <c r="E55" i="7"/>
  <c r="D55" i="7"/>
  <c r="C55" i="7"/>
  <c r="G49" i="7"/>
  <c r="H49" i="7" s="1"/>
  <c r="H48" i="7"/>
  <c r="G48" i="7"/>
  <c r="G47" i="7"/>
  <c r="H47" i="7" s="1"/>
  <c r="F40" i="7"/>
  <c r="E40" i="7"/>
  <c r="D40" i="7"/>
  <c r="C40" i="7"/>
  <c r="H39" i="7"/>
  <c r="G39" i="7"/>
  <c r="H38" i="7"/>
  <c r="G38" i="7"/>
  <c r="J38" i="7" s="1"/>
  <c r="G37" i="7"/>
  <c r="H37" i="7" s="1"/>
  <c r="G36" i="7"/>
  <c r="G35" i="7"/>
  <c r="J34" i="7"/>
  <c r="G34" i="7"/>
  <c r="H33" i="7"/>
  <c r="G33" i="7"/>
  <c r="J33" i="7" s="1"/>
  <c r="G32" i="7"/>
  <c r="J32" i="7" s="1"/>
  <c r="H31" i="7"/>
  <c r="G31" i="7"/>
  <c r="J31" i="7" s="1"/>
  <c r="G30" i="7"/>
  <c r="J29" i="7"/>
  <c r="H29" i="7"/>
  <c r="G29" i="7"/>
  <c r="J28" i="7"/>
  <c r="G28" i="7"/>
  <c r="G27" i="7"/>
  <c r="J27" i="7" s="1"/>
  <c r="J26" i="7"/>
  <c r="G26" i="7"/>
  <c r="J25" i="7"/>
  <c r="G25" i="7"/>
  <c r="G24" i="7"/>
  <c r="J23" i="7"/>
  <c r="H23" i="7"/>
  <c r="G23" i="7"/>
  <c r="G22" i="7"/>
  <c r="J21" i="7"/>
  <c r="H21" i="7"/>
  <c r="G21" i="7"/>
  <c r="J20" i="7"/>
  <c r="G20" i="7"/>
  <c r="G19" i="7"/>
  <c r="J19" i="7" s="1"/>
  <c r="G18" i="7"/>
  <c r="H18" i="7" s="1"/>
  <c r="H17" i="7"/>
  <c r="G17" i="7"/>
  <c r="J17" i="7" s="1"/>
  <c r="J16" i="7"/>
  <c r="H16" i="7"/>
  <c r="G16" i="7"/>
  <c r="J15" i="7"/>
  <c r="G15" i="7"/>
  <c r="G14" i="7"/>
  <c r="H13" i="7"/>
  <c r="G13" i="7"/>
  <c r="G12" i="7"/>
  <c r="H12" i="7" s="1"/>
  <c r="G11" i="7"/>
  <c r="G10" i="7"/>
  <c r="H10" i="7" s="1"/>
  <c r="J9" i="7"/>
  <c r="H9" i="7"/>
  <c r="G9" i="7"/>
  <c r="G65" i="6"/>
  <c r="G64" i="6"/>
  <c r="G63" i="6"/>
  <c r="G62" i="6"/>
  <c r="E57" i="6"/>
  <c r="D57" i="6"/>
  <c r="C57" i="6"/>
  <c r="E56" i="6"/>
  <c r="D56" i="6"/>
  <c r="C56" i="6"/>
  <c r="G50" i="6"/>
  <c r="H50" i="6" s="1"/>
  <c r="H49" i="6"/>
  <c r="G49" i="6"/>
  <c r="G48" i="6"/>
  <c r="H48" i="6" s="1"/>
  <c r="F41" i="6"/>
  <c r="E41" i="6"/>
  <c r="D41" i="6"/>
  <c r="C41" i="6"/>
  <c r="H40" i="6"/>
  <c r="G40" i="6"/>
  <c r="H39" i="6"/>
  <c r="G39" i="6"/>
  <c r="J38" i="6"/>
  <c r="G38" i="6"/>
  <c r="H38" i="6" s="1"/>
  <c r="J37" i="6"/>
  <c r="G37" i="6"/>
  <c r="G36" i="6"/>
  <c r="H36" i="6" s="1"/>
  <c r="H35" i="6"/>
  <c r="G35" i="6"/>
  <c r="J35" i="6" s="1"/>
  <c r="J34" i="6"/>
  <c r="G34" i="6"/>
  <c r="H34" i="6" s="1"/>
  <c r="J33" i="6"/>
  <c r="H33" i="6"/>
  <c r="G33" i="6"/>
  <c r="G32" i="6"/>
  <c r="H32" i="6" s="1"/>
  <c r="G31" i="6"/>
  <c r="J31" i="6" s="1"/>
  <c r="G30" i="6"/>
  <c r="H30" i="6" s="1"/>
  <c r="J29" i="6"/>
  <c r="H29" i="6"/>
  <c r="G29" i="6"/>
  <c r="J28" i="6"/>
  <c r="G28" i="6"/>
  <c r="J27" i="6"/>
  <c r="H27" i="6"/>
  <c r="G27" i="6"/>
  <c r="J26" i="6"/>
  <c r="G26" i="6"/>
  <c r="J25" i="6"/>
  <c r="H25" i="6"/>
  <c r="G25" i="6"/>
  <c r="J24" i="6"/>
  <c r="G24" i="6"/>
  <c r="J23" i="6"/>
  <c r="H23" i="6"/>
  <c r="G23" i="6"/>
  <c r="J22" i="6"/>
  <c r="G22" i="6"/>
  <c r="J21" i="6"/>
  <c r="H21" i="6"/>
  <c r="G21" i="6"/>
  <c r="J20" i="6"/>
  <c r="G20" i="6"/>
  <c r="J19" i="6"/>
  <c r="H19" i="6"/>
  <c r="G19" i="6"/>
  <c r="J18" i="6"/>
  <c r="G18" i="6"/>
  <c r="J17" i="6"/>
  <c r="H17" i="6"/>
  <c r="G17" i="6"/>
  <c r="J16" i="6"/>
  <c r="G16" i="6"/>
  <c r="J15" i="6"/>
  <c r="H15" i="6"/>
  <c r="G15" i="6"/>
  <c r="J14" i="6"/>
  <c r="G14" i="6"/>
  <c r="J13" i="6"/>
  <c r="H13" i="6"/>
  <c r="G13" i="6"/>
  <c r="J12" i="6"/>
  <c r="G12" i="6"/>
  <c r="J11" i="6"/>
  <c r="H11" i="6"/>
  <c r="G11" i="6"/>
  <c r="J10" i="6"/>
  <c r="G10" i="6"/>
  <c r="J9" i="6"/>
  <c r="H9" i="6"/>
  <c r="G9" i="6"/>
  <c r="G72" i="5"/>
  <c r="G71" i="5"/>
  <c r="G70" i="5"/>
  <c r="G69" i="5"/>
  <c r="E64" i="5"/>
  <c r="D64" i="5"/>
  <c r="C64" i="5"/>
  <c r="E63" i="5"/>
  <c r="D63" i="5"/>
  <c r="C63" i="5"/>
  <c r="G57" i="5"/>
  <c r="H57" i="5" s="1"/>
  <c r="H56" i="5"/>
  <c r="G56" i="5"/>
  <c r="H55" i="5"/>
  <c r="G55" i="5"/>
  <c r="F48" i="5"/>
  <c r="E48" i="5"/>
  <c r="D48" i="5"/>
  <c r="C48" i="5"/>
  <c r="H47" i="5"/>
  <c r="G47" i="5"/>
  <c r="J47" i="5" s="1"/>
  <c r="J46" i="5"/>
  <c r="H46" i="5"/>
  <c r="G46" i="5"/>
  <c r="H45" i="5"/>
  <c r="G45" i="5"/>
  <c r="J45" i="5" s="1"/>
  <c r="G44" i="5"/>
  <c r="H43" i="5"/>
  <c r="G43" i="5"/>
  <c r="J43" i="5" s="1"/>
  <c r="G42" i="5"/>
  <c r="H41" i="5"/>
  <c r="G41" i="5"/>
  <c r="J41" i="5" s="1"/>
  <c r="G40" i="5"/>
  <c r="J40" i="5" s="1"/>
  <c r="H39" i="5"/>
  <c r="G39" i="5"/>
  <c r="J39" i="5" s="1"/>
  <c r="G38" i="5"/>
  <c r="H37" i="5"/>
  <c r="G37" i="5"/>
  <c r="J37" i="5" s="1"/>
  <c r="G36" i="5"/>
  <c r="H35" i="5"/>
  <c r="G35" i="5"/>
  <c r="J35" i="5" s="1"/>
  <c r="G34" i="5"/>
  <c r="J34" i="5" s="1"/>
  <c r="H33" i="5"/>
  <c r="G33" i="5"/>
  <c r="J33" i="5" s="1"/>
  <c r="G32" i="5"/>
  <c r="H31" i="5"/>
  <c r="G31" i="5"/>
  <c r="J31" i="5" s="1"/>
  <c r="G30" i="5"/>
  <c r="H29" i="5"/>
  <c r="G29" i="5"/>
  <c r="J29" i="5" s="1"/>
  <c r="G28" i="5"/>
  <c r="H27" i="5"/>
  <c r="G27" i="5"/>
  <c r="J27" i="5" s="1"/>
  <c r="G26" i="5"/>
  <c r="H25" i="5"/>
  <c r="G25" i="5"/>
  <c r="J25" i="5" s="1"/>
  <c r="G24" i="5"/>
  <c r="J24" i="5" s="1"/>
  <c r="H23" i="5"/>
  <c r="G23" i="5"/>
  <c r="J23" i="5" s="1"/>
  <c r="G22" i="5"/>
  <c r="G21" i="5"/>
  <c r="G20" i="5"/>
  <c r="H19" i="5"/>
  <c r="G19" i="5"/>
  <c r="J19" i="5" s="1"/>
  <c r="G18" i="5"/>
  <c r="J18" i="5" s="1"/>
  <c r="H17" i="5"/>
  <c r="G17" i="5"/>
  <c r="J17" i="5" s="1"/>
  <c r="G16" i="5"/>
  <c r="J16" i="5" s="1"/>
  <c r="H15" i="5"/>
  <c r="G15" i="5"/>
  <c r="J15" i="5" s="1"/>
  <c r="G14" i="5"/>
  <c r="J14" i="5" s="1"/>
  <c r="H13" i="5"/>
  <c r="G13" i="5"/>
  <c r="H12" i="5"/>
  <c r="G12" i="5"/>
  <c r="H11" i="5"/>
  <c r="G11" i="5"/>
  <c r="J10" i="5"/>
  <c r="G10" i="5"/>
  <c r="G9" i="5"/>
  <c r="G66" i="4"/>
  <c r="G65" i="4"/>
  <c r="G64" i="4"/>
  <c r="G63" i="4"/>
  <c r="E58" i="4"/>
  <c r="D58" i="4"/>
  <c r="C58" i="4"/>
  <c r="E57" i="4"/>
  <c r="D57" i="4"/>
  <c r="C57" i="4"/>
  <c r="H51" i="4"/>
  <c r="G51" i="4"/>
  <c r="H50" i="4"/>
  <c r="G50" i="4"/>
  <c r="G49" i="4"/>
  <c r="H49" i="4" s="1"/>
  <c r="F42" i="4"/>
  <c r="E42" i="4"/>
  <c r="D42" i="4"/>
  <c r="C42" i="4"/>
  <c r="G41" i="4"/>
  <c r="J40" i="4"/>
  <c r="H40" i="4"/>
  <c r="G40" i="4"/>
  <c r="J39" i="4"/>
  <c r="G39" i="4"/>
  <c r="J38" i="4"/>
  <c r="H38" i="4"/>
  <c r="G38" i="4"/>
  <c r="J37" i="4"/>
  <c r="G37" i="4"/>
  <c r="G36" i="4"/>
  <c r="H35" i="4"/>
  <c r="G35" i="4"/>
  <c r="H34" i="4"/>
  <c r="G34" i="4"/>
  <c r="G33" i="4"/>
  <c r="H32" i="4"/>
  <c r="G32" i="4"/>
  <c r="J32" i="4" s="1"/>
  <c r="G31" i="4"/>
  <c r="H30" i="4"/>
  <c r="G30" i="4"/>
  <c r="J30" i="4" s="1"/>
  <c r="G29" i="4"/>
  <c r="H28" i="4"/>
  <c r="G28" i="4"/>
  <c r="J28" i="4" s="1"/>
  <c r="G27" i="4"/>
  <c r="H26" i="4"/>
  <c r="G26" i="4"/>
  <c r="J26" i="4" s="1"/>
  <c r="G25" i="4"/>
  <c r="H24" i="4"/>
  <c r="G24" i="4"/>
  <c r="J24" i="4" s="1"/>
  <c r="G23" i="4"/>
  <c r="H22" i="4"/>
  <c r="G22" i="4"/>
  <c r="J22" i="4" s="1"/>
  <c r="G21" i="4"/>
  <c r="H20" i="4"/>
  <c r="G20" i="4"/>
  <c r="J20" i="4" s="1"/>
  <c r="G19" i="4"/>
  <c r="H18" i="4"/>
  <c r="G18" i="4"/>
  <c r="J18" i="4" s="1"/>
  <c r="G17" i="4"/>
  <c r="J17" i="4" s="1"/>
  <c r="H16" i="4"/>
  <c r="G16" i="4"/>
  <c r="J16" i="4" s="1"/>
  <c r="G15" i="4"/>
  <c r="H14" i="4"/>
  <c r="G14" i="4"/>
  <c r="J14" i="4" s="1"/>
  <c r="G13" i="4"/>
  <c r="H12" i="4"/>
  <c r="G12" i="4"/>
  <c r="J12" i="4" s="1"/>
  <c r="G11" i="4"/>
  <c r="H10" i="4"/>
  <c r="G10" i="4"/>
  <c r="J10" i="4" s="1"/>
  <c r="G9" i="4"/>
  <c r="G67" i="3"/>
  <c r="G66" i="3"/>
  <c r="G65" i="3"/>
  <c r="G64" i="3"/>
  <c r="E59" i="3"/>
  <c r="D59" i="3"/>
  <c r="C59" i="3"/>
  <c r="E58" i="3"/>
  <c r="D58" i="3"/>
  <c r="C58" i="3"/>
  <c r="H52" i="3"/>
  <c r="G52" i="3"/>
  <c r="G51" i="3"/>
  <c r="H51" i="3" s="1"/>
  <c r="G50" i="3"/>
  <c r="H50" i="3" s="1"/>
  <c r="F43" i="3"/>
  <c r="E43" i="3"/>
  <c r="D43" i="3"/>
  <c r="C43" i="3"/>
  <c r="H42" i="3"/>
  <c r="G42" i="3"/>
  <c r="J41" i="3"/>
  <c r="H41" i="3"/>
  <c r="G41" i="3"/>
  <c r="I41" i="3" s="1"/>
  <c r="H40" i="3"/>
  <c r="G40" i="3"/>
  <c r="J40" i="3" s="1"/>
  <c r="J39" i="3"/>
  <c r="H39" i="3"/>
  <c r="G39" i="3"/>
  <c r="H38" i="3"/>
  <c r="G38" i="3"/>
  <c r="I38" i="3" s="1"/>
  <c r="G37" i="3"/>
  <c r="I37" i="3" s="1"/>
  <c r="H36" i="3"/>
  <c r="G36" i="3"/>
  <c r="J36" i="3" s="1"/>
  <c r="H35" i="3"/>
  <c r="G35" i="3"/>
  <c r="H34" i="3"/>
  <c r="G34" i="3"/>
  <c r="G33" i="3"/>
  <c r="J33" i="3" s="1"/>
  <c r="H32" i="3"/>
  <c r="G32" i="3"/>
  <c r="J32" i="3" s="1"/>
  <c r="G31" i="3"/>
  <c r="J31" i="3" s="1"/>
  <c r="H30" i="3"/>
  <c r="G30" i="3"/>
  <c r="J30" i="3" s="1"/>
  <c r="G29" i="3"/>
  <c r="J29" i="3" s="1"/>
  <c r="H28" i="3"/>
  <c r="G28" i="3"/>
  <c r="J28" i="3" s="1"/>
  <c r="G27" i="3"/>
  <c r="J27" i="3" s="1"/>
  <c r="H26" i="3"/>
  <c r="G26" i="3"/>
  <c r="J26" i="3" s="1"/>
  <c r="G25" i="3"/>
  <c r="J25" i="3" s="1"/>
  <c r="H24" i="3"/>
  <c r="G24" i="3"/>
  <c r="J24" i="3" s="1"/>
  <c r="G23" i="3"/>
  <c r="J23" i="3" s="1"/>
  <c r="H22" i="3"/>
  <c r="G22" i="3"/>
  <c r="J22" i="3" s="1"/>
  <c r="G21" i="3"/>
  <c r="J21" i="3" s="1"/>
  <c r="H20" i="3"/>
  <c r="G20" i="3"/>
  <c r="J20" i="3" s="1"/>
  <c r="G19" i="3"/>
  <c r="J19" i="3" s="1"/>
  <c r="H18" i="3"/>
  <c r="G18" i="3"/>
  <c r="J18" i="3" s="1"/>
  <c r="G17" i="3"/>
  <c r="J17" i="3" s="1"/>
  <c r="H16" i="3"/>
  <c r="G16" i="3"/>
  <c r="J16" i="3" s="1"/>
  <c r="G15" i="3"/>
  <c r="J15" i="3" s="1"/>
  <c r="H14" i="3"/>
  <c r="G14" i="3"/>
  <c r="J14" i="3" s="1"/>
  <c r="G13" i="3"/>
  <c r="J13" i="3" s="1"/>
  <c r="H12" i="3"/>
  <c r="G12" i="3"/>
  <c r="J12" i="3" s="1"/>
  <c r="G11" i="3"/>
  <c r="J11" i="3" s="1"/>
  <c r="H10" i="3"/>
  <c r="G10" i="3"/>
  <c r="J10" i="3" s="1"/>
  <c r="G9" i="3"/>
  <c r="G43" i="3" s="1"/>
  <c r="G62" i="2"/>
  <c r="G61" i="2"/>
  <c r="G60" i="2"/>
  <c r="G59" i="2"/>
  <c r="E54" i="2"/>
  <c r="D54" i="2"/>
  <c r="C54" i="2"/>
  <c r="E53" i="2"/>
  <c r="D53" i="2"/>
  <c r="C53" i="2"/>
  <c r="H47" i="2"/>
  <c r="G47" i="2"/>
  <c r="H46" i="2"/>
  <c r="G46" i="2"/>
  <c r="G45" i="2"/>
  <c r="H45" i="2" s="1"/>
  <c r="F38" i="2"/>
  <c r="E38" i="2"/>
  <c r="D38" i="2"/>
  <c r="C38" i="2"/>
  <c r="G37" i="2"/>
  <c r="G36" i="2"/>
  <c r="J35" i="2"/>
  <c r="H35" i="2"/>
  <c r="G35" i="2"/>
  <c r="G34" i="2"/>
  <c r="J34" i="2" s="1"/>
  <c r="H33" i="2"/>
  <c r="G33" i="2"/>
  <c r="H32" i="2"/>
  <c r="G32" i="2"/>
  <c r="J32" i="2" s="1"/>
  <c r="J31" i="2"/>
  <c r="H31" i="2"/>
  <c r="G31" i="2"/>
  <c r="H30" i="2"/>
  <c r="G30" i="2"/>
  <c r="J30" i="2" s="1"/>
  <c r="G29" i="2"/>
  <c r="H28" i="2"/>
  <c r="G28" i="2"/>
  <c r="J28" i="2" s="1"/>
  <c r="H27" i="2"/>
  <c r="G27" i="2"/>
  <c r="J26" i="2"/>
  <c r="G26" i="2"/>
  <c r="G25" i="2"/>
  <c r="H24" i="2"/>
  <c r="G24" i="2"/>
  <c r="H23" i="2"/>
  <c r="G23" i="2"/>
  <c r="G22" i="2"/>
  <c r="H21" i="2"/>
  <c r="G21" i="2"/>
  <c r="J21" i="2" s="1"/>
  <c r="G20" i="2"/>
  <c r="J20" i="2" s="1"/>
  <c r="G19" i="2"/>
  <c r="G18" i="2"/>
  <c r="J17" i="2"/>
  <c r="H17" i="2"/>
  <c r="G17" i="2"/>
  <c r="H16" i="2"/>
  <c r="G16" i="2"/>
  <c r="J15" i="2"/>
  <c r="H15" i="2"/>
  <c r="G15" i="2"/>
  <c r="H14" i="2"/>
  <c r="G14" i="2"/>
  <c r="J14" i="2" s="1"/>
  <c r="G13" i="2"/>
  <c r="H12" i="2"/>
  <c r="G12" i="2"/>
  <c r="J12" i="2" s="1"/>
  <c r="G11" i="2"/>
  <c r="H10" i="2"/>
  <c r="G10" i="2"/>
  <c r="J10" i="2" s="1"/>
  <c r="H9" i="2"/>
  <c r="G9" i="2"/>
  <c r="G66" i="1"/>
  <c r="G65" i="1"/>
  <c r="G64" i="1"/>
  <c r="G63" i="1"/>
  <c r="E58" i="1"/>
  <c r="D58" i="1"/>
  <c r="C58" i="1"/>
  <c r="E57" i="1"/>
  <c r="D57" i="1"/>
  <c r="C57" i="1"/>
  <c r="G51" i="1"/>
  <c r="H51" i="1" s="1"/>
  <c r="H50" i="1"/>
  <c r="G50" i="1"/>
  <c r="H49" i="1"/>
  <c r="G49" i="1"/>
  <c r="F42" i="1"/>
  <c r="E42" i="1"/>
  <c r="D42" i="1"/>
  <c r="D43" i="1" s="1"/>
  <c r="C42" i="1"/>
  <c r="H41" i="1"/>
  <c r="G41" i="1"/>
  <c r="G40" i="1"/>
  <c r="I40" i="1" s="1"/>
  <c r="H39" i="1"/>
  <c r="G39" i="1"/>
  <c r="J39" i="1" s="1"/>
  <c r="H38" i="1"/>
  <c r="G38" i="1"/>
  <c r="J37" i="1"/>
  <c r="G37" i="1"/>
  <c r="G36" i="1"/>
  <c r="H36" i="1" s="1"/>
  <c r="G35" i="1"/>
  <c r="H35" i="1" s="1"/>
  <c r="G34" i="1"/>
  <c r="J34" i="1" s="1"/>
  <c r="J33" i="1"/>
  <c r="G33" i="1"/>
  <c r="H33" i="1" s="1"/>
  <c r="G32" i="1"/>
  <c r="J32" i="1" s="1"/>
  <c r="J31" i="1"/>
  <c r="G31" i="1"/>
  <c r="H31" i="1" s="1"/>
  <c r="G30" i="1"/>
  <c r="J30" i="1" s="1"/>
  <c r="J29" i="1"/>
  <c r="G29" i="1"/>
  <c r="H29" i="1" s="1"/>
  <c r="G28" i="1"/>
  <c r="J28" i="1" s="1"/>
  <c r="J27" i="1"/>
  <c r="G27" i="1"/>
  <c r="H27" i="1" s="1"/>
  <c r="G26" i="1"/>
  <c r="I26" i="1" s="1"/>
  <c r="G25" i="1"/>
  <c r="H25" i="1" s="1"/>
  <c r="H24" i="1"/>
  <c r="G24" i="1"/>
  <c r="J24" i="1" s="1"/>
  <c r="G23" i="1"/>
  <c r="J23" i="1" s="1"/>
  <c r="H22" i="1"/>
  <c r="G22" i="1"/>
  <c r="J22" i="1" s="1"/>
  <c r="G21" i="1"/>
  <c r="I21" i="1" s="1"/>
  <c r="H20" i="1"/>
  <c r="G20" i="1"/>
  <c r="J20" i="1" s="1"/>
  <c r="G19" i="1"/>
  <c r="H19" i="1" s="1"/>
  <c r="H18" i="1"/>
  <c r="G18" i="1"/>
  <c r="J18" i="1" s="1"/>
  <c r="G17" i="1"/>
  <c r="H17" i="1" s="1"/>
  <c r="J16" i="1"/>
  <c r="G16" i="1"/>
  <c r="I16" i="1" s="1"/>
  <c r="G15" i="1"/>
  <c r="H15" i="1" s="1"/>
  <c r="J14" i="1"/>
  <c r="G14" i="1"/>
  <c r="G13" i="1"/>
  <c r="I13" i="1" s="1"/>
  <c r="J12" i="1"/>
  <c r="G12" i="1"/>
  <c r="H12" i="1" s="1"/>
  <c r="G11" i="1"/>
  <c r="J11" i="1" s="1"/>
  <c r="G10" i="1"/>
  <c r="I10" i="1" s="1"/>
  <c r="H9" i="1"/>
  <c r="G9" i="1"/>
  <c r="G42" i="1" s="1"/>
  <c r="I13" i="5" l="1"/>
  <c r="E44" i="3"/>
  <c r="I9" i="5"/>
  <c r="I37" i="6"/>
  <c r="I34" i="8"/>
  <c r="I14" i="1"/>
  <c r="I41" i="1"/>
  <c r="I21" i="5"/>
  <c r="I10" i="6"/>
  <c r="E43" i="1"/>
  <c r="I24" i="1"/>
  <c r="I22" i="1"/>
  <c r="I20" i="1"/>
  <c r="I18" i="1"/>
  <c r="I9" i="1"/>
  <c r="C43" i="1"/>
  <c r="I33" i="1"/>
  <c r="I27" i="1"/>
  <c r="F43" i="1"/>
  <c r="I35" i="1"/>
  <c r="I31" i="1"/>
  <c r="I29" i="1"/>
  <c r="I38" i="1"/>
  <c r="I12" i="1"/>
  <c r="I37" i="1"/>
  <c r="I39" i="3"/>
  <c r="I28" i="5"/>
  <c r="I26" i="5"/>
  <c r="F44" i="3"/>
  <c r="I40" i="3"/>
  <c r="I34" i="3"/>
  <c r="I30" i="3"/>
  <c r="I26" i="3"/>
  <c r="I16" i="3"/>
  <c r="I12" i="3"/>
  <c r="D44" i="3"/>
  <c r="I42" i="3"/>
  <c r="I24" i="3"/>
  <c r="I10" i="3"/>
  <c r="C44" i="3"/>
  <c r="I22" i="3"/>
  <c r="I35" i="3"/>
  <c r="I18" i="3"/>
  <c r="I32" i="3"/>
  <c r="I28" i="3"/>
  <c r="I20" i="3"/>
  <c r="I14" i="3"/>
  <c r="I25" i="7"/>
  <c r="G41" i="8"/>
  <c r="H9" i="8"/>
  <c r="H13" i="8"/>
  <c r="H17" i="8"/>
  <c r="H21" i="8"/>
  <c r="H25" i="8"/>
  <c r="H29" i="8"/>
  <c r="H33" i="8"/>
  <c r="H37" i="8"/>
  <c r="J17" i="9"/>
  <c r="H17" i="9"/>
  <c r="G36" i="9"/>
  <c r="I32" i="10"/>
  <c r="J15" i="11"/>
  <c r="I15" i="11"/>
  <c r="H15" i="11"/>
  <c r="H26" i="11"/>
  <c r="J24" i="12"/>
  <c r="I24" i="12"/>
  <c r="H24" i="12"/>
  <c r="J28" i="12"/>
  <c r="H28" i="12"/>
  <c r="G40" i="12"/>
  <c r="I17" i="12" s="1"/>
  <c r="J18" i="13"/>
  <c r="I18" i="13"/>
  <c r="H18" i="13"/>
  <c r="J34" i="13"/>
  <c r="H34" i="13"/>
  <c r="J22" i="15"/>
  <c r="H22" i="15"/>
  <c r="I26" i="15"/>
  <c r="H26" i="15"/>
  <c r="J31" i="16"/>
  <c r="I23" i="23"/>
  <c r="H23" i="23"/>
  <c r="I29" i="23"/>
  <c r="I29" i="30"/>
  <c r="I27" i="30"/>
  <c r="I25" i="30"/>
  <c r="I23" i="30"/>
  <c r="I35" i="30"/>
  <c r="I24" i="30"/>
  <c r="I32" i="30"/>
  <c r="I21" i="30"/>
  <c r="I13" i="30"/>
  <c r="I37" i="30"/>
  <c r="D39" i="30"/>
  <c r="I15" i="30"/>
  <c r="C39" i="30"/>
  <c r="I14" i="30"/>
  <c r="I9" i="30"/>
  <c r="I17" i="30"/>
  <c r="I16" i="30"/>
  <c r="I19" i="30"/>
  <c r="C42" i="31"/>
  <c r="H19" i="34"/>
  <c r="H40" i="1"/>
  <c r="H11" i="2"/>
  <c r="H13" i="2"/>
  <c r="H20" i="2"/>
  <c r="H22" i="2"/>
  <c r="H29" i="2"/>
  <c r="H37" i="3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22" i="5"/>
  <c r="H24" i="5"/>
  <c r="H26" i="5"/>
  <c r="H28" i="5"/>
  <c r="H30" i="5"/>
  <c r="H32" i="5"/>
  <c r="H34" i="5"/>
  <c r="H36" i="5"/>
  <c r="H38" i="5"/>
  <c r="H40" i="5"/>
  <c r="H42" i="5"/>
  <c r="H44" i="5"/>
  <c r="H31" i="6"/>
  <c r="G40" i="7"/>
  <c r="I23" i="7" s="1"/>
  <c r="H11" i="7"/>
  <c r="I16" i="7"/>
  <c r="H26" i="7"/>
  <c r="I31" i="7"/>
  <c r="J35" i="7"/>
  <c r="H35" i="7"/>
  <c r="I39" i="7"/>
  <c r="J9" i="8"/>
  <c r="J13" i="8"/>
  <c r="J17" i="8"/>
  <c r="J21" i="8"/>
  <c r="J25" i="8"/>
  <c r="J29" i="8"/>
  <c r="J33" i="8"/>
  <c r="J37" i="8"/>
  <c r="I17" i="9"/>
  <c r="I23" i="9"/>
  <c r="I31" i="9"/>
  <c r="I35" i="9"/>
  <c r="J45" i="10"/>
  <c r="I45" i="10"/>
  <c r="H45" i="10"/>
  <c r="I21" i="12"/>
  <c r="I28" i="12"/>
  <c r="H32" i="12"/>
  <c r="J12" i="13"/>
  <c r="H12" i="13"/>
  <c r="J28" i="13"/>
  <c r="H28" i="13"/>
  <c r="I41" i="13"/>
  <c r="I11" i="14"/>
  <c r="J14" i="14"/>
  <c r="H14" i="14"/>
  <c r="H20" i="14"/>
  <c r="J31" i="14"/>
  <c r="H31" i="14"/>
  <c r="F36" i="14"/>
  <c r="H13" i="15"/>
  <c r="J26" i="15"/>
  <c r="J25" i="16"/>
  <c r="H25" i="16"/>
  <c r="H31" i="16"/>
  <c r="H38" i="17"/>
  <c r="J11" i="18"/>
  <c r="H11" i="18"/>
  <c r="I11" i="18"/>
  <c r="J25" i="18"/>
  <c r="J12" i="19"/>
  <c r="H12" i="19"/>
  <c r="H13" i="20"/>
  <c r="J13" i="20"/>
  <c r="J26" i="21"/>
  <c r="I26" i="21"/>
  <c r="H26" i="21"/>
  <c r="J19" i="23"/>
  <c r="H19" i="23"/>
  <c r="I37" i="24"/>
  <c r="H36" i="30"/>
  <c r="I36" i="30"/>
  <c r="J36" i="30"/>
  <c r="I18" i="7"/>
  <c r="H23" i="1"/>
  <c r="I19" i="1"/>
  <c r="I25" i="1"/>
  <c r="I24" i="5"/>
  <c r="I14" i="7"/>
  <c r="J18" i="7"/>
  <c r="J18" i="8"/>
  <c r="H18" i="8"/>
  <c r="J30" i="8"/>
  <c r="H30" i="8"/>
  <c r="J15" i="9"/>
  <c r="H15" i="9"/>
  <c r="J32" i="12"/>
  <c r="I32" i="14"/>
  <c r="H44" i="17"/>
  <c r="I13" i="19"/>
  <c r="H13" i="19"/>
  <c r="J13" i="19"/>
  <c r="J14" i="20"/>
  <c r="H14" i="20"/>
  <c r="J23" i="22"/>
  <c r="H23" i="22"/>
  <c r="I23" i="22"/>
  <c r="J15" i="23"/>
  <c r="H15" i="23"/>
  <c r="I27" i="24"/>
  <c r="I38" i="24"/>
  <c r="H19" i="26"/>
  <c r="G38" i="28"/>
  <c r="H9" i="28"/>
  <c r="I9" i="28"/>
  <c r="F39" i="28"/>
  <c r="J20" i="30"/>
  <c r="I20" i="30"/>
  <c r="H20" i="30"/>
  <c r="H28" i="1"/>
  <c r="H30" i="1"/>
  <c r="H32" i="1"/>
  <c r="H34" i="1"/>
  <c r="I36" i="1"/>
  <c r="J40" i="1"/>
  <c r="J11" i="2"/>
  <c r="H18" i="2"/>
  <c r="J22" i="2"/>
  <c r="H25" i="2"/>
  <c r="H34" i="2"/>
  <c r="H36" i="2"/>
  <c r="H9" i="3"/>
  <c r="H11" i="3"/>
  <c r="H13" i="3"/>
  <c r="H15" i="3"/>
  <c r="H17" i="3"/>
  <c r="H19" i="3"/>
  <c r="H21" i="3"/>
  <c r="H23" i="3"/>
  <c r="H25" i="3"/>
  <c r="H27" i="3"/>
  <c r="H29" i="3"/>
  <c r="H31" i="3"/>
  <c r="H33" i="3"/>
  <c r="J37" i="3"/>
  <c r="J9" i="4"/>
  <c r="J11" i="4"/>
  <c r="J13" i="4"/>
  <c r="J15" i="4"/>
  <c r="J19" i="4"/>
  <c r="J21" i="4"/>
  <c r="J23" i="4"/>
  <c r="J25" i="4"/>
  <c r="J27" i="4"/>
  <c r="J29" i="4"/>
  <c r="J31" i="4"/>
  <c r="J33" i="4"/>
  <c r="H36" i="4"/>
  <c r="H9" i="5"/>
  <c r="H14" i="5"/>
  <c r="H16" i="5"/>
  <c r="H18" i="5"/>
  <c r="H20" i="5"/>
  <c r="J22" i="5"/>
  <c r="J26" i="5"/>
  <c r="J28" i="5"/>
  <c r="J30" i="5"/>
  <c r="J32" i="5"/>
  <c r="J36" i="5"/>
  <c r="J38" i="5"/>
  <c r="J42" i="5"/>
  <c r="G48" i="5"/>
  <c r="I36" i="6"/>
  <c r="J11" i="7"/>
  <c r="H14" i="7"/>
  <c r="I24" i="7"/>
  <c r="H24" i="7"/>
  <c r="I36" i="7"/>
  <c r="H36" i="7"/>
  <c r="I30" i="8"/>
  <c r="I15" i="9"/>
  <c r="I29" i="9"/>
  <c r="I32" i="9"/>
  <c r="H32" i="9"/>
  <c r="G47" i="10"/>
  <c r="H42" i="10"/>
  <c r="J13" i="11"/>
  <c r="H13" i="11"/>
  <c r="J36" i="11"/>
  <c r="H36" i="11"/>
  <c r="I30" i="12"/>
  <c r="J16" i="13"/>
  <c r="I16" i="13"/>
  <c r="H16" i="13"/>
  <c r="J32" i="13"/>
  <c r="H32" i="13"/>
  <c r="J42" i="13"/>
  <c r="H42" i="13"/>
  <c r="J18" i="14"/>
  <c r="H18" i="14"/>
  <c r="H20" i="16"/>
  <c r="J20" i="16"/>
  <c r="I26" i="18"/>
  <c r="H21" i="20"/>
  <c r="J21" i="20"/>
  <c r="J22" i="21"/>
  <c r="H22" i="21"/>
  <c r="I43" i="21"/>
  <c r="J11" i="22"/>
  <c r="H11" i="22"/>
  <c r="C44" i="29"/>
  <c r="I26" i="29"/>
  <c r="I24" i="29"/>
  <c r="I22" i="29"/>
  <c r="I20" i="29"/>
  <c r="I18" i="29"/>
  <c r="I16" i="29"/>
  <c r="I14" i="29"/>
  <c r="I12" i="29"/>
  <c r="I10" i="29"/>
  <c r="I27" i="29"/>
  <c r="I25" i="29"/>
  <c r="I23" i="29"/>
  <c r="I21" i="29"/>
  <c r="I19" i="29"/>
  <c r="I17" i="29"/>
  <c r="I15" i="29"/>
  <c r="I13" i="29"/>
  <c r="I11" i="29"/>
  <c r="I9" i="29"/>
  <c r="I31" i="29"/>
  <c r="D44" i="29"/>
  <c r="I35" i="29"/>
  <c r="H34" i="31"/>
  <c r="J34" i="31"/>
  <c r="I23" i="1"/>
  <c r="I32" i="7"/>
  <c r="H32" i="7"/>
  <c r="J10" i="8"/>
  <c r="H10" i="8"/>
  <c r="J22" i="8"/>
  <c r="H22" i="8"/>
  <c r="J34" i="8"/>
  <c r="H34" i="8"/>
  <c r="J38" i="8"/>
  <c r="H38" i="8"/>
  <c r="I12" i="9"/>
  <c r="I22" i="10"/>
  <c r="I30" i="10"/>
  <c r="I39" i="12"/>
  <c r="J22" i="13"/>
  <c r="I22" i="13"/>
  <c r="H22" i="13"/>
  <c r="H49" i="13" s="1"/>
  <c r="J20" i="14"/>
  <c r="J28" i="14"/>
  <c r="H28" i="14"/>
  <c r="I38" i="15"/>
  <c r="J19" i="16"/>
  <c r="H19" i="16"/>
  <c r="H12" i="18"/>
  <c r="J12" i="18"/>
  <c r="E22" i="19"/>
  <c r="I12" i="21"/>
  <c r="I11" i="23"/>
  <c r="H11" i="1"/>
  <c r="H13" i="1"/>
  <c r="I15" i="1"/>
  <c r="I17" i="1"/>
  <c r="J19" i="1"/>
  <c r="J21" i="1"/>
  <c r="I11" i="1"/>
  <c r="J15" i="1"/>
  <c r="H26" i="1"/>
  <c r="I28" i="1"/>
  <c r="I30" i="1"/>
  <c r="I32" i="1"/>
  <c r="I34" i="1"/>
  <c r="J36" i="1"/>
  <c r="G38" i="2"/>
  <c r="I9" i="3"/>
  <c r="I11" i="3"/>
  <c r="I13" i="3"/>
  <c r="I15" i="3"/>
  <c r="I17" i="3"/>
  <c r="I19" i="3"/>
  <c r="I21" i="3"/>
  <c r="I23" i="3"/>
  <c r="I25" i="3"/>
  <c r="I27" i="3"/>
  <c r="I29" i="3"/>
  <c r="I31" i="3"/>
  <c r="I33" i="3"/>
  <c r="G42" i="4"/>
  <c r="I14" i="5"/>
  <c r="I16" i="5"/>
  <c r="J36" i="6"/>
  <c r="J14" i="7"/>
  <c r="H19" i="7"/>
  <c r="J24" i="7"/>
  <c r="H27" i="7"/>
  <c r="J36" i="7"/>
  <c r="I11" i="8"/>
  <c r="H11" i="8"/>
  <c r="H15" i="8"/>
  <c r="H19" i="8"/>
  <c r="I23" i="8"/>
  <c r="H23" i="8"/>
  <c r="I27" i="8"/>
  <c r="H27" i="8"/>
  <c r="H31" i="8"/>
  <c r="H35" i="8"/>
  <c r="I39" i="8"/>
  <c r="H39" i="8"/>
  <c r="I9" i="9"/>
  <c r="H9" i="9"/>
  <c r="J13" i="9"/>
  <c r="H13" i="9"/>
  <c r="I33" i="9"/>
  <c r="I12" i="10"/>
  <c r="I20" i="10"/>
  <c r="I28" i="10"/>
  <c r="I36" i="10"/>
  <c r="I39" i="10"/>
  <c r="J15" i="12"/>
  <c r="I15" i="12"/>
  <c r="H15" i="12"/>
  <c r="J10" i="13"/>
  <c r="G49" i="13"/>
  <c r="I12" i="13" s="1"/>
  <c r="I10" i="13"/>
  <c r="H10" i="13"/>
  <c r="J26" i="13"/>
  <c r="I26" i="13"/>
  <c r="H26" i="13"/>
  <c r="I24" i="14"/>
  <c r="J33" i="14"/>
  <c r="H33" i="14"/>
  <c r="J10" i="15"/>
  <c r="G39" i="15"/>
  <c r="H10" i="15"/>
  <c r="H39" i="15" s="1"/>
  <c r="I31" i="15"/>
  <c r="J17" i="18"/>
  <c r="H9" i="20"/>
  <c r="G42" i="20"/>
  <c r="I38" i="20" s="1"/>
  <c r="J9" i="20"/>
  <c r="J22" i="20"/>
  <c r="H22" i="20"/>
  <c r="I20" i="24"/>
  <c r="I23" i="24"/>
  <c r="J39" i="24"/>
  <c r="H39" i="24"/>
  <c r="J35" i="39"/>
  <c r="H35" i="39"/>
  <c r="J21" i="40"/>
  <c r="H21" i="40"/>
  <c r="H10" i="1"/>
  <c r="D42" i="6"/>
  <c r="I14" i="10"/>
  <c r="I38" i="10"/>
  <c r="I29" i="12"/>
  <c r="J9" i="3"/>
  <c r="G41" i="6"/>
  <c r="F42" i="6" s="1"/>
  <c r="I22" i="7"/>
  <c r="H22" i="7"/>
  <c r="I30" i="7"/>
  <c r="H30" i="7"/>
  <c r="I40" i="8"/>
  <c r="I10" i="9"/>
  <c r="I27" i="9"/>
  <c r="I40" i="10"/>
  <c r="H17" i="11"/>
  <c r="I26" i="12"/>
  <c r="H26" i="12"/>
  <c r="I34" i="12"/>
  <c r="D41" i="12"/>
  <c r="J20" i="13"/>
  <c r="I20" i="13"/>
  <c r="H20" i="13"/>
  <c r="J36" i="13"/>
  <c r="I36" i="13"/>
  <c r="H36" i="13"/>
  <c r="I43" i="13"/>
  <c r="F50" i="13"/>
  <c r="H34" i="14"/>
  <c r="I19" i="15"/>
  <c r="H19" i="15"/>
  <c r="H16" i="16"/>
  <c r="H22" i="16"/>
  <c r="J22" i="16"/>
  <c r="G21" i="19"/>
  <c r="I9" i="19" s="1"/>
  <c r="H9" i="19"/>
  <c r="J9" i="19"/>
  <c r="J10" i="20"/>
  <c r="H10" i="20"/>
  <c r="I26" i="22"/>
  <c r="I12" i="26"/>
  <c r="H12" i="26"/>
  <c r="H21" i="1"/>
  <c r="J14" i="8"/>
  <c r="H14" i="8"/>
  <c r="J26" i="8"/>
  <c r="H26" i="8"/>
  <c r="I42" i="10"/>
  <c r="I30" i="11"/>
  <c r="J11" i="12"/>
  <c r="I11" i="12"/>
  <c r="H11" i="12"/>
  <c r="H14" i="1"/>
  <c r="H16" i="1"/>
  <c r="H37" i="1"/>
  <c r="I39" i="1"/>
  <c r="I12" i="2"/>
  <c r="H19" i="2"/>
  <c r="H26" i="2"/>
  <c r="H37" i="2"/>
  <c r="I36" i="3"/>
  <c r="I24" i="4"/>
  <c r="H37" i="4"/>
  <c r="H39" i="4"/>
  <c r="H41" i="4"/>
  <c r="H10" i="5"/>
  <c r="H21" i="5"/>
  <c r="I23" i="5"/>
  <c r="I35" i="5"/>
  <c r="I37" i="5"/>
  <c r="I39" i="5"/>
  <c r="H10" i="6"/>
  <c r="H12" i="6"/>
  <c r="H14" i="6"/>
  <c r="H16" i="6"/>
  <c r="H18" i="6"/>
  <c r="H20" i="6"/>
  <c r="H41" i="6" s="1"/>
  <c r="H22" i="6"/>
  <c r="H24" i="6"/>
  <c r="H26" i="6"/>
  <c r="H28" i="6"/>
  <c r="I30" i="6"/>
  <c r="J32" i="6"/>
  <c r="H37" i="6"/>
  <c r="I10" i="7"/>
  <c r="J12" i="7"/>
  <c r="H15" i="7"/>
  <c r="I17" i="7"/>
  <c r="J22" i="7"/>
  <c r="H25" i="7"/>
  <c r="J30" i="7"/>
  <c r="I33" i="7"/>
  <c r="I37" i="7"/>
  <c r="F41" i="7"/>
  <c r="J12" i="8"/>
  <c r="H12" i="8"/>
  <c r="J16" i="8"/>
  <c r="H16" i="8"/>
  <c r="J20" i="8"/>
  <c r="H20" i="8"/>
  <c r="J24" i="8"/>
  <c r="H24" i="8"/>
  <c r="J28" i="8"/>
  <c r="H28" i="8"/>
  <c r="J32" i="8"/>
  <c r="H32" i="8"/>
  <c r="J36" i="8"/>
  <c r="H36" i="8"/>
  <c r="H40" i="8"/>
  <c r="H10" i="9"/>
  <c r="J19" i="9"/>
  <c r="H19" i="9"/>
  <c r="J33" i="9"/>
  <c r="E37" i="9"/>
  <c r="I10" i="10"/>
  <c r="I18" i="10"/>
  <c r="I26" i="10"/>
  <c r="I34" i="10"/>
  <c r="H40" i="10"/>
  <c r="J11" i="11"/>
  <c r="H11" i="11"/>
  <c r="J21" i="11"/>
  <c r="I25" i="11"/>
  <c r="I34" i="11"/>
  <c r="I19" i="12"/>
  <c r="I23" i="12"/>
  <c r="H34" i="12"/>
  <c r="J37" i="12"/>
  <c r="I37" i="12"/>
  <c r="H37" i="12"/>
  <c r="J14" i="13"/>
  <c r="I14" i="13"/>
  <c r="H14" i="13"/>
  <c r="J30" i="13"/>
  <c r="I30" i="13"/>
  <c r="H30" i="13"/>
  <c r="G35" i="14"/>
  <c r="I31" i="14" s="1"/>
  <c r="H9" i="14"/>
  <c r="H35" i="14" s="1"/>
  <c r="I9" i="14"/>
  <c r="I13" i="14"/>
  <c r="J25" i="14"/>
  <c r="H25" i="14"/>
  <c r="J20" i="15"/>
  <c r="H20" i="15"/>
  <c r="I20" i="15"/>
  <c r="J16" i="16"/>
  <c r="J33" i="18"/>
  <c r="J16" i="19"/>
  <c r="H16" i="19"/>
  <c r="I16" i="19"/>
  <c r="H17" i="20"/>
  <c r="J17" i="20"/>
  <c r="J38" i="20"/>
  <c r="H38" i="20"/>
  <c r="E43" i="20"/>
  <c r="G46" i="21"/>
  <c r="I13" i="21" s="1"/>
  <c r="H9" i="21"/>
  <c r="I44" i="21"/>
  <c r="C31" i="22"/>
  <c r="J38" i="23"/>
  <c r="I38" i="23"/>
  <c r="H38" i="23"/>
  <c r="J33" i="26"/>
  <c r="H33" i="26"/>
  <c r="I37" i="29"/>
  <c r="I42" i="29"/>
  <c r="I11" i="30"/>
  <c r="E39" i="30"/>
  <c r="J30" i="6"/>
  <c r="I40" i="6"/>
  <c r="J10" i="7"/>
  <c r="I20" i="7"/>
  <c r="H20" i="7"/>
  <c r="I28" i="7"/>
  <c r="H28" i="7"/>
  <c r="I34" i="7"/>
  <c r="H34" i="7"/>
  <c r="J10" i="9"/>
  <c r="I25" i="9"/>
  <c r="J40" i="10"/>
  <c r="I44" i="10"/>
  <c r="H25" i="11"/>
  <c r="J13" i="12"/>
  <c r="I13" i="12"/>
  <c r="H13" i="12"/>
  <c r="H23" i="12"/>
  <c r="J34" i="12"/>
  <c r="F41" i="12"/>
  <c r="J24" i="13"/>
  <c r="I24" i="13"/>
  <c r="H24" i="13"/>
  <c r="I47" i="13"/>
  <c r="H47" i="13"/>
  <c r="I10" i="14"/>
  <c r="J26" i="14"/>
  <c r="I26" i="14"/>
  <c r="H26" i="14"/>
  <c r="I32" i="15"/>
  <c r="H32" i="15"/>
  <c r="G39" i="16"/>
  <c r="I22" i="16" s="1"/>
  <c r="J9" i="16"/>
  <c r="H9" i="16"/>
  <c r="J23" i="16"/>
  <c r="H23" i="16"/>
  <c r="I34" i="16"/>
  <c r="H33" i="18"/>
  <c r="H17" i="19"/>
  <c r="J18" i="20"/>
  <c r="H18" i="20"/>
  <c r="H30" i="20"/>
  <c r="I30" i="21"/>
  <c r="I38" i="21"/>
  <c r="J21" i="22"/>
  <c r="H21" i="22"/>
  <c r="I13" i="24"/>
  <c r="J28" i="26"/>
  <c r="H28" i="26"/>
  <c r="I28" i="26"/>
  <c r="J13" i="33"/>
  <c r="H13" i="33"/>
  <c r="I29" i="15"/>
  <c r="J35" i="15"/>
  <c r="H35" i="15"/>
  <c r="J13" i="16"/>
  <c r="H13" i="16"/>
  <c r="I23" i="18"/>
  <c r="I20" i="19"/>
  <c r="J31" i="20"/>
  <c r="H31" i="20"/>
  <c r="I18" i="21"/>
  <c r="D47" i="21"/>
  <c r="J17" i="22"/>
  <c r="H17" i="22"/>
  <c r="G43" i="24"/>
  <c r="I16" i="24" s="1"/>
  <c r="I24" i="24"/>
  <c r="I11" i="27"/>
  <c r="I19" i="27"/>
  <c r="I27" i="27"/>
  <c r="H44" i="27"/>
  <c r="D49" i="27"/>
  <c r="I12" i="28"/>
  <c r="I19" i="28"/>
  <c r="J33" i="29"/>
  <c r="H33" i="29"/>
  <c r="F39" i="30"/>
  <c r="J37" i="31"/>
  <c r="H37" i="31"/>
  <c r="I21" i="14"/>
  <c r="J11" i="15"/>
  <c r="H11" i="15"/>
  <c r="I27" i="15"/>
  <c r="D40" i="15"/>
  <c r="J10" i="16"/>
  <c r="J17" i="16"/>
  <c r="H17" i="16"/>
  <c r="I27" i="16"/>
  <c r="J29" i="16"/>
  <c r="J37" i="16"/>
  <c r="J15" i="18"/>
  <c r="J23" i="18"/>
  <c r="J31" i="18"/>
  <c r="I18" i="19"/>
  <c r="J28" i="20"/>
  <c r="I16" i="21"/>
  <c r="J13" i="22"/>
  <c r="H13" i="22"/>
  <c r="I18" i="24"/>
  <c r="J25" i="24"/>
  <c r="I25" i="24"/>
  <c r="H25" i="24"/>
  <c r="I31" i="24"/>
  <c r="J21" i="25"/>
  <c r="H21" i="25"/>
  <c r="H39" i="25" s="1"/>
  <c r="J25" i="25"/>
  <c r="H25" i="25"/>
  <c r="J29" i="25"/>
  <c r="H29" i="25"/>
  <c r="J16" i="26"/>
  <c r="H16" i="26"/>
  <c r="J35" i="26"/>
  <c r="H35" i="26"/>
  <c r="I9" i="27"/>
  <c r="I25" i="27"/>
  <c r="I33" i="27"/>
  <c r="J29" i="29"/>
  <c r="H29" i="29"/>
  <c r="E44" i="29"/>
  <c r="J12" i="30"/>
  <c r="I12" i="30"/>
  <c r="H12" i="30"/>
  <c r="H28" i="30"/>
  <c r="J28" i="30"/>
  <c r="I28" i="30"/>
  <c r="I24" i="46"/>
  <c r="J24" i="46"/>
  <c r="H24" i="46"/>
  <c r="I19" i="14"/>
  <c r="J29" i="14"/>
  <c r="H29" i="14"/>
  <c r="J17" i="15"/>
  <c r="H17" i="15"/>
  <c r="I24" i="15"/>
  <c r="I30" i="15"/>
  <c r="J11" i="16"/>
  <c r="H11" i="16"/>
  <c r="G44" i="17"/>
  <c r="G38" i="18"/>
  <c r="J9" i="18"/>
  <c r="H9" i="18"/>
  <c r="J10" i="19"/>
  <c r="H10" i="19"/>
  <c r="J14" i="19"/>
  <c r="H14" i="19"/>
  <c r="H11" i="20"/>
  <c r="H15" i="20"/>
  <c r="H19" i="20"/>
  <c r="H23" i="20"/>
  <c r="H40" i="20"/>
  <c r="I36" i="21"/>
  <c r="J19" i="22"/>
  <c r="H19" i="22"/>
  <c r="J13" i="23"/>
  <c r="I13" i="23"/>
  <c r="H13" i="23"/>
  <c r="J17" i="23"/>
  <c r="H17" i="23"/>
  <c r="J21" i="23"/>
  <c r="I21" i="23"/>
  <c r="H21" i="23"/>
  <c r="I25" i="23"/>
  <c r="G37" i="26"/>
  <c r="I30" i="26" s="1"/>
  <c r="J42" i="27"/>
  <c r="I42" i="27"/>
  <c r="H42" i="27"/>
  <c r="H48" i="27" s="1"/>
  <c r="G48" i="27"/>
  <c r="I44" i="27" s="1"/>
  <c r="J23" i="28"/>
  <c r="I23" i="28"/>
  <c r="H23" i="28"/>
  <c r="I27" i="28"/>
  <c r="I31" i="28"/>
  <c r="I37" i="28"/>
  <c r="I29" i="29"/>
  <c r="J35" i="29"/>
  <c r="H35" i="29"/>
  <c r="I40" i="29"/>
  <c r="H40" i="29"/>
  <c r="H34" i="32"/>
  <c r="D45" i="33"/>
  <c r="I38" i="7"/>
  <c r="H39" i="10"/>
  <c r="H9" i="11"/>
  <c r="H20" i="11"/>
  <c r="H37" i="11"/>
  <c r="G41" i="11"/>
  <c r="I9" i="11" s="1"/>
  <c r="H29" i="12"/>
  <c r="H41" i="13"/>
  <c r="H43" i="13"/>
  <c r="H10" i="14"/>
  <c r="I17" i="14"/>
  <c r="H24" i="14"/>
  <c r="I29" i="14"/>
  <c r="H32" i="14"/>
  <c r="I17" i="15"/>
  <c r="H21" i="15"/>
  <c r="H30" i="15"/>
  <c r="I33" i="15"/>
  <c r="J21" i="16"/>
  <c r="H21" i="16"/>
  <c r="I33" i="16"/>
  <c r="I27" i="18"/>
  <c r="I35" i="18"/>
  <c r="I10" i="19"/>
  <c r="I14" i="19"/>
  <c r="J11" i="20"/>
  <c r="J15" i="20"/>
  <c r="J19" i="20"/>
  <c r="I33" i="20"/>
  <c r="H33" i="20"/>
  <c r="I14" i="21"/>
  <c r="I45" i="21"/>
  <c r="J25" i="22"/>
  <c r="H25" i="22"/>
  <c r="J15" i="24"/>
  <c r="H15" i="24"/>
  <c r="I29" i="24"/>
  <c r="I36" i="24"/>
  <c r="I22" i="26"/>
  <c r="J26" i="26"/>
  <c r="H26" i="26"/>
  <c r="H31" i="26"/>
  <c r="I15" i="27"/>
  <c r="I23" i="27"/>
  <c r="I31" i="27"/>
  <c r="C39" i="28"/>
  <c r="J25" i="33"/>
  <c r="H25" i="33"/>
  <c r="J14" i="37"/>
  <c r="I14" i="37"/>
  <c r="H14" i="37"/>
  <c r="J18" i="37"/>
  <c r="H18" i="37"/>
  <c r="J22" i="37"/>
  <c r="H22" i="37"/>
  <c r="H9" i="10"/>
  <c r="H47" i="10" s="1"/>
  <c r="I15" i="14"/>
  <c r="J27" i="14"/>
  <c r="H27" i="14"/>
  <c r="I9" i="15"/>
  <c r="H12" i="15"/>
  <c r="I15" i="15"/>
  <c r="I21" i="15"/>
  <c r="I28" i="15"/>
  <c r="J30" i="15"/>
  <c r="J15" i="16"/>
  <c r="H15" i="16"/>
  <c r="J24" i="16"/>
  <c r="H33" i="16"/>
  <c r="H10" i="18"/>
  <c r="I14" i="18"/>
  <c r="H19" i="18"/>
  <c r="H27" i="18"/>
  <c r="H35" i="18"/>
  <c r="I11" i="19"/>
  <c r="H11" i="19"/>
  <c r="I15" i="19"/>
  <c r="H15" i="19"/>
  <c r="I19" i="19"/>
  <c r="J12" i="20"/>
  <c r="H12" i="20"/>
  <c r="J16" i="20"/>
  <c r="H16" i="20"/>
  <c r="J20" i="20"/>
  <c r="H20" i="20"/>
  <c r="H24" i="20"/>
  <c r="I11" i="21"/>
  <c r="I17" i="21"/>
  <c r="J20" i="21"/>
  <c r="I20" i="21"/>
  <c r="H20" i="21"/>
  <c r="J24" i="21"/>
  <c r="I24" i="21"/>
  <c r="H24" i="21"/>
  <c r="J28" i="21"/>
  <c r="I28" i="21"/>
  <c r="H28" i="21"/>
  <c r="I34" i="21"/>
  <c r="I42" i="21"/>
  <c r="J15" i="22"/>
  <c r="H15" i="22"/>
  <c r="I10" i="23"/>
  <c r="I34" i="23"/>
  <c r="J11" i="24"/>
  <c r="I11" i="24"/>
  <c r="H11" i="24"/>
  <c r="H43" i="24" s="1"/>
  <c r="I15" i="24"/>
  <c r="I22" i="24"/>
  <c r="I41" i="24"/>
  <c r="H41" i="24"/>
  <c r="I19" i="25"/>
  <c r="I35" i="25"/>
  <c r="H38" i="25"/>
  <c r="J10" i="26"/>
  <c r="I10" i="26"/>
  <c r="H10" i="26"/>
  <c r="I14" i="26"/>
  <c r="I18" i="26"/>
  <c r="I26" i="26"/>
  <c r="I40" i="27"/>
  <c r="I47" i="27"/>
  <c r="I11" i="28"/>
  <c r="D39" i="28"/>
  <c r="J31" i="29"/>
  <c r="H31" i="29"/>
  <c r="J14" i="30"/>
  <c r="H14" i="30"/>
  <c r="I22" i="30"/>
  <c r="I33" i="30"/>
  <c r="H33" i="30"/>
  <c r="J23" i="25"/>
  <c r="I23" i="25"/>
  <c r="H23" i="25"/>
  <c r="J27" i="25"/>
  <c r="H27" i="25"/>
  <c r="J31" i="25"/>
  <c r="H31" i="25"/>
  <c r="D38" i="26"/>
  <c r="I13" i="27"/>
  <c r="I21" i="27"/>
  <c r="I29" i="27"/>
  <c r="I37" i="27"/>
  <c r="J21" i="28"/>
  <c r="I21" i="28"/>
  <c r="H21" i="28"/>
  <c r="I29" i="28"/>
  <c r="I32" i="28"/>
  <c r="J37" i="29"/>
  <c r="H37" i="29"/>
  <c r="H34" i="30"/>
  <c r="J34" i="30"/>
  <c r="I34" i="30"/>
  <c r="I40" i="31"/>
  <c r="H40" i="31"/>
  <c r="J31" i="32"/>
  <c r="H31" i="32"/>
  <c r="J23" i="34"/>
  <c r="H23" i="34"/>
  <c r="I23" i="34"/>
  <c r="G39" i="25"/>
  <c r="I18" i="25" s="1"/>
  <c r="J11" i="30"/>
  <c r="J19" i="30"/>
  <c r="I31" i="30"/>
  <c r="J15" i="31"/>
  <c r="J30" i="31"/>
  <c r="H30" i="31"/>
  <c r="H25" i="32"/>
  <c r="H12" i="33"/>
  <c r="G40" i="34"/>
  <c r="I19" i="34" s="1"/>
  <c r="H10" i="34"/>
  <c r="I21" i="35"/>
  <c r="H21" i="35"/>
  <c r="I36" i="38"/>
  <c r="I34" i="38"/>
  <c r="I32" i="38"/>
  <c r="I30" i="38"/>
  <c r="I28" i="38"/>
  <c r="I26" i="38"/>
  <c r="I24" i="38"/>
  <c r="I22" i="38"/>
  <c r="I20" i="38"/>
  <c r="I18" i="38"/>
  <c r="I16" i="38"/>
  <c r="I14" i="38"/>
  <c r="I12" i="38"/>
  <c r="I10" i="38"/>
  <c r="I25" i="38"/>
  <c r="I9" i="38"/>
  <c r="I27" i="38"/>
  <c r="I11" i="38"/>
  <c r="I29" i="38"/>
  <c r="I13" i="38"/>
  <c r="I43" i="38"/>
  <c r="I31" i="38"/>
  <c r="I15" i="38"/>
  <c r="F45" i="38"/>
  <c r="I33" i="38"/>
  <c r="I17" i="38"/>
  <c r="I37" i="38"/>
  <c r="I21" i="38"/>
  <c r="I42" i="38"/>
  <c r="H42" i="38"/>
  <c r="H27" i="41"/>
  <c r="J27" i="41"/>
  <c r="H19" i="31"/>
  <c r="E42" i="31"/>
  <c r="H17" i="32"/>
  <c r="J21" i="33"/>
  <c r="H21" i="33"/>
  <c r="J37" i="33"/>
  <c r="H37" i="33"/>
  <c r="J35" i="34"/>
  <c r="H35" i="34"/>
  <c r="J28" i="39"/>
  <c r="H28" i="39"/>
  <c r="J23" i="42"/>
  <c r="I23" i="42"/>
  <c r="H23" i="42"/>
  <c r="J35" i="44"/>
  <c r="H35" i="44"/>
  <c r="H39" i="45"/>
  <c r="J15" i="49"/>
  <c r="H15" i="49"/>
  <c r="G40" i="49"/>
  <c r="F44" i="29"/>
  <c r="J25" i="31"/>
  <c r="J23" i="32"/>
  <c r="I21" i="33"/>
  <c r="J28" i="33"/>
  <c r="H28" i="33"/>
  <c r="I37" i="33"/>
  <c r="H36" i="34"/>
  <c r="J36" i="34"/>
  <c r="I36" i="34"/>
  <c r="J21" i="39"/>
  <c r="H21" i="39"/>
  <c r="H10" i="22"/>
  <c r="H30" i="22" s="1"/>
  <c r="H12" i="22"/>
  <c r="H14" i="22"/>
  <c r="H16" i="22"/>
  <c r="H18" i="22"/>
  <c r="H20" i="22"/>
  <c r="H22" i="22"/>
  <c r="H24" i="22"/>
  <c r="H26" i="22"/>
  <c r="H9" i="23"/>
  <c r="H40" i="23" s="1"/>
  <c r="H34" i="23"/>
  <c r="G40" i="23"/>
  <c r="I15" i="23" s="1"/>
  <c r="I9" i="24"/>
  <c r="H14" i="24"/>
  <c r="H16" i="24"/>
  <c r="H23" i="24"/>
  <c r="H32" i="24"/>
  <c r="H37" i="24"/>
  <c r="H34" i="25"/>
  <c r="H17" i="26"/>
  <c r="H25" i="26"/>
  <c r="H27" i="26"/>
  <c r="H29" i="26"/>
  <c r="H34" i="26"/>
  <c r="H36" i="26"/>
  <c r="I10" i="28"/>
  <c r="H17" i="28"/>
  <c r="H26" i="28"/>
  <c r="I28" i="28"/>
  <c r="I30" i="28"/>
  <c r="H37" i="28"/>
  <c r="H28" i="29"/>
  <c r="H30" i="29"/>
  <c r="H32" i="29"/>
  <c r="H34" i="29"/>
  <c r="H36" i="29"/>
  <c r="H38" i="29"/>
  <c r="I41" i="29"/>
  <c r="H10" i="30"/>
  <c r="J15" i="30"/>
  <c r="H18" i="30"/>
  <c r="I26" i="30"/>
  <c r="J11" i="31"/>
  <c r="J22" i="31"/>
  <c r="H25" i="31"/>
  <c r="I36" i="31"/>
  <c r="G45" i="32"/>
  <c r="I34" i="32" s="1"/>
  <c r="H9" i="32"/>
  <c r="I18" i="32"/>
  <c r="H23" i="32"/>
  <c r="J16" i="34"/>
  <c r="H16" i="34"/>
  <c r="J27" i="35"/>
  <c r="H27" i="35"/>
  <c r="I40" i="37"/>
  <c r="C45" i="37"/>
  <c r="I23" i="38"/>
  <c r="I14" i="22"/>
  <c r="I16" i="22"/>
  <c r="I18" i="22"/>
  <c r="I20" i="22"/>
  <c r="I22" i="22"/>
  <c r="G30" i="22"/>
  <c r="I19" i="22" s="1"/>
  <c r="I9" i="23"/>
  <c r="I14" i="24"/>
  <c r="I32" i="24"/>
  <c r="I25" i="26"/>
  <c r="I27" i="26"/>
  <c r="I34" i="26"/>
  <c r="I17" i="28"/>
  <c r="I26" i="28"/>
  <c r="I28" i="29"/>
  <c r="I30" i="29"/>
  <c r="I32" i="29"/>
  <c r="I34" i="29"/>
  <c r="I36" i="29"/>
  <c r="I38" i="29"/>
  <c r="I10" i="30"/>
  <c r="I18" i="30"/>
  <c r="J26" i="30"/>
  <c r="H23" i="31"/>
  <c r="J39" i="31"/>
  <c r="I39" i="31"/>
  <c r="J15" i="32"/>
  <c r="I15" i="33"/>
  <c r="H15" i="33"/>
  <c r="J33" i="40"/>
  <c r="I33" i="40"/>
  <c r="H33" i="40"/>
  <c r="I30" i="30"/>
  <c r="I29" i="31"/>
  <c r="H29" i="31"/>
  <c r="J33" i="31"/>
  <c r="H33" i="31"/>
  <c r="J24" i="33"/>
  <c r="H24" i="33"/>
  <c r="I24" i="33"/>
  <c r="H40" i="33"/>
  <c r="H32" i="34"/>
  <c r="J19" i="36"/>
  <c r="H19" i="36"/>
  <c r="E45" i="38"/>
  <c r="H39" i="39"/>
  <c r="I29" i="32"/>
  <c r="I38" i="32"/>
  <c r="J41" i="32"/>
  <c r="H41" i="32"/>
  <c r="G44" i="33"/>
  <c r="I28" i="33" s="1"/>
  <c r="H9" i="33"/>
  <c r="I18" i="33"/>
  <c r="I27" i="33"/>
  <c r="J34" i="33"/>
  <c r="H34" i="33"/>
  <c r="I13" i="34"/>
  <c r="J22" i="34"/>
  <c r="J29" i="34"/>
  <c r="H29" i="34"/>
  <c r="I12" i="35"/>
  <c r="J15" i="35"/>
  <c r="H15" i="35"/>
  <c r="J18" i="36"/>
  <c r="I15" i="37"/>
  <c r="I19" i="37"/>
  <c r="I23" i="37"/>
  <c r="J13" i="39"/>
  <c r="H13" i="39"/>
  <c r="J17" i="39"/>
  <c r="H17" i="39"/>
  <c r="H12" i="40"/>
  <c r="J12" i="40"/>
  <c r="I32" i="40"/>
  <c r="H32" i="40"/>
  <c r="G43" i="41"/>
  <c r="F44" i="41" s="1"/>
  <c r="J10" i="41"/>
  <c r="I10" i="41"/>
  <c r="J18" i="41"/>
  <c r="H35" i="41"/>
  <c r="J39" i="42"/>
  <c r="I39" i="42"/>
  <c r="H39" i="42"/>
  <c r="G41" i="31"/>
  <c r="I37" i="31" s="1"/>
  <c r="I27" i="32"/>
  <c r="I16" i="33"/>
  <c r="J22" i="33"/>
  <c r="H22" i="33"/>
  <c r="J38" i="33"/>
  <c r="H38" i="33"/>
  <c r="J17" i="34"/>
  <c r="H17" i="34"/>
  <c r="J33" i="34"/>
  <c r="H33" i="34"/>
  <c r="J28" i="35"/>
  <c r="H28" i="35"/>
  <c r="J41" i="37"/>
  <c r="I41" i="37"/>
  <c r="H41" i="37"/>
  <c r="I39" i="38"/>
  <c r="H28" i="40"/>
  <c r="J28" i="40"/>
  <c r="I28" i="40"/>
  <c r="J16" i="41"/>
  <c r="I16" i="41"/>
  <c r="J34" i="43"/>
  <c r="F41" i="54"/>
  <c r="I31" i="31"/>
  <c r="I14" i="32"/>
  <c r="I19" i="33"/>
  <c r="J32" i="33"/>
  <c r="H32" i="33"/>
  <c r="I14" i="34"/>
  <c r="J27" i="34"/>
  <c r="H27" i="34"/>
  <c r="I13" i="35"/>
  <c r="I25" i="35"/>
  <c r="F41" i="35"/>
  <c r="G35" i="36"/>
  <c r="J12" i="37"/>
  <c r="I12" i="37"/>
  <c r="H12" i="37"/>
  <c r="J16" i="37"/>
  <c r="H16" i="37"/>
  <c r="J20" i="37"/>
  <c r="I20" i="37"/>
  <c r="H20" i="37"/>
  <c r="J24" i="37"/>
  <c r="H24" i="37"/>
  <c r="G44" i="37"/>
  <c r="I11" i="37" s="1"/>
  <c r="H40" i="39"/>
  <c r="H14" i="40"/>
  <c r="J14" i="40"/>
  <c r="G39" i="40"/>
  <c r="I27" i="40" s="1"/>
  <c r="H32" i="41"/>
  <c r="J13" i="43"/>
  <c r="H13" i="43"/>
  <c r="J17" i="43"/>
  <c r="I17" i="43"/>
  <c r="H17" i="43"/>
  <c r="J28" i="45"/>
  <c r="I14" i="33"/>
  <c r="J26" i="33"/>
  <c r="H26" i="33"/>
  <c r="I9" i="34"/>
  <c r="H14" i="34"/>
  <c r="J21" i="34"/>
  <c r="H21" i="34"/>
  <c r="J37" i="34"/>
  <c r="H37" i="34"/>
  <c r="H25" i="35"/>
  <c r="G40" i="35"/>
  <c r="I22" i="35" s="1"/>
  <c r="H30" i="36"/>
  <c r="I13" i="37"/>
  <c r="I17" i="37"/>
  <c r="I21" i="37"/>
  <c r="J11" i="39"/>
  <c r="H11" i="39"/>
  <c r="J15" i="39"/>
  <c r="H15" i="39"/>
  <c r="J19" i="39"/>
  <c r="H19" i="39"/>
  <c r="J30" i="39"/>
  <c r="I14" i="40"/>
  <c r="H18" i="40"/>
  <c r="I18" i="40"/>
  <c r="I25" i="40"/>
  <c r="J14" i="41"/>
  <c r="J22" i="41"/>
  <c r="J32" i="41"/>
  <c r="J41" i="42"/>
  <c r="H10" i="44"/>
  <c r="H43" i="44"/>
  <c r="H28" i="45"/>
  <c r="I27" i="31"/>
  <c r="J31" i="31"/>
  <c r="I12" i="32"/>
  <c r="J11" i="33"/>
  <c r="H11" i="33"/>
  <c r="I17" i="33"/>
  <c r="J20" i="33"/>
  <c r="H20" i="33"/>
  <c r="H23" i="33"/>
  <c r="I26" i="33"/>
  <c r="I29" i="33"/>
  <c r="J36" i="33"/>
  <c r="H36" i="33"/>
  <c r="H39" i="33"/>
  <c r="J15" i="34"/>
  <c r="H15" i="34"/>
  <c r="J24" i="34"/>
  <c r="J31" i="34"/>
  <c r="H31" i="34"/>
  <c r="I11" i="35"/>
  <c r="I23" i="35"/>
  <c r="J26" i="35"/>
  <c r="H26" i="35"/>
  <c r="J40" i="38"/>
  <c r="I40" i="38"/>
  <c r="H40" i="38"/>
  <c r="D45" i="38"/>
  <c r="I11" i="40"/>
  <c r="J33" i="41"/>
  <c r="I33" i="41"/>
  <c r="H33" i="41"/>
  <c r="I12" i="42"/>
  <c r="J15" i="42"/>
  <c r="H15" i="42"/>
  <c r="I28" i="42"/>
  <c r="J31" i="42"/>
  <c r="I31" i="42"/>
  <c r="H31" i="42"/>
  <c r="H46" i="42" s="1"/>
  <c r="I19" i="43"/>
  <c r="H10" i="48"/>
  <c r="J10" i="48"/>
  <c r="I11" i="33"/>
  <c r="H17" i="33"/>
  <c r="I20" i="33"/>
  <c r="I23" i="33"/>
  <c r="J30" i="33"/>
  <c r="H30" i="33"/>
  <c r="H33" i="33"/>
  <c r="I36" i="33"/>
  <c r="I39" i="33"/>
  <c r="E45" i="33"/>
  <c r="H12" i="34"/>
  <c r="I15" i="34"/>
  <c r="J25" i="34"/>
  <c r="H25" i="34"/>
  <c r="J34" i="34"/>
  <c r="I14" i="35"/>
  <c r="I17" i="35"/>
  <c r="I20" i="35"/>
  <c r="H23" i="35"/>
  <c r="I26" i="35"/>
  <c r="H12" i="36"/>
  <c r="H25" i="36"/>
  <c r="J26" i="37"/>
  <c r="I26" i="37"/>
  <c r="I39" i="37"/>
  <c r="J43" i="37"/>
  <c r="H43" i="37"/>
  <c r="I41" i="38"/>
  <c r="J19" i="40"/>
  <c r="I19" i="40"/>
  <c r="H19" i="40"/>
  <c r="I30" i="40"/>
  <c r="I38" i="40"/>
  <c r="H38" i="40"/>
  <c r="J12" i="41"/>
  <c r="J20" i="41"/>
  <c r="I20" i="41"/>
  <c r="J32" i="43"/>
  <c r="H32" i="43"/>
  <c r="H14" i="45"/>
  <c r="I14" i="45"/>
  <c r="J23" i="46"/>
  <c r="H23" i="46"/>
  <c r="H38" i="47"/>
  <c r="G42" i="39"/>
  <c r="I10" i="42"/>
  <c r="I44" i="42"/>
  <c r="H44" i="42"/>
  <c r="I26" i="43"/>
  <c r="H26" i="43"/>
  <c r="J15" i="44"/>
  <c r="J19" i="44"/>
  <c r="J23" i="44"/>
  <c r="J27" i="44"/>
  <c r="I27" i="44"/>
  <c r="J33" i="44"/>
  <c r="J41" i="44"/>
  <c r="H12" i="46"/>
  <c r="I12" i="46"/>
  <c r="E44" i="46"/>
  <c r="J12" i="49"/>
  <c r="H12" i="49"/>
  <c r="H38" i="49"/>
  <c r="J23" i="52"/>
  <c r="H23" i="52"/>
  <c r="I23" i="52"/>
  <c r="I13" i="53"/>
  <c r="H13" i="53"/>
  <c r="H37" i="54"/>
  <c r="J37" i="54"/>
  <c r="H39" i="67"/>
  <c r="H10" i="37"/>
  <c r="H44" i="37" s="1"/>
  <c r="H39" i="37"/>
  <c r="H38" i="38"/>
  <c r="H44" i="38" s="1"/>
  <c r="H9" i="39"/>
  <c r="H26" i="39"/>
  <c r="H33" i="39"/>
  <c r="I10" i="40"/>
  <c r="H17" i="40"/>
  <c r="I26" i="40"/>
  <c r="H31" i="40"/>
  <c r="H25" i="41"/>
  <c r="H37" i="41"/>
  <c r="H39" i="41"/>
  <c r="H41" i="41"/>
  <c r="G39" i="43"/>
  <c r="J11" i="43"/>
  <c r="H11" i="43"/>
  <c r="H23" i="43"/>
  <c r="H30" i="43"/>
  <c r="J11" i="44"/>
  <c r="I11" i="44"/>
  <c r="H11" i="44"/>
  <c r="H15" i="44"/>
  <c r="H19" i="44"/>
  <c r="H23" i="44"/>
  <c r="H27" i="44"/>
  <c r="H33" i="44"/>
  <c r="H41" i="44"/>
  <c r="I12" i="45"/>
  <c r="J30" i="45"/>
  <c r="H30" i="45"/>
  <c r="J12" i="46"/>
  <c r="J16" i="46"/>
  <c r="H16" i="46"/>
  <c r="H48" i="47"/>
  <c r="H21" i="48"/>
  <c r="J27" i="54"/>
  <c r="H27" i="54"/>
  <c r="H18" i="65"/>
  <c r="I38" i="38"/>
  <c r="J26" i="39"/>
  <c r="J10" i="40"/>
  <c r="I17" i="40"/>
  <c r="J26" i="40"/>
  <c r="I31" i="40"/>
  <c r="I37" i="41"/>
  <c r="I24" i="42"/>
  <c r="I32" i="42"/>
  <c r="I30" i="43"/>
  <c r="J31" i="44"/>
  <c r="I31" i="44"/>
  <c r="J39" i="44"/>
  <c r="G41" i="45"/>
  <c r="D42" i="45" s="1"/>
  <c r="H10" i="45"/>
  <c r="J12" i="45"/>
  <c r="H19" i="45"/>
  <c r="I19" i="45"/>
  <c r="H9" i="36"/>
  <c r="H11" i="36"/>
  <c r="H13" i="36"/>
  <c r="H22" i="36"/>
  <c r="H24" i="36"/>
  <c r="H33" i="36"/>
  <c r="H27" i="37"/>
  <c r="H43" i="38"/>
  <c r="H22" i="39"/>
  <c r="H29" i="39"/>
  <c r="H36" i="39"/>
  <c r="H13" i="40"/>
  <c r="I22" i="40"/>
  <c r="H29" i="40"/>
  <c r="H34" i="40"/>
  <c r="H31" i="41"/>
  <c r="H43" i="41" s="1"/>
  <c r="J15" i="43"/>
  <c r="I15" i="43"/>
  <c r="H15" i="43"/>
  <c r="J24" i="43"/>
  <c r="H24" i="43"/>
  <c r="H31" i="44"/>
  <c r="H39" i="44"/>
  <c r="I10" i="45"/>
  <c r="J19" i="45"/>
  <c r="J31" i="45"/>
  <c r="H31" i="45"/>
  <c r="J32" i="50"/>
  <c r="H32" i="50"/>
  <c r="I32" i="50"/>
  <c r="H35" i="42"/>
  <c r="H19" i="43"/>
  <c r="H28" i="43"/>
  <c r="G48" i="44"/>
  <c r="J13" i="44"/>
  <c r="I13" i="44"/>
  <c r="J17" i="44"/>
  <c r="J21" i="44"/>
  <c r="J25" i="44"/>
  <c r="I25" i="44"/>
  <c r="J29" i="44"/>
  <c r="I29" i="44"/>
  <c r="J37" i="44"/>
  <c r="J46" i="44"/>
  <c r="H46" i="44"/>
  <c r="J10" i="45"/>
  <c r="I20" i="45"/>
  <c r="J20" i="45"/>
  <c r="H20" i="45"/>
  <c r="J21" i="46"/>
  <c r="H21" i="46"/>
  <c r="I21" i="46"/>
  <c r="J41" i="46"/>
  <c r="I41" i="46"/>
  <c r="H41" i="46"/>
  <c r="H20" i="51"/>
  <c r="J20" i="39"/>
  <c r="J20" i="40"/>
  <c r="I29" i="41"/>
  <c r="H29" i="41"/>
  <c r="G46" i="42"/>
  <c r="I34" i="42" s="1"/>
  <c r="J9" i="42"/>
  <c r="I11" i="42"/>
  <c r="I19" i="42"/>
  <c r="I27" i="42"/>
  <c r="I35" i="42"/>
  <c r="I28" i="43"/>
  <c r="H13" i="44"/>
  <c r="H17" i="44"/>
  <c r="H21" i="44"/>
  <c r="H25" i="44"/>
  <c r="H29" i="44"/>
  <c r="H37" i="44"/>
  <c r="F42" i="45"/>
  <c r="J27" i="46"/>
  <c r="H27" i="46"/>
  <c r="H13" i="48"/>
  <c r="I13" i="48"/>
  <c r="I24" i="49"/>
  <c r="H24" i="49"/>
  <c r="J14" i="44"/>
  <c r="J16" i="44"/>
  <c r="J18" i="44"/>
  <c r="J20" i="44"/>
  <c r="J22" i="44"/>
  <c r="J24" i="44"/>
  <c r="J26" i="44"/>
  <c r="J28" i="44"/>
  <c r="I36" i="45"/>
  <c r="J15" i="46"/>
  <c r="H15" i="46"/>
  <c r="J37" i="46"/>
  <c r="H37" i="46"/>
  <c r="J30" i="48"/>
  <c r="H30" i="48"/>
  <c r="J38" i="48"/>
  <c r="H38" i="48"/>
  <c r="I42" i="50"/>
  <c r="J29" i="52"/>
  <c r="H29" i="52"/>
  <c r="I36" i="53"/>
  <c r="J25" i="56"/>
  <c r="H25" i="56"/>
  <c r="I25" i="56"/>
  <c r="J29" i="56"/>
  <c r="H29" i="56"/>
  <c r="J21" i="57"/>
  <c r="I21" i="57"/>
  <c r="H21" i="57"/>
  <c r="J26" i="59"/>
  <c r="I26" i="59"/>
  <c r="H26" i="59"/>
  <c r="H39" i="63"/>
  <c r="J39" i="63"/>
  <c r="J31" i="48"/>
  <c r="H31" i="48"/>
  <c r="J39" i="48"/>
  <c r="H39" i="48"/>
  <c r="J26" i="50"/>
  <c r="H26" i="50"/>
  <c r="H13" i="51"/>
  <c r="I27" i="51"/>
  <c r="J13" i="52"/>
  <c r="H13" i="52"/>
  <c r="I9" i="53"/>
  <c r="H9" i="53"/>
  <c r="I25" i="53"/>
  <c r="J32" i="53"/>
  <c r="I32" i="53"/>
  <c r="H32" i="53"/>
  <c r="H20" i="54"/>
  <c r="J38" i="54"/>
  <c r="H38" i="54"/>
  <c r="J33" i="55"/>
  <c r="I33" i="55"/>
  <c r="H33" i="55"/>
  <c r="J19" i="56"/>
  <c r="J16" i="59"/>
  <c r="I16" i="59"/>
  <c r="J21" i="60"/>
  <c r="H21" i="60"/>
  <c r="H17" i="62"/>
  <c r="J17" i="62"/>
  <c r="I17" i="62"/>
  <c r="J32" i="62"/>
  <c r="I32" i="62"/>
  <c r="H32" i="62"/>
  <c r="H37" i="62"/>
  <c r="J37" i="62"/>
  <c r="I30" i="46"/>
  <c r="J33" i="46"/>
  <c r="I33" i="46"/>
  <c r="I38" i="46"/>
  <c r="G43" i="46"/>
  <c r="I16" i="46" s="1"/>
  <c r="J32" i="48"/>
  <c r="H32" i="48"/>
  <c r="J36" i="48"/>
  <c r="H36" i="48"/>
  <c r="J40" i="48"/>
  <c r="H40" i="48"/>
  <c r="H44" i="48"/>
  <c r="I44" i="48"/>
  <c r="I9" i="49"/>
  <c r="H17" i="49"/>
  <c r="J36" i="49"/>
  <c r="H36" i="49"/>
  <c r="H11" i="50"/>
  <c r="I26" i="50"/>
  <c r="I40" i="50"/>
  <c r="J40" i="50"/>
  <c r="H23" i="51"/>
  <c r="H27" i="51"/>
  <c r="H37" i="52"/>
  <c r="J21" i="53"/>
  <c r="I21" i="53"/>
  <c r="H21" i="53"/>
  <c r="J15" i="54"/>
  <c r="H15" i="54"/>
  <c r="I39" i="54"/>
  <c r="H39" i="54"/>
  <c r="H19" i="56"/>
  <c r="H41" i="56"/>
  <c r="I41" i="56"/>
  <c r="H16" i="59"/>
  <c r="J22" i="62"/>
  <c r="H22" i="62"/>
  <c r="J22" i="67"/>
  <c r="I22" i="67"/>
  <c r="H22" i="67"/>
  <c r="J27" i="67"/>
  <c r="H27" i="67"/>
  <c r="I29" i="45"/>
  <c r="J38" i="46"/>
  <c r="H40" i="49"/>
  <c r="I17" i="49"/>
  <c r="J29" i="49"/>
  <c r="H29" i="49"/>
  <c r="H40" i="50"/>
  <c r="J31" i="52"/>
  <c r="H31" i="52"/>
  <c r="J22" i="53"/>
  <c r="I22" i="53"/>
  <c r="I31" i="54"/>
  <c r="H34" i="54"/>
  <c r="J13" i="56"/>
  <c r="H13" i="56"/>
  <c r="G39" i="58"/>
  <c r="I9" i="58" s="1"/>
  <c r="H9" i="58"/>
  <c r="J10" i="59"/>
  <c r="I10" i="59"/>
  <c r="H10" i="59"/>
  <c r="H37" i="60"/>
  <c r="I44" i="44"/>
  <c r="I26" i="45"/>
  <c r="H29" i="45"/>
  <c r="I37" i="45"/>
  <c r="H11" i="46"/>
  <c r="I14" i="46"/>
  <c r="J17" i="46"/>
  <c r="I17" i="46"/>
  <c r="I22" i="46"/>
  <c r="H25" i="46"/>
  <c r="J30" i="46"/>
  <c r="I39" i="46"/>
  <c r="J36" i="47"/>
  <c r="H33" i="48"/>
  <c r="H41" i="48"/>
  <c r="J10" i="49"/>
  <c r="I10" i="49"/>
  <c r="H10" i="49"/>
  <c r="J34" i="50"/>
  <c r="H34" i="50"/>
  <c r="J21" i="52"/>
  <c r="H21" i="52"/>
  <c r="I21" i="52"/>
  <c r="I31" i="52"/>
  <c r="H22" i="53"/>
  <c r="J12" i="54"/>
  <c r="H12" i="54"/>
  <c r="H31" i="54"/>
  <c r="J21" i="55"/>
  <c r="H21" i="55"/>
  <c r="J25" i="55"/>
  <c r="I25" i="55"/>
  <c r="H25" i="55"/>
  <c r="G45" i="56"/>
  <c r="I19" i="56" s="1"/>
  <c r="G27" i="57"/>
  <c r="I24" i="57"/>
  <c r="J17" i="65"/>
  <c r="J25" i="65"/>
  <c r="H25" i="65"/>
  <c r="I27" i="45"/>
  <c r="J29" i="45"/>
  <c r="I35" i="45"/>
  <c r="I38" i="45"/>
  <c r="I11" i="46"/>
  <c r="J22" i="46"/>
  <c r="I25" i="46"/>
  <c r="J31" i="46"/>
  <c r="H31" i="46"/>
  <c r="H34" i="47"/>
  <c r="J34" i="47"/>
  <c r="H15" i="48"/>
  <c r="I29" i="48"/>
  <c r="J11" i="49"/>
  <c r="H11" i="49"/>
  <c r="I11" i="49"/>
  <c r="I15" i="50"/>
  <c r="J24" i="50"/>
  <c r="H24" i="50"/>
  <c r="H16" i="51"/>
  <c r="J15" i="52"/>
  <c r="H15" i="52"/>
  <c r="J12" i="53"/>
  <c r="H12" i="53"/>
  <c r="G40" i="53"/>
  <c r="J26" i="54"/>
  <c r="I26" i="54"/>
  <c r="H26" i="54"/>
  <c r="I21" i="55"/>
  <c r="I39" i="55"/>
  <c r="J35" i="56"/>
  <c r="H35" i="56"/>
  <c r="I35" i="56"/>
  <c r="I23" i="58"/>
  <c r="H23" i="58"/>
  <c r="J28" i="58"/>
  <c r="H28" i="58"/>
  <c r="F38" i="59"/>
  <c r="H13" i="65"/>
  <c r="H34" i="65"/>
  <c r="I46" i="47"/>
  <c r="G48" i="48"/>
  <c r="I15" i="48" s="1"/>
  <c r="H18" i="49"/>
  <c r="J27" i="49"/>
  <c r="H27" i="49"/>
  <c r="G44" i="50"/>
  <c r="H9" i="50"/>
  <c r="I12" i="50"/>
  <c r="J28" i="51"/>
  <c r="H28" i="51"/>
  <c r="H32" i="51"/>
  <c r="H38" i="52"/>
  <c r="I16" i="53"/>
  <c r="J16" i="54"/>
  <c r="H16" i="54"/>
  <c r="J28" i="54"/>
  <c r="I28" i="54"/>
  <c r="I35" i="54"/>
  <c r="H35" i="54"/>
  <c r="J35" i="54"/>
  <c r="I10" i="56"/>
  <c r="H10" i="56"/>
  <c r="J17" i="56"/>
  <c r="H17" i="56"/>
  <c r="I43" i="56"/>
  <c r="F46" i="56"/>
  <c r="J22" i="59"/>
  <c r="H22" i="59"/>
  <c r="H41" i="60"/>
  <c r="H16" i="64"/>
  <c r="H46" i="47"/>
  <c r="J34" i="48"/>
  <c r="H34" i="48"/>
  <c r="J42" i="48"/>
  <c r="H42" i="48"/>
  <c r="I9" i="50"/>
  <c r="J22" i="50"/>
  <c r="H22" i="50"/>
  <c r="J30" i="50"/>
  <c r="H30" i="50"/>
  <c r="J38" i="50"/>
  <c r="H38" i="50"/>
  <c r="J14" i="51"/>
  <c r="I14" i="51"/>
  <c r="H14" i="51"/>
  <c r="J21" i="51"/>
  <c r="I21" i="51"/>
  <c r="H21" i="51"/>
  <c r="J11" i="52"/>
  <c r="H11" i="52"/>
  <c r="J19" i="52"/>
  <c r="H19" i="52"/>
  <c r="J27" i="52"/>
  <c r="H27" i="52"/>
  <c r="J35" i="52"/>
  <c r="H35" i="52"/>
  <c r="J10" i="53"/>
  <c r="I10" i="53"/>
  <c r="H10" i="53"/>
  <c r="I14" i="53"/>
  <c r="I23" i="53"/>
  <c r="H23" i="53"/>
  <c r="I29" i="53"/>
  <c r="H33" i="53"/>
  <c r="J17" i="54"/>
  <c r="I17" i="54"/>
  <c r="I23" i="54"/>
  <c r="H28" i="54"/>
  <c r="D41" i="54"/>
  <c r="J37" i="55"/>
  <c r="H37" i="55"/>
  <c r="I17" i="56"/>
  <c r="J33" i="56"/>
  <c r="H33" i="56"/>
  <c r="I33" i="56"/>
  <c r="H43" i="56"/>
  <c r="H32" i="58"/>
  <c r="I32" i="58"/>
  <c r="H12" i="59"/>
  <c r="H28" i="59"/>
  <c r="H42" i="60"/>
  <c r="J18" i="61"/>
  <c r="I18" i="61"/>
  <c r="H18" i="61"/>
  <c r="J22" i="61"/>
  <c r="H22" i="61"/>
  <c r="J28" i="62"/>
  <c r="H28" i="62"/>
  <c r="I10" i="64"/>
  <c r="H10" i="64"/>
  <c r="H38" i="64" s="1"/>
  <c r="G38" i="64"/>
  <c r="J16" i="64"/>
  <c r="H20" i="64"/>
  <c r="J20" i="64"/>
  <c r="J46" i="47"/>
  <c r="I22" i="48"/>
  <c r="I25" i="49"/>
  <c r="J11" i="51"/>
  <c r="H11" i="51"/>
  <c r="H38" i="51" s="1"/>
  <c r="I18" i="51"/>
  <c r="G38" i="51"/>
  <c r="D40" i="52"/>
  <c r="I33" i="53"/>
  <c r="C41" i="53"/>
  <c r="G40" i="54"/>
  <c r="I20" i="54" s="1"/>
  <c r="J29" i="54"/>
  <c r="H29" i="54"/>
  <c r="J21" i="56"/>
  <c r="H21" i="56"/>
  <c r="J27" i="56"/>
  <c r="H27" i="56"/>
  <c r="I27" i="56"/>
  <c r="J37" i="56"/>
  <c r="H37" i="56"/>
  <c r="J43" i="56"/>
  <c r="J26" i="58"/>
  <c r="H26" i="58"/>
  <c r="I26" i="58"/>
  <c r="E40" i="58"/>
  <c r="J18" i="59"/>
  <c r="H18" i="59"/>
  <c r="J19" i="61"/>
  <c r="H19" i="61"/>
  <c r="J38" i="61"/>
  <c r="H38" i="61"/>
  <c r="H48" i="62"/>
  <c r="H24" i="64"/>
  <c r="J24" i="64"/>
  <c r="H35" i="69"/>
  <c r="J35" i="69"/>
  <c r="H34" i="49"/>
  <c r="J20" i="50"/>
  <c r="H20" i="50"/>
  <c r="J28" i="50"/>
  <c r="H28" i="50"/>
  <c r="J36" i="50"/>
  <c r="H36" i="50"/>
  <c r="J9" i="52"/>
  <c r="G39" i="52"/>
  <c r="I38" i="52" s="1"/>
  <c r="H9" i="52"/>
  <c r="J17" i="52"/>
  <c r="H17" i="52"/>
  <c r="J25" i="52"/>
  <c r="H25" i="52"/>
  <c r="J33" i="52"/>
  <c r="H33" i="52"/>
  <c r="E40" i="52"/>
  <c r="J30" i="53"/>
  <c r="I30" i="53"/>
  <c r="H30" i="53"/>
  <c r="J34" i="53"/>
  <c r="I34" i="53"/>
  <c r="H34" i="53"/>
  <c r="D41" i="53"/>
  <c r="J18" i="54"/>
  <c r="H18" i="54"/>
  <c r="I19" i="57"/>
  <c r="J26" i="57"/>
  <c r="H26" i="57"/>
  <c r="I26" i="57"/>
  <c r="J29" i="60"/>
  <c r="H29" i="60"/>
  <c r="J11" i="61"/>
  <c r="I11" i="61"/>
  <c r="H11" i="61"/>
  <c r="J44" i="62"/>
  <c r="H44" i="62"/>
  <c r="H37" i="63"/>
  <c r="J37" i="63"/>
  <c r="I37" i="66"/>
  <c r="I31" i="66"/>
  <c r="I24" i="66"/>
  <c r="I34" i="66"/>
  <c r="I26" i="66"/>
  <c r="I28" i="66"/>
  <c r="I10" i="66"/>
  <c r="E40" i="66"/>
  <c r="I38" i="66"/>
  <c r="I23" i="66"/>
  <c r="I14" i="66"/>
  <c r="D40" i="66"/>
  <c r="I25" i="66"/>
  <c r="I9" i="66"/>
  <c r="I35" i="66"/>
  <c r="I20" i="66"/>
  <c r="C40" i="66"/>
  <c r="I22" i="66"/>
  <c r="I12" i="66"/>
  <c r="I30" i="66"/>
  <c r="I36" i="66"/>
  <c r="I27" i="66"/>
  <c r="I11" i="66"/>
  <c r="I13" i="66"/>
  <c r="I21" i="66"/>
  <c r="I17" i="66"/>
  <c r="I37" i="68"/>
  <c r="H37" i="68"/>
  <c r="H14" i="69"/>
  <c r="J14" i="69"/>
  <c r="G48" i="47"/>
  <c r="J17" i="48"/>
  <c r="J20" i="49"/>
  <c r="H20" i="49"/>
  <c r="J31" i="49"/>
  <c r="H31" i="49"/>
  <c r="I20" i="50"/>
  <c r="I28" i="50"/>
  <c r="I36" i="50"/>
  <c r="I9" i="51"/>
  <c r="I15" i="51"/>
  <c r="I22" i="51"/>
  <c r="J30" i="51"/>
  <c r="H30" i="51"/>
  <c r="J34" i="51"/>
  <c r="H34" i="51"/>
  <c r="I9" i="52"/>
  <c r="I17" i="52"/>
  <c r="I25" i="52"/>
  <c r="I11" i="53"/>
  <c r="I20" i="53"/>
  <c r="I18" i="54"/>
  <c r="G44" i="55"/>
  <c r="J9" i="55"/>
  <c r="J17" i="55"/>
  <c r="I17" i="55"/>
  <c r="H17" i="55"/>
  <c r="H44" i="55" s="1"/>
  <c r="J23" i="55"/>
  <c r="H19" i="57"/>
  <c r="I19" i="58"/>
  <c r="J14" i="59"/>
  <c r="I14" i="59"/>
  <c r="H14" i="59"/>
  <c r="J30" i="59"/>
  <c r="H30" i="59"/>
  <c r="J31" i="61"/>
  <c r="H31" i="61"/>
  <c r="H35" i="61"/>
  <c r="H40" i="62"/>
  <c r="I17" i="57"/>
  <c r="I16" i="58"/>
  <c r="J9" i="59"/>
  <c r="I9" i="59"/>
  <c r="G37" i="59"/>
  <c r="H9" i="59"/>
  <c r="J13" i="59"/>
  <c r="H13" i="59"/>
  <c r="J17" i="59"/>
  <c r="I17" i="59"/>
  <c r="H17" i="59"/>
  <c r="J21" i="59"/>
  <c r="H21" i="59"/>
  <c r="J25" i="59"/>
  <c r="H25" i="59"/>
  <c r="J29" i="59"/>
  <c r="I29" i="59"/>
  <c r="H29" i="59"/>
  <c r="J19" i="60"/>
  <c r="H19" i="60"/>
  <c r="J27" i="60"/>
  <c r="H27" i="60"/>
  <c r="J35" i="60"/>
  <c r="H35" i="60"/>
  <c r="I38" i="60"/>
  <c r="I32" i="61"/>
  <c r="J19" i="62"/>
  <c r="J36" i="62"/>
  <c r="I36" i="62"/>
  <c r="H36" i="62"/>
  <c r="G46" i="63"/>
  <c r="H10" i="63"/>
  <c r="H14" i="68"/>
  <c r="J14" i="68"/>
  <c r="H37" i="69"/>
  <c r="J37" i="69"/>
  <c r="J11" i="67"/>
  <c r="I11" i="67"/>
  <c r="H11" i="67"/>
  <c r="J24" i="67"/>
  <c r="H24" i="67"/>
  <c r="J33" i="67"/>
  <c r="I33" i="67"/>
  <c r="H33" i="67"/>
  <c r="I19" i="68"/>
  <c r="H19" i="68"/>
  <c r="I10" i="54"/>
  <c r="I13" i="54"/>
  <c r="H13" i="54"/>
  <c r="H40" i="54" s="1"/>
  <c r="I21" i="54"/>
  <c r="I32" i="54"/>
  <c r="I15" i="56"/>
  <c r="C46" i="56"/>
  <c r="D28" i="57"/>
  <c r="J17" i="58"/>
  <c r="I17" i="58"/>
  <c r="H17" i="58"/>
  <c r="G44" i="60"/>
  <c r="J17" i="60"/>
  <c r="H17" i="60"/>
  <c r="J25" i="60"/>
  <c r="H25" i="60"/>
  <c r="J33" i="60"/>
  <c r="H33" i="60"/>
  <c r="I39" i="60"/>
  <c r="I12" i="61"/>
  <c r="I16" i="61"/>
  <c r="J33" i="61"/>
  <c r="J20" i="62"/>
  <c r="H20" i="62"/>
  <c r="I20" i="62"/>
  <c r="I33" i="62"/>
  <c r="H33" i="62"/>
  <c r="H11" i="63"/>
  <c r="H32" i="64"/>
  <c r="F39" i="68"/>
  <c r="I9" i="77"/>
  <c r="H9" i="77"/>
  <c r="G38" i="77"/>
  <c r="J9" i="77"/>
  <c r="J19" i="54"/>
  <c r="I19" i="54"/>
  <c r="J30" i="54"/>
  <c r="I30" i="54"/>
  <c r="J23" i="56"/>
  <c r="H23" i="56"/>
  <c r="J31" i="56"/>
  <c r="H31" i="56"/>
  <c r="J39" i="56"/>
  <c r="H39" i="56"/>
  <c r="E28" i="57"/>
  <c r="I14" i="58"/>
  <c r="I24" i="58"/>
  <c r="H24" i="58"/>
  <c r="J30" i="58"/>
  <c r="H30" i="58"/>
  <c r="G41" i="61"/>
  <c r="I17" i="61" s="1"/>
  <c r="J9" i="61"/>
  <c r="I9" i="61"/>
  <c r="H9" i="61"/>
  <c r="I13" i="61"/>
  <c r="J13" i="61"/>
  <c r="H13" i="61"/>
  <c r="J27" i="61"/>
  <c r="I27" i="61"/>
  <c r="H27" i="61"/>
  <c r="I25" i="62"/>
  <c r="I29" i="62"/>
  <c r="H29" i="62"/>
  <c r="H26" i="64"/>
  <c r="H36" i="64"/>
  <c r="J36" i="64"/>
  <c r="G42" i="65"/>
  <c r="H32" i="65"/>
  <c r="J32" i="65"/>
  <c r="I19" i="66"/>
  <c r="H19" i="66"/>
  <c r="I32" i="66"/>
  <c r="J43" i="67"/>
  <c r="I43" i="67"/>
  <c r="H43" i="67"/>
  <c r="J11" i="68"/>
  <c r="H11" i="68"/>
  <c r="H44" i="72"/>
  <c r="J44" i="72"/>
  <c r="H32" i="75"/>
  <c r="I11" i="54"/>
  <c r="H11" i="54"/>
  <c r="J11" i="56"/>
  <c r="I11" i="56"/>
  <c r="I31" i="56"/>
  <c r="I39" i="56"/>
  <c r="I22" i="57"/>
  <c r="H22" i="57"/>
  <c r="H27" i="57" s="1"/>
  <c r="F28" i="57"/>
  <c r="H14" i="58"/>
  <c r="J21" i="58"/>
  <c r="H21" i="58"/>
  <c r="I30" i="58"/>
  <c r="J11" i="59"/>
  <c r="I11" i="59"/>
  <c r="H11" i="59"/>
  <c r="J15" i="59"/>
  <c r="H15" i="59"/>
  <c r="J19" i="59"/>
  <c r="H19" i="59"/>
  <c r="J23" i="59"/>
  <c r="I23" i="59"/>
  <c r="H23" i="59"/>
  <c r="J27" i="59"/>
  <c r="H27" i="59"/>
  <c r="H31" i="59"/>
  <c r="C38" i="59"/>
  <c r="J23" i="60"/>
  <c r="H23" i="60"/>
  <c r="J31" i="60"/>
  <c r="H31" i="60"/>
  <c r="J17" i="61"/>
  <c r="I24" i="61"/>
  <c r="J34" i="61"/>
  <c r="I34" i="61"/>
  <c r="H34" i="61"/>
  <c r="H25" i="62"/>
  <c r="J29" i="62"/>
  <c r="H33" i="63"/>
  <c r="J33" i="63"/>
  <c r="J26" i="64"/>
  <c r="H24" i="65"/>
  <c r="J24" i="65"/>
  <c r="H32" i="66"/>
  <c r="H44" i="67"/>
  <c r="H9" i="72"/>
  <c r="G48" i="72"/>
  <c r="I46" i="72" s="1"/>
  <c r="J9" i="72"/>
  <c r="J29" i="72"/>
  <c r="H29" i="72"/>
  <c r="J33" i="72"/>
  <c r="H33" i="72"/>
  <c r="J14" i="78"/>
  <c r="H14" i="78"/>
  <c r="I15" i="61"/>
  <c r="I23" i="62"/>
  <c r="J26" i="62"/>
  <c r="H26" i="62"/>
  <c r="H14" i="64"/>
  <c r="H30" i="64"/>
  <c r="H26" i="65"/>
  <c r="J26" i="65"/>
  <c r="J32" i="76"/>
  <c r="J37" i="76"/>
  <c r="H37" i="76"/>
  <c r="I37" i="76"/>
  <c r="J20" i="77"/>
  <c r="H20" i="77"/>
  <c r="I20" i="77"/>
  <c r="I9" i="57"/>
  <c r="I11" i="57"/>
  <c r="I13" i="57"/>
  <c r="I15" i="57"/>
  <c r="I10" i="58"/>
  <c r="I35" i="58"/>
  <c r="I37" i="58"/>
  <c r="I20" i="61"/>
  <c r="I29" i="61"/>
  <c r="I36" i="61"/>
  <c r="G49" i="62"/>
  <c r="I37" i="62" s="1"/>
  <c r="J23" i="62"/>
  <c r="I27" i="62"/>
  <c r="J30" i="62"/>
  <c r="I30" i="62"/>
  <c r="H30" i="62"/>
  <c r="J34" i="62"/>
  <c r="I34" i="62"/>
  <c r="H34" i="62"/>
  <c r="J38" i="62"/>
  <c r="I38" i="62"/>
  <c r="H38" i="62"/>
  <c r="J42" i="62"/>
  <c r="I42" i="62"/>
  <c r="I18" i="64"/>
  <c r="H18" i="64"/>
  <c r="H34" i="64"/>
  <c r="H39" i="66"/>
  <c r="H15" i="66"/>
  <c r="I15" i="66"/>
  <c r="F40" i="66"/>
  <c r="J17" i="67"/>
  <c r="J25" i="67"/>
  <c r="H25" i="67"/>
  <c r="I25" i="68"/>
  <c r="H25" i="68"/>
  <c r="H12" i="69"/>
  <c r="J12" i="69"/>
  <c r="H28" i="70"/>
  <c r="J28" i="70"/>
  <c r="H42" i="72"/>
  <c r="J42" i="72"/>
  <c r="J9" i="60"/>
  <c r="H38" i="60"/>
  <c r="H40" i="60"/>
  <c r="H16" i="61"/>
  <c r="H25" i="61"/>
  <c r="H32" i="61"/>
  <c r="H9" i="62"/>
  <c r="I21" i="62"/>
  <c r="J24" i="62"/>
  <c r="H24" i="62"/>
  <c r="H27" i="62"/>
  <c r="I31" i="62"/>
  <c r="I35" i="62"/>
  <c r="I39" i="62"/>
  <c r="H42" i="62"/>
  <c r="H41" i="63"/>
  <c r="H12" i="64"/>
  <c r="J18" i="64"/>
  <c r="I28" i="64"/>
  <c r="H28" i="64"/>
  <c r="J34" i="64"/>
  <c r="H15" i="65"/>
  <c r="G45" i="67"/>
  <c r="E46" i="67" s="1"/>
  <c r="J9" i="67"/>
  <c r="I9" i="67"/>
  <c r="H9" i="67"/>
  <c r="H17" i="67"/>
  <c r="J30" i="67"/>
  <c r="J41" i="67"/>
  <c r="I41" i="67"/>
  <c r="H41" i="67"/>
  <c r="I17" i="68"/>
  <c r="H17" i="68"/>
  <c r="H21" i="68"/>
  <c r="J21" i="68"/>
  <c r="H35" i="68"/>
  <c r="J20" i="69"/>
  <c r="H33" i="69"/>
  <c r="J33" i="69"/>
  <c r="H17" i="70"/>
  <c r="J17" i="70"/>
  <c r="J17" i="72"/>
  <c r="I17" i="72"/>
  <c r="H17" i="72"/>
  <c r="I25" i="61"/>
  <c r="J9" i="62"/>
  <c r="J27" i="62"/>
  <c r="D50" i="62"/>
  <c r="H35" i="63"/>
  <c r="I42" i="63"/>
  <c r="H42" i="63"/>
  <c r="H22" i="64"/>
  <c r="J16" i="65"/>
  <c r="H16" i="65"/>
  <c r="J31" i="65"/>
  <c r="H31" i="65"/>
  <c r="J14" i="67"/>
  <c r="G38" i="68"/>
  <c r="I9" i="68" s="1"/>
  <c r="H9" i="68"/>
  <c r="H20" i="69"/>
  <c r="H13" i="72"/>
  <c r="J13" i="72"/>
  <c r="H37" i="73"/>
  <c r="J37" i="73"/>
  <c r="I37" i="73"/>
  <c r="E46" i="73"/>
  <c r="J29" i="76"/>
  <c r="H29" i="76"/>
  <c r="J18" i="66"/>
  <c r="I18" i="66"/>
  <c r="I33" i="66"/>
  <c r="J21" i="67"/>
  <c r="I21" i="67"/>
  <c r="J40" i="67"/>
  <c r="J36" i="68"/>
  <c r="H36" i="68"/>
  <c r="J32" i="69"/>
  <c r="H32" i="69"/>
  <c r="J36" i="69"/>
  <c r="C46" i="73"/>
  <c r="H14" i="75"/>
  <c r="J14" i="75"/>
  <c r="J21" i="76"/>
  <c r="H21" i="76"/>
  <c r="I21" i="76"/>
  <c r="J15" i="67"/>
  <c r="I15" i="67"/>
  <c r="J31" i="67"/>
  <c r="J18" i="69"/>
  <c r="H18" i="69"/>
  <c r="J28" i="69"/>
  <c r="H41" i="69"/>
  <c r="H24" i="70"/>
  <c r="I29" i="70"/>
  <c r="H29" i="70"/>
  <c r="J29" i="70"/>
  <c r="I35" i="71"/>
  <c r="I33" i="71"/>
  <c r="I31" i="71"/>
  <c r="I29" i="71"/>
  <c r="I27" i="71"/>
  <c r="I25" i="71"/>
  <c r="I23" i="71"/>
  <c r="I18" i="71"/>
  <c r="I16" i="71"/>
  <c r="I15" i="71"/>
  <c r="I19" i="71"/>
  <c r="I9" i="71"/>
  <c r="I11" i="71"/>
  <c r="D37" i="71"/>
  <c r="H46" i="72"/>
  <c r="J46" i="72"/>
  <c r="G45" i="73"/>
  <c r="J21" i="75"/>
  <c r="H21" i="75"/>
  <c r="J16" i="76"/>
  <c r="I16" i="76"/>
  <c r="I24" i="78"/>
  <c r="H24" i="78"/>
  <c r="J39" i="79"/>
  <c r="H39" i="79"/>
  <c r="I44" i="63"/>
  <c r="J9" i="65"/>
  <c r="J20" i="65"/>
  <c r="J40" i="65"/>
  <c r="I12" i="67"/>
  <c r="J19" i="67"/>
  <c r="I19" i="67"/>
  <c r="I28" i="67"/>
  <c r="H25" i="69"/>
  <c r="J25" i="69"/>
  <c r="H29" i="69"/>
  <c r="J29" i="69"/>
  <c r="H38" i="69"/>
  <c r="H20" i="70"/>
  <c r="H25" i="70"/>
  <c r="J25" i="70"/>
  <c r="I31" i="70"/>
  <c r="H31" i="70"/>
  <c r="H36" i="70"/>
  <c r="J21" i="72"/>
  <c r="J31" i="72"/>
  <c r="H31" i="72"/>
  <c r="H29" i="75"/>
  <c r="J37" i="77"/>
  <c r="H37" i="77"/>
  <c r="G40" i="78"/>
  <c r="I16" i="66"/>
  <c r="H16" i="66"/>
  <c r="J13" i="67"/>
  <c r="I13" i="67"/>
  <c r="J29" i="67"/>
  <c r="I29" i="67"/>
  <c r="J10" i="68"/>
  <c r="I10" i="68"/>
  <c r="J26" i="68"/>
  <c r="H16" i="69"/>
  <c r="J38" i="69"/>
  <c r="J20" i="70"/>
  <c r="I10" i="71"/>
  <c r="I20" i="71"/>
  <c r="H20" i="71"/>
  <c r="H36" i="71" s="1"/>
  <c r="J20" i="71"/>
  <c r="J24" i="71"/>
  <c r="I24" i="71"/>
  <c r="H24" i="71"/>
  <c r="F37" i="71"/>
  <c r="H21" i="72"/>
  <c r="G37" i="75"/>
  <c r="I32" i="75" s="1"/>
  <c r="H17" i="75"/>
  <c r="J17" i="75"/>
  <c r="I17" i="75"/>
  <c r="J24" i="76"/>
  <c r="H24" i="76"/>
  <c r="I37" i="77"/>
  <c r="D41" i="78"/>
  <c r="J23" i="67"/>
  <c r="I23" i="67"/>
  <c r="J42" i="67"/>
  <c r="I42" i="67"/>
  <c r="H10" i="69"/>
  <c r="H45" i="69" s="1"/>
  <c r="H39" i="69"/>
  <c r="J39" i="69"/>
  <c r="H16" i="70"/>
  <c r="H21" i="70"/>
  <c r="J21" i="70"/>
  <c r="J33" i="70"/>
  <c r="I33" i="70"/>
  <c r="I17" i="71"/>
  <c r="J28" i="71"/>
  <c r="I28" i="71"/>
  <c r="J23" i="75"/>
  <c r="H23" i="75"/>
  <c r="J13" i="76"/>
  <c r="H13" i="76"/>
  <c r="I13" i="76"/>
  <c r="J9" i="66"/>
  <c r="H31" i="69"/>
  <c r="J31" i="69"/>
  <c r="I14" i="71"/>
  <c r="I22" i="71"/>
  <c r="H22" i="71"/>
  <c r="J32" i="71"/>
  <c r="I32" i="71"/>
  <c r="H11" i="72"/>
  <c r="J11" i="72"/>
  <c r="H15" i="72"/>
  <c r="J25" i="72"/>
  <c r="J10" i="74"/>
  <c r="I14" i="74"/>
  <c r="J12" i="76"/>
  <c r="I12" i="76"/>
  <c r="J17" i="76"/>
  <c r="H17" i="76"/>
  <c r="J28" i="76"/>
  <c r="I28" i="76"/>
  <c r="J33" i="76"/>
  <c r="H33" i="76"/>
  <c r="I33" i="76"/>
  <c r="I43" i="76"/>
  <c r="I13" i="77"/>
  <c r="H13" i="77"/>
  <c r="J13" i="77"/>
  <c r="E38" i="70"/>
  <c r="I12" i="71"/>
  <c r="J26" i="71"/>
  <c r="I26" i="71"/>
  <c r="C37" i="71"/>
  <c r="J19" i="72"/>
  <c r="I32" i="72"/>
  <c r="J35" i="72"/>
  <c r="I36" i="73"/>
  <c r="I43" i="73"/>
  <c r="J43" i="73"/>
  <c r="H43" i="73"/>
  <c r="G19" i="74"/>
  <c r="J33" i="75"/>
  <c r="H33" i="75"/>
  <c r="I33" i="75"/>
  <c r="H12" i="76"/>
  <c r="H28" i="76"/>
  <c r="G45" i="69"/>
  <c r="I28" i="69" s="1"/>
  <c r="I15" i="70"/>
  <c r="H15" i="70"/>
  <c r="J15" i="70"/>
  <c r="H19" i="70"/>
  <c r="J19" i="70"/>
  <c r="H23" i="70"/>
  <c r="J23" i="70"/>
  <c r="H27" i="70"/>
  <c r="J27" i="70"/>
  <c r="G37" i="70"/>
  <c r="D38" i="70" s="1"/>
  <c r="J30" i="71"/>
  <c r="I30" i="71"/>
  <c r="J23" i="72"/>
  <c r="J40" i="73"/>
  <c r="I40" i="73"/>
  <c r="J28" i="77"/>
  <c r="H28" i="77"/>
  <c r="I28" i="77"/>
  <c r="E41" i="78"/>
  <c r="G44" i="76"/>
  <c r="I32" i="76" s="1"/>
  <c r="J9" i="76"/>
  <c r="H9" i="76"/>
  <c r="I9" i="76"/>
  <c r="J20" i="76"/>
  <c r="I20" i="76"/>
  <c r="J25" i="76"/>
  <c r="H25" i="76"/>
  <c r="I25" i="76"/>
  <c r="J36" i="76"/>
  <c r="I36" i="76"/>
  <c r="H41" i="76"/>
  <c r="I41" i="76"/>
  <c r="J12" i="80"/>
  <c r="H12" i="80"/>
  <c r="I13" i="70"/>
  <c r="J34" i="71"/>
  <c r="I34" i="71"/>
  <c r="I24" i="72"/>
  <c r="J27" i="72"/>
  <c r="D46" i="73"/>
  <c r="H11" i="75"/>
  <c r="J11" i="75"/>
  <c r="I11" i="75"/>
  <c r="I20" i="75"/>
  <c r="H20" i="76"/>
  <c r="J24" i="77"/>
  <c r="H24" i="77"/>
  <c r="I24" i="77"/>
  <c r="H32" i="70"/>
  <c r="H41" i="73"/>
  <c r="J41" i="73"/>
  <c r="H11" i="74"/>
  <c r="J11" i="74"/>
  <c r="E45" i="76"/>
  <c r="I11" i="77"/>
  <c r="H11" i="77"/>
  <c r="J33" i="79"/>
  <c r="H33" i="79"/>
  <c r="E39" i="80"/>
  <c r="H19" i="75"/>
  <c r="J19" i="75"/>
  <c r="I25" i="75"/>
  <c r="J11" i="76"/>
  <c r="H11" i="76"/>
  <c r="J15" i="76"/>
  <c r="H15" i="76"/>
  <c r="J19" i="76"/>
  <c r="H19" i="76"/>
  <c r="J23" i="76"/>
  <c r="H23" i="76"/>
  <c r="J27" i="76"/>
  <c r="H27" i="76"/>
  <c r="J31" i="76"/>
  <c r="H31" i="76"/>
  <c r="J35" i="76"/>
  <c r="H35" i="76"/>
  <c r="J39" i="76"/>
  <c r="H39" i="76"/>
  <c r="J11" i="77"/>
  <c r="J22" i="77"/>
  <c r="H22" i="77"/>
  <c r="J26" i="77"/>
  <c r="H26" i="77"/>
  <c r="H40" i="78"/>
  <c r="G42" i="79"/>
  <c r="J10" i="80"/>
  <c r="H10" i="80"/>
  <c r="H19" i="80"/>
  <c r="I29" i="80"/>
  <c r="H39" i="73"/>
  <c r="J39" i="73"/>
  <c r="H9" i="74"/>
  <c r="J9" i="74"/>
  <c r="I17" i="74"/>
  <c r="H13" i="75"/>
  <c r="J13" i="75"/>
  <c r="I16" i="75"/>
  <c r="I19" i="75"/>
  <c r="H25" i="75"/>
  <c r="F38" i="75"/>
  <c r="I11" i="76"/>
  <c r="I15" i="76"/>
  <c r="I19" i="76"/>
  <c r="I23" i="76"/>
  <c r="I27" i="76"/>
  <c r="I31" i="76"/>
  <c r="I35" i="76"/>
  <c r="I39" i="76"/>
  <c r="I15" i="77"/>
  <c r="H15" i="77"/>
  <c r="I22" i="77"/>
  <c r="I26" i="77"/>
  <c r="I30" i="77"/>
  <c r="I36" i="77"/>
  <c r="H36" i="77"/>
  <c r="C41" i="78"/>
  <c r="I35" i="73"/>
  <c r="H13" i="74"/>
  <c r="J13" i="74"/>
  <c r="C45" i="76"/>
  <c r="D39" i="77"/>
  <c r="H22" i="78"/>
  <c r="I38" i="78"/>
  <c r="H38" i="78"/>
  <c r="C39" i="80"/>
  <c r="H45" i="73"/>
  <c r="H9" i="75"/>
  <c r="J9" i="75"/>
  <c r="H15" i="75"/>
  <c r="J15" i="75"/>
  <c r="I18" i="75"/>
  <c r="I27" i="75"/>
  <c r="I30" i="75"/>
  <c r="J10" i="76"/>
  <c r="I10" i="76"/>
  <c r="J14" i="76"/>
  <c r="I14" i="76"/>
  <c r="J18" i="76"/>
  <c r="I18" i="76"/>
  <c r="J22" i="76"/>
  <c r="I22" i="76"/>
  <c r="J26" i="76"/>
  <c r="I26" i="76"/>
  <c r="J30" i="76"/>
  <c r="I30" i="76"/>
  <c r="J34" i="76"/>
  <c r="I34" i="76"/>
  <c r="I17" i="77"/>
  <c r="H17" i="77"/>
  <c r="E39" i="77"/>
  <c r="J12" i="78"/>
  <c r="H12" i="78"/>
  <c r="J16" i="78"/>
  <c r="H16" i="78"/>
  <c r="J22" i="78"/>
  <c r="J38" i="78"/>
  <c r="I11" i="79"/>
  <c r="I27" i="79"/>
  <c r="J14" i="80"/>
  <c r="H14" i="80"/>
  <c r="G38" i="80"/>
  <c r="F39" i="80" s="1"/>
  <c r="I9" i="79"/>
  <c r="H38" i="79"/>
  <c r="H40" i="79"/>
  <c r="H11" i="80"/>
  <c r="H13" i="80"/>
  <c r="H15" i="80"/>
  <c r="H24" i="80"/>
  <c r="I38" i="76"/>
  <c r="I40" i="76"/>
  <c r="H35" i="80"/>
  <c r="I9" i="80" l="1"/>
  <c r="H44" i="76"/>
  <c r="E43" i="65"/>
  <c r="I36" i="65"/>
  <c r="I30" i="65"/>
  <c r="I23" i="65"/>
  <c r="I14" i="65"/>
  <c r="I12" i="65"/>
  <c r="I38" i="65"/>
  <c r="I22" i="65"/>
  <c r="I37" i="65"/>
  <c r="I41" i="65"/>
  <c r="I35" i="65"/>
  <c r="I20" i="65"/>
  <c r="I9" i="65"/>
  <c r="I19" i="65"/>
  <c r="I11" i="65"/>
  <c r="I39" i="65"/>
  <c r="I28" i="65"/>
  <c r="I40" i="65"/>
  <c r="F43" i="65"/>
  <c r="I29" i="65"/>
  <c r="I21" i="65"/>
  <c r="I10" i="65"/>
  <c r="I26" i="65"/>
  <c r="I13" i="65"/>
  <c r="I24" i="65"/>
  <c r="I15" i="65"/>
  <c r="I34" i="65"/>
  <c r="I27" i="65"/>
  <c r="C43" i="65"/>
  <c r="D43" i="65"/>
  <c r="I16" i="65"/>
  <c r="I40" i="79"/>
  <c r="I38" i="79"/>
  <c r="E43" i="79"/>
  <c r="I37" i="79"/>
  <c r="I35" i="79"/>
  <c r="I32" i="79"/>
  <c r="I30" i="79"/>
  <c r="I28" i="79"/>
  <c r="I26" i="79"/>
  <c r="I24" i="79"/>
  <c r="I22" i="79"/>
  <c r="I20" i="79"/>
  <c r="I18" i="79"/>
  <c r="I16" i="79"/>
  <c r="I14" i="79"/>
  <c r="I12" i="79"/>
  <c r="D43" i="79"/>
  <c r="I34" i="79"/>
  <c r="I41" i="79"/>
  <c r="C43" i="79"/>
  <c r="I19" i="79"/>
  <c r="I15" i="79"/>
  <c r="I23" i="79"/>
  <c r="I10" i="79"/>
  <c r="I13" i="79"/>
  <c r="I31" i="79"/>
  <c r="I35" i="72"/>
  <c r="H38" i="68"/>
  <c r="I38" i="39"/>
  <c r="I31" i="39"/>
  <c r="D43" i="39"/>
  <c r="I37" i="39"/>
  <c r="I23" i="39"/>
  <c r="I29" i="39"/>
  <c r="I25" i="39"/>
  <c r="I36" i="39"/>
  <c r="F43" i="39"/>
  <c r="I28" i="39"/>
  <c r="I18" i="39"/>
  <c r="I19" i="39"/>
  <c r="I12" i="39"/>
  <c r="I21" i="39"/>
  <c r="I39" i="39"/>
  <c r="I9" i="39"/>
  <c r="I16" i="39"/>
  <c r="I24" i="39"/>
  <c r="I22" i="39"/>
  <c r="I11" i="39"/>
  <c r="I30" i="39"/>
  <c r="C43" i="39"/>
  <c r="I20" i="39"/>
  <c r="E43" i="39"/>
  <c r="I13" i="39"/>
  <c r="I40" i="39"/>
  <c r="I33" i="39"/>
  <c r="I27" i="39"/>
  <c r="I32" i="39"/>
  <c r="I15" i="39"/>
  <c r="F45" i="17"/>
  <c r="I22" i="17"/>
  <c r="C45" i="17"/>
  <c r="I24" i="17"/>
  <c r="I39" i="17"/>
  <c r="I26" i="17"/>
  <c r="I10" i="17"/>
  <c r="I41" i="17"/>
  <c r="I28" i="17"/>
  <c r="I12" i="17"/>
  <c r="I32" i="17"/>
  <c r="I16" i="17"/>
  <c r="I18" i="17"/>
  <c r="I20" i="17"/>
  <c r="I30" i="17"/>
  <c r="I34" i="17"/>
  <c r="I14" i="17"/>
  <c r="I19" i="17"/>
  <c r="I36" i="17"/>
  <c r="I27" i="17"/>
  <c r="I23" i="17"/>
  <c r="I17" i="17"/>
  <c r="I42" i="17"/>
  <c r="I37" i="17"/>
  <c r="I38" i="17"/>
  <c r="I21" i="17"/>
  <c r="I33" i="17"/>
  <c r="I40" i="17"/>
  <c r="D45" i="17"/>
  <c r="I15" i="17"/>
  <c r="I43" i="17"/>
  <c r="I31" i="17"/>
  <c r="I25" i="17"/>
  <c r="E45" i="17"/>
  <c r="I13" i="17"/>
  <c r="H42" i="1"/>
  <c r="I35" i="17"/>
  <c r="D43" i="4"/>
  <c r="E43" i="4"/>
  <c r="I40" i="4"/>
  <c r="I38" i="4"/>
  <c r="I31" i="4"/>
  <c r="I37" i="4"/>
  <c r="I13" i="4"/>
  <c r="I14" i="4"/>
  <c r="I30" i="4"/>
  <c r="I29" i="4"/>
  <c r="I16" i="4"/>
  <c r="I32" i="4"/>
  <c r="I18" i="4"/>
  <c r="I11" i="4"/>
  <c r="I23" i="4"/>
  <c r="I20" i="4"/>
  <c r="I19" i="4"/>
  <c r="I9" i="4"/>
  <c r="I27" i="4"/>
  <c r="I34" i="4"/>
  <c r="I22" i="4"/>
  <c r="I39" i="4"/>
  <c r="F43" i="4"/>
  <c r="I33" i="4"/>
  <c r="I17" i="4"/>
  <c r="I10" i="4"/>
  <c r="I26" i="4"/>
  <c r="I41" i="4"/>
  <c r="F43" i="79"/>
  <c r="I32" i="65"/>
  <c r="F45" i="60"/>
  <c r="I43" i="60"/>
  <c r="I36" i="60"/>
  <c r="I28" i="60"/>
  <c r="I20" i="60"/>
  <c r="I12" i="60"/>
  <c r="I33" i="60"/>
  <c r="I25" i="60"/>
  <c r="I17" i="60"/>
  <c r="D45" i="60"/>
  <c r="I30" i="60"/>
  <c r="I22" i="60"/>
  <c r="I14" i="60"/>
  <c r="I32" i="60"/>
  <c r="I24" i="60"/>
  <c r="I16" i="60"/>
  <c r="I26" i="60"/>
  <c r="I10" i="60"/>
  <c r="I35" i="60"/>
  <c r="I19" i="60"/>
  <c r="I31" i="60"/>
  <c r="C45" i="60"/>
  <c r="I34" i="60"/>
  <c r="I18" i="60"/>
  <c r="I27" i="60"/>
  <c r="I23" i="60"/>
  <c r="I21" i="60"/>
  <c r="I40" i="60"/>
  <c r="E45" i="60"/>
  <c r="I42" i="60"/>
  <c r="I9" i="60"/>
  <c r="I37" i="60"/>
  <c r="I11" i="60"/>
  <c r="I41" i="60"/>
  <c r="I29" i="60"/>
  <c r="I13" i="60"/>
  <c r="I37" i="64"/>
  <c r="I35" i="64"/>
  <c r="I33" i="64"/>
  <c r="I31" i="64"/>
  <c r="I29" i="64"/>
  <c r="I27" i="64"/>
  <c r="I25" i="64"/>
  <c r="I23" i="64"/>
  <c r="I21" i="64"/>
  <c r="I19" i="64"/>
  <c r="I17" i="64"/>
  <c r="I15" i="64"/>
  <c r="I13" i="64"/>
  <c r="I11" i="64"/>
  <c r="I9" i="64"/>
  <c r="E39" i="64"/>
  <c r="F39" i="64"/>
  <c r="I26" i="64"/>
  <c r="C39" i="64"/>
  <c r="I22" i="64"/>
  <c r="I20" i="64"/>
  <c r="I34" i="64"/>
  <c r="I32" i="64"/>
  <c r="I36" i="64"/>
  <c r="I14" i="64"/>
  <c r="I12" i="64"/>
  <c r="D39" i="64"/>
  <c r="I24" i="64"/>
  <c r="I30" i="64"/>
  <c r="I25" i="65"/>
  <c r="I32" i="48"/>
  <c r="H44" i="60"/>
  <c r="I39" i="48"/>
  <c r="I21" i="48"/>
  <c r="I26" i="39"/>
  <c r="F36" i="36"/>
  <c r="I28" i="36"/>
  <c r="I17" i="36"/>
  <c r="I15" i="36"/>
  <c r="I34" i="36"/>
  <c r="C36" i="36"/>
  <c r="I27" i="36"/>
  <c r="I24" i="36"/>
  <c r="I14" i="36"/>
  <c r="I11" i="36"/>
  <c r="I33" i="36"/>
  <c r="I29" i="36"/>
  <c r="I20" i="36"/>
  <c r="I23" i="36"/>
  <c r="I16" i="36"/>
  <c r="I10" i="36"/>
  <c r="I18" i="36"/>
  <c r="I22" i="36"/>
  <c r="I26" i="36"/>
  <c r="I9" i="36"/>
  <c r="I25" i="36"/>
  <c r="I13" i="36"/>
  <c r="I12" i="36"/>
  <c r="I21" i="36"/>
  <c r="I32" i="36"/>
  <c r="I30" i="36"/>
  <c r="I31" i="36"/>
  <c r="D36" i="36"/>
  <c r="I19" i="36"/>
  <c r="I28" i="4"/>
  <c r="H40" i="7"/>
  <c r="I38" i="72"/>
  <c r="F49" i="72"/>
  <c r="I39" i="72"/>
  <c r="I45" i="72"/>
  <c r="I41" i="72"/>
  <c r="I43" i="72"/>
  <c r="I14" i="72"/>
  <c r="I10" i="72"/>
  <c r="I47" i="72"/>
  <c r="E49" i="72"/>
  <c r="I12" i="72"/>
  <c r="I33" i="72"/>
  <c r="I13" i="72"/>
  <c r="I25" i="72"/>
  <c r="I23" i="72"/>
  <c r="I27" i="72"/>
  <c r="I30" i="72"/>
  <c r="D49" i="72"/>
  <c r="I11" i="72"/>
  <c r="I36" i="72"/>
  <c r="I40" i="72"/>
  <c r="I44" i="72"/>
  <c r="I34" i="72"/>
  <c r="I28" i="72"/>
  <c r="I16" i="72"/>
  <c r="C49" i="72"/>
  <c r="I26" i="72"/>
  <c r="I37" i="72"/>
  <c r="I18" i="72"/>
  <c r="I37" i="80"/>
  <c r="I24" i="80"/>
  <c r="I15" i="80"/>
  <c r="I13" i="80"/>
  <c r="I11" i="80"/>
  <c r="I32" i="80"/>
  <c r="I30" i="80"/>
  <c r="I28" i="80"/>
  <c r="I26" i="80"/>
  <c r="I17" i="80"/>
  <c r="I36" i="80"/>
  <c r="I34" i="80"/>
  <c r="I23" i="80"/>
  <c r="I21" i="80"/>
  <c r="I18" i="80"/>
  <c r="I25" i="80"/>
  <c r="I10" i="80"/>
  <c r="I33" i="80"/>
  <c r="I16" i="80"/>
  <c r="I14" i="80"/>
  <c r="I22" i="80"/>
  <c r="I19" i="72"/>
  <c r="I17" i="65"/>
  <c r="I17" i="39"/>
  <c r="H40" i="35"/>
  <c r="I28" i="49"/>
  <c r="I16" i="49"/>
  <c r="I37" i="49"/>
  <c r="I22" i="49"/>
  <c r="I19" i="49"/>
  <c r="I30" i="49"/>
  <c r="I13" i="49"/>
  <c r="F41" i="49"/>
  <c r="I39" i="49"/>
  <c r="E41" i="49"/>
  <c r="I32" i="49"/>
  <c r="I21" i="49"/>
  <c r="I14" i="49"/>
  <c r="I35" i="49"/>
  <c r="I31" i="49"/>
  <c r="D41" i="49"/>
  <c r="I23" i="49"/>
  <c r="I26" i="49"/>
  <c r="I20" i="49"/>
  <c r="I29" i="49"/>
  <c r="I18" i="49"/>
  <c r="C41" i="49"/>
  <c r="I12" i="49"/>
  <c r="I27" i="49"/>
  <c r="I34" i="49"/>
  <c r="I38" i="49"/>
  <c r="I36" i="49"/>
  <c r="I33" i="49"/>
  <c r="I15" i="49"/>
  <c r="I27" i="41"/>
  <c r="I11" i="25"/>
  <c r="I35" i="16"/>
  <c r="I12" i="4"/>
  <c r="I21" i="4"/>
  <c r="I36" i="4"/>
  <c r="I43" i="69"/>
  <c r="I25" i="69"/>
  <c r="I36" i="79"/>
  <c r="I19" i="80"/>
  <c r="I27" i="80"/>
  <c r="H48" i="72"/>
  <c r="I31" i="80"/>
  <c r="I20" i="80"/>
  <c r="H38" i="80"/>
  <c r="H42" i="79"/>
  <c r="I20" i="72"/>
  <c r="I23" i="70"/>
  <c r="I29" i="79"/>
  <c r="I22" i="72"/>
  <c r="I16" i="69"/>
  <c r="I31" i="72"/>
  <c r="I39" i="79"/>
  <c r="I9" i="72"/>
  <c r="H46" i="63"/>
  <c r="I17" i="48"/>
  <c r="I26" i="48"/>
  <c r="H43" i="46"/>
  <c r="H40" i="34"/>
  <c r="I35" i="39"/>
  <c r="H42" i="4"/>
  <c r="I25" i="4"/>
  <c r="I44" i="69"/>
  <c r="I42" i="69"/>
  <c r="I27" i="69"/>
  <c r="E46" i="69"/>
  <c r="I17" i="69"/>
  <c r="I26" i="69"/>
  <c r="I21" i="69"/>
  <c r="I34" i="69"/>
  <c r="I30" i="69"/>
  <c r="I19" i="69"/>
  <c r="I32" i="69"/>
  <c r="I23" i="69"/>
  <c r="D46" i="69"/>
  <c r="I40" i="69"/>
  <c r="I35" i="69"/>
  <c r="I33" i="69"/>
  <c r="I38" i="69"/>
  <c r="I9" i="69"/>
  <c r="I14" i="69"/>
  <c r="I41" i="69"/>
  <c r="C46" i="69"/>
  <c r="I22" i="69"/>
  <c r="I11" i="69"/>
  <c r="I15" i="69"/>
  <c r="I13" i="69"/>
  <c r="I10" i="69"/>
  <c r="I24" i="69"/>
  <c r="I18" i="69"/>
  <c r="I20" i="69"/>
  <c r="H45" i="67"/>
  <c r="I33" i="79"/>
  <c r="I31" i="65"/>
  <c r="I12" i="69"/>
  <c r="H38" i="77"/>
  <c r="I40" i="63"/>
  <c r="I38" i="63"/>
  <c r="I36" i="63"/>
  <c r="I34" i="63"/>
  <c r="I32" i="63"/>
  <c r="I9" i="63"/>
  <c r="E47" i="63"/>
  <c r="I45" i="63"/>
  <c r="F47" i="63"/>
  <c r="I31" i="63"/>
  <c r="I26" i="63"/>
  <c r="I23" i="63"/>
  <c r="I18" i="63"/>
  <c r="I15" i="63"/>
  <c r="C47" i="63"/>
  <c r="I12" i="63"/>
  <c r="I24" i="63"/>
  <c r="I29" i="63"/>
  <c r="I43" i="63"/>
  <c r="I17" i="63"/>
  <c r="I25" i="63"/>
  <c r="I27" i="63"/>
  <c r="I30" i="63"/>
  <c r="I14" i="63"/>
  <c r="I10" i="63"/>
  <c r="I20" i="63"/>
  <c r="I13" i="63"/>
  <c r="I22" i="63"/>
  <c r="I19" i="63"/>
  <c r="I16" i="63"/>
  <c r="I21" i="63"/>
  <c r="I28" i="63"/>
  <c r="I39" i="63"/>
  <c r="D47" i="63"/>
  <c r="I11" i="63"/>
  <c r="I41" i="63"/>
  <c r="I37" i="63"/>
  <c r="I33" i="63"/>
  <c r="I35" i="63"/>
  <c r="H45" i="56"/>
  <c r="I47" i="48"/>
  <c r="I42" i="48"/>
  <c r="I34" i="48"/>
  <c r="I14" i="48"/>
  <c r="I16" i="48"/>
  <c r="I45" i="48"/>
  <c r="I37" i="48"/>
  <c r="I20" i="48"/>
  <c r="I25" i="48"/>
  <c r="E49" i="48"/>
  <c r="I43" i="48"/>
  <c r="I18" i="48"/>
  <c r="I30" i="48"/>
  <c r="I27" i="48"/>
  <c r="I35" i="48"/>
  <c r="I38" i="48"/>
  <c r="D49" i="48"/>
  <c r="I36" i="48"/>
  <c r="I33" i="48"/>
  <c r="I41" i="48"/>
  <c r="I10" i="48"/>
  <c r="I28" i="48"/>
  <c r="I23" i="48"/>
  <c r="C49" i="48"/>
  <c r="I9" i="48"/>
  <c r="I12" i="48"/>
  <c r="I40" i="48"/>
  <c r="I19" i="48"/>
  <c r="F49" i="48"/>
  <c r="I31" i="48"/>
  <c r="I11" i="48"/>
  <c r="I24" i="48"/>
  <c r="H39" i="58"/>
  <c r="H39" i="40"/>
  <c r="I18" i="65"/>
  <c r="C44" i="41"/>
  <c r="I26" i="41"/>
  <c r="I28" i="41"/>
  <c r="I34" i="41"/>
  <c r="I30" i="41"/>
  <c r="I38" i="41"/>
  <c r="I17" i="41"/>
  <c r="I9" i="41"/>
  <c r="D44" i="41"/>
  <c r="I19" i="41"/>
  <c r="I11" i="41"/>
  <c r="I40" i="41"/>
  <c r="I21" i="41"/>
  <c r="I13" i="41"/>
  <c r="I42" i="41"/>
  <c r="I23" i="41"/>
  <c r="I15" i="41"/>
  <c r="I25" i="41"/>
  <c r="I39" i="41"/>
  <c r="I18" i="41"/>
  <c r="I41" i="41"/>
  <c r="I35" i="41"/>
  <c r="I32" i="41"/>
  <c r="I14" i="41"/>
  <c r="I22" i="41"/>
  <c r="I12" i="41"/>
  <c r="I31" i="41"/>
  <c r="H41" i="31"/>
  <c r="F41" i="34"/>
  <c r="I37" i="34"/>
  <c r="I34" i="34"/>
  <c r="I21" i="34"/>
  <c r="I33" i="34"/>
  <c r="I30" i="34"/>
  <c r="I20" i="34"/>
  <c r="I17" i="34"/>
  <c r="E41" i="34"/>
  <c r="I38" i="34"/>
  <c r="I22" i="34"/>
  <c r="I16" i="34"/>
  <c r="I26" i="34"/>
  <c r="I29" i="34"/>
  <c r="I25" i="34"/>
  <c r="I12" i="34"/>
  <c r="I18" i="34"/>
  <c r="D41" i="34"/>
  <c r="C41" i="34"/>
  <c r="I32" i="34"/>
  <c r="I39" i="34"/>
  <c r="I11" i="34"/>
  <c r="I24" i="34"/>
  <c r="I28" i="34"/>
  <c r="I10" i="34"/>
  <c r="I27" i="34"/>
  <c r="I31" i="34"/>
  <c r="E40" i="16"/>
  <c r="I17" i="16"/>
  <c r="I14" i="16"/>
  <c r="I12" i="16"/>
  <c r="I26" i="16"/>
  <c r="I15" i="16"/>
  <c r="I25" i="16"/>
  <c r="I10" i="16"/>
  <c r="I13" i="16"/>
  <c r="I9" i="16"/>
  <c r="I19" i="16"/>
  <c r="D40" i="16"/>
  <c r="I29" i="16"/>
  <c r="F40" i="16"/>
  <c r="I32" i="16"/>
  <c r="C40" i="16"/>
  <c r="I37" i="16"/>
  <c r="I30" i="16"/>
  <c r="I11" i="16"/>
  <c r="I18" i="16"/>
  <c r="I38" i="16"/>
  <c r="I21" i="16"/>
  <c r="I20" i="16"/>
  <c r="I23" i="16"/>
  <c r="I24" i="16"/>
  <c r="I28" i="16"/>
  <c r="I16" i="16"/>
  <c r="I36" i="16"/>
  <c r="H40" i="12"/>
  <c r="H21" i="19"/>
  <c r="D43" i="20"/>
  <c r="I41" i="20"/>
  <c r="F43" i="20"/>
  <c r="I32" i="20"/>
  <c r="I39" i="20"/>
  <c r="I34" i="20"/>
  <c r="I37" i="20"/>
  <c r="I16" i="20"/>
  <c r="I20" i="20"/>
  <c r="I35" i="20"/>
  <c r="I12" i="20"/>
  <c r="I17" i="20"/>
  <c r="I28" i="20"/>
  <c r="I11" i="20"/>
  <c r="I29" i="20"/>
  <c r="I27" i="20"/>
  <c r="I22" i="20"/>
  <c r="I10" i="20"/>
  <c r="I40" i="20"/>
  <c r="C43" i="20"/>
  <c r="I31" i="20"/>
  <c r="I26" i="20"/>
  <c r="I15" i="20"/>
  <c r="I13" i="20"/>
  <c r="I9" i="20"/>
  <c r="I30" i="20"/>
  <c r="I25" i="20"/>
  <c r="I14" i="20"/>
  <c r="I18" i="20"/>
  <c r="I36" i="20"/>
  <c r="I19" i="20"/>
  <c r="I24" i="20"/>
  <c r="I21" i="20"/>
  <c r="I23" i="20"/>
  <c r="I31" i="16"/>
  <c r="D42" i="8"/>
  <c r="I36" i="8"/>
  <c r="I32" i="8"/>
  <c r="I28" i="8"/>
  <c r="I24" i="8"/>
  <c r="I20" i="8"/>
  <c r="I16" i="8"/>
  <c r="I12" i="8"/>
  <c r="E42" i="8"/>
  <c r="C42" i="8"/>
  <c r="I22" i="8"/>
  <c r="I9" i="8"/>
  <c r="I25" i="8"/>
  <c r="I14" i="8"/>
  <c r="F42" i="8"/>
  <c r="I15" i="8"/>
  <c r="I31" i="8"/>
  <c r="I10" i="8"/>
  <c r="I38" i="8"/>
  <c r="I13" i="8"/>
  <c r="I29" i="8"/>
  <c r="I19" i="8"/>
  <c r="I35" i="8"/>
  <c r="I17" i="8"/>
  <c r="I33" i="8"/>
  <c r="I26" i="8"/>
  <c r="I21" i="8"/>
  <c r="I37" i="8"/>
  <c r="I18" i="8"/>
  <c r="C43" i="4"/>
  <c r="I35" i="80"/>
  <c r="I31" i="69"/>
  <c r="I21" i="79"/>
  <c r="I25" i="79"/>
  <c r="I15" i="72"/>
  <c r="I28" i="75"/>
  <c r="I26" i="75"/>
  <c r="I24" i="75"/>
  <c r="I22" i="75"/>
  <c r="I36" i="75"/>
  <c r="I34" i="75"/>
  <c r="I15" i="75"/>
  <c r="I12" i="75"/>
  <c r="I9" i="75"/>
  <c r="C38" i="75"/>
  <c r="I35" i="75"/>
  <c r="I10" i="75"/>
  <c r="I13" i="75"/>
  <c r="D38" i="75"/>
  <c r="E38" i="75"/>
  <c r="I29" i="75"/>
  <c r="I31" i="75"/>
  <c r="I21" i="75"/>
  <c r="I23" i="75"/>
  <c r="I33" i="65"/>
  <c r="I21" i="72"/>
  <c r="I14" i="75"/>
  <c r="F46" i="69"/>
  <c r="H42" i="65"/>
  <c r="H49" i="62"/>
  <c r="I46" i="48"/>
  <c r="I41" i="39"/>
  <c r="I37" i="43"/>
  <c r="I35" i="43"/>
  <c r="I33" i="43"/>
  <c r="I31" i="43"/>
  <c r="I22" i="43"/>
  <c r="I20" i="43"/>
  <c r="I9" i="43"/>
  <c r="F40" i="43"/>
  <c r="I38" i="43"/>
  <c r="E40" i="43"/>
  <c r="I12" i="43"/>
  <c r="I21" i="43"/>
  <c r="I27" i="43"/>
  <c r="I18" i="43"/>
  <c r="I14" i="43"/>
  <c r="I10" i="43"/>
  <c r="I25" i="43"/>
  <c r="I16" i="43"/>
  <c r="I36" i="43"/>
  <c r="I23" i="43"/>
  <c r="I29" i="43"/>
  <c r="I11" i="43"/>
  <c r="D40" i="43"/>
  <c r="I32" i="43"/>
  <c r="I24" i="43"/>
  <c r="I34" i="43"/>
  <c r="C40" i="43"/>
  <c r="I13" i="43"/>
  <c r="H41" i="45"/>
  <c r="E36" i="36"/>
  <c r="I14" i="39"/>
  <c r="H45" i="32"/>
  <c r="H43" i="29"/>
  <c r="I35" i="34"/>
  <c r="I17" i="32"/>
  <c r="D40" i="25"/>
  <c r="C40" i="25"/>
  <c r="I30" i="25"/>
  <c r="I26" i="25"/>
  <c r="I22" i="25"/>
  <c r="I32" i="25"/>
  <c r="I20" i="25"/>
  <c r="I24" i="25"/>
  <c r="I28" i="25"/>
  <c r="I9" i="25"/>
  <c r="I38" i="25"/>
  <c r="I17" i="25"/>
  <c r="I21" i="25"/>
  <c r="I33" i="25"/>
  <c r="I13" i="25"/>
  <c r="I16" i="25"/>
  <c r="I12" i="25"/>
  <c r="I37" i="25"/>
  <c r="I34" i="25"/>
  <c r="I27" i="25"/>
  <c r="I36" i="25"/>
  <c r="F40" i="25"/>
  <c r="E40" i="25"/>
  <c r="I25" i="25"/>
  <c r="I10" i="25"/>
  <c r="I14" i="25"/>
  <c r="I11" i="17"/>
  <c r="I29" i="25"/>
  <c r="D39" i="2"/>
  <c r="I30" i="2"/>
  <c r="I16" i="2"/>
  <c r="I32" i="2"/>
  <c r="I14" i="2"/>
  <c r="I35" i="2"/>
  <c r="I17" i="2"/>
  <c r="I27" i="2"/>
  <c r="I9" i="2"/>
  <c r="E39" i="2"/>
  <c r="I29" i="2"/>
  <c r="I15" i="2"/>
  <c r="I33" i="2"/>
  <c r="I21" i="2"/>
  <c r="I13" i="2"/>
  <c r="I23" i="2"/>
  <c r="C39" i="2"/>
  <c r="I37" i="2"/>
  <c r="I26" i="2"/>
  <c r="I22" i="2"/>
  <c r="I36" i="2"/>
  <c r="I11" i="2"/>
  <c r="I31" i="2"/>
  <c r="I28" i="2"/>
  <c r="I25" i="2"/>
  <c r="I18" i="2"/>
  <c r="F39" i="2"/>
  <c r="I34" i="2"/>
  <c r="I10" i="2"/>
  <c r="I15" i="25"/>
  <c r="I9" i="17"/>
  <c r="I24" i="2"/>
  <c r="I19" i="2"/>
  <c r="I36" i="69"/>
  <c r="H38" i="2"/>
  <c r="E20" i="74"/>
  <c r="I18" i="74"/>
  <c r="I11" i="74"/>
  <c r="F20" i="74"/>
  <c r="I16" i="74"/>
  <c r="I12" i="74"/>
  <c r="C20" i="74"/>
  <c r="I9" i="74"/>
  <c r="I15" i="74"/>
  <c r="I13" i="74"/>
  <c r="D20" i="74"/>
  <c r="I10" i="74"/>
  <c r="D39" i="80"/>
  <c r="I17" i="79"/>
  <c r="I12" i="80"/>
  <c r="I35" i="70"/>
  <c r="I32" i="70"/>
  <c r="I12" i="70"/>
  <c r="I30" i="70"/>
  <c r="I26" i="70"/>
  <c r="I22" i="70"/>
  <c r="I18" i="70"/>
  <c r="I14" i="70"/>
  <c r="I34" i="70"/>
  <c r="I10" i="70"/>
  <c r="I11" i="70"/>
  <c r="C38" i="70"/>
  <c r="I16" i="70"/>
  <c r="I27" i="70"/>
  <c r="F38" i="70"/>
  <c r="I17" i="70"/>
  <c r="I36" i="70"/>
  <c r="I21" i="70"/>
  <c r="I9" i="70"/>
  <c r="I19" i="70"/>
  <c r="I28" i="70"/>
  <c r="I20" i="70"/>
  <c r="I24" i="70"/>
  <c r="I25" i="70"/>
  <c r="I39" i="69"/>
  <c r="I26" i="78"/>
  <c r="I17" i="78"/>
  <c r="I15" i="78"/>
  <c r="I13" i="78"/>
  <c r="I11" i="78"/>
  <c r="I25" i="78"/>
  <c r="I23" i="78"/>
  <c r="I21" i="78"/>
  <c r="I10" i="78"/>
  <c r="I37" i="78"/>
  <c r="I35" i="78"/>
  <c r="I33" i="78"/>
  <c r="I31" i="78"/>
  <c r="I29" i="78"/>
  <c r="I27" i="78"/>
  <c r="I18" i="78"/>
  <c r="I28" i="78"/>
  <c r="I36" i="78"/>
  <c r="I20" i="78"/>
  <c r="I9" i="78"/>
  <c r="I39" i="78"/>
  <c r="F41" i="78"/>
  <c r="I19" i="78"/>
  <c r="I16" i="78"/>
  <c r="I12" i="78"/>
  <c r="I34" i="78"/>
  <c r="I32" i="78"/>
  <c r="I30" i="78"/>
  <c r="I22" i="78"/>
  <c r="I14" i="78"/>
  <c r="I29" i="69"/>
  <c r="I42" i="72"/>
  <c r="I29" i="72"/>
  <c r="I15" i="60"/>
  <c r="H41" i="61"/>
  <c r="I37" i="69"/>
  <c r="I36" i="59"/>
  <c r="E38" i="59"/>
  <c r="I32" i="59"/>
  <c r="I34" i="59"/>
  <c r="I20" i="59"/>
  <c r="I12" i="59"/>
  <c r="I24" i="59"/>
  <c r="I21" i="59"/>
  <c r="I15" i="59"/>
  <c r="D38" i="59"/>
  <c r="I22" i="59"/>
  <c r="I27" i="59"/>
  <c r="I33" i="59"/>
  <c r="I18" i="59"/>
  <c r="I30" i="59"/>
  <c r="I13" i="59"/>
  <c r="I35" i="59"/>
  <c r="I25" i="59"/>
  <c r="I19" i="59"/>
  <c r="I31" i="59"/>
  <c r="I28" i="59"/>
  <c r="I16" i="64"/>
  <c r="H44" i="50"/>
  <c r="I34" i="39"/>
  <c r="H48" i="44"/>
  <c r="E44" i="41"/>
  <c r="H39" i="43"/>
  <c r="I24" i="41"/>
  <c r="I10" i="39"/>
  <c r="I42" i="32"/>
  <c r="I36" i="32"/>
  <c r="I35" i="32"/>
  <c r="D46" i="32"/>
  <c r="E46" i="32"/>
  <c r="C46" i="32"/>
  <c r="I43" i="32"/>
  <c r="I41" i="32"/>
  <c r="I44" i="32"/>
  <c r="I31" i="32"/>
  <c r="I25" i="32"/>
  <c r="I26" i="32"/>
  <c r="I15" i="32"/>
  <c r="I22" i="32"/>
  <c r="I20" i="32"/>
  <c r="I30" i="32"/>
  <c r="I28" i="32"/>
  <c r="I24" i="32"/>
  <c r="I39" i="32"/>
  <c r="I33" i="32"/>
  <c r="I40" i="32"/>
  <c r="I10" i="32"/>
  <c r="I13" i="32"/>
  <c r="I11" i="32"/>
  <c r="I37" i="32"/>
  <c r="I16" i="32"/>
  <c r="I23" i="32"/>
  <c r="I9" i="32"/>
  <c r="I21" i="32"/>
  <c r="I19" i="32"/>
  <c r="F46" i="32"/>
  <c r="H38" i="30"/>
  <c r="I32" i="32"/>
  <c r="I36" i="41"/>
  <c r="I31" i="25"/>
  <c r="I29" i="17"/>
  <c r="H37" i="26"/>
  <c r="I20" i="2"/>
  <c r="I15" i="4"/>
  <c r="I35" i="4"/>
  <c r="F39" i="18"/>
  <c r="D39" i="18"/>
  <c r="C39" i="18"/>
  <c r="I29" i="18"/>
  <c r="I31" i="18"/>
  <c r="E49" i="5"/>
  <c r="C49" i="5"/>
  <c r="I47" i="5"/>
  <c r="I45" i="5"/>
  <c r="I15" i="5"/>
  <c r="I11" i="5"/>
  <c r="I17" i="5"/>
  <c r="F49" i="5"/>
  <c r="I19" i="5"/>
  <c r="H43" i="3"/>
  <c r="I25" i="18"/>
  <c r="I20" i="5"/>
  <c r="I12" i="5"/>
  <c r="E41" i="7"/>
  <c r="I10" i="5"/>
  <c r="I32" i="5"/>
  <c r="I13" i="7"/>
  <c r="I38" i="55"/>
  <c r="I31" i="55"/>
  <c r="I22" i="55"/>
  <c r="I15" i="55"/>
  <c r="I40" i="55"/>
  <c r="I24" i="55"/>
  <c r="I42" i="55"/>
  <c r="I26" i="55"/>
  <c r="I10" i="55"/>
  <c r="I30" i="55"/>
  <c r="I14" i="55"/>
  <c r="I20" i="55"/>
  <c r="I11" i="55"/>
  <c r="I37" i="55"/>
  <c r="I16" i="55"/>
  <c r="I13" i="55"/>
  <c r="I34" i="55"/>
  <c r="I28" i="55"/>
  <c r="I43" i="55"/>
  <c r="F45" i="55"/>
  <c r="I18" i="55"/>
  <c r="E45" i="55"/>
  <c r="D45" i="55"/>
  <c r="I27" i="55"/>
  <c r="I32" i="55"/>
  <c r="I29" i="55"/>
  <c r="I12" i="55"/>
  <c r="I36" i="55"/>
  <c r="I9" i="55"/>
  <c r="I32" i="47"/>
  <c r="I30" i="47"/>
  <c r="I28" i="47"/>
  <c r="I26" i="47"/>
  <c r="I24" i="47"/>
  <c r="I22" i="47"/>
  <c r="I20" i="47"/>
  <c r="I18" i="47"/>
  <c r="I16" i="47"/>
  <c r="I14" i="47"/>
  <c r="I12" i="47"/>
  <c r="I10" i="47"/>
  <c r="I31" i="47"/>
  <c r="I15" i="47"/>
  <c r="F49" i="47"/>
  <c r="I42" i="47"/>
  <c r="I33" i="47"/>
  <c r="I17" i="47"/>
  <c r="E49" i="47"/>
  <c r="I47" i="47"/>
  <c r="I36" i="47"/>
  <c r="I19" i="47"/>
  <c r="D49" i="47"/>
  <c r="I21" i="47"/>
  <c r="I23" i="47"/>
  <c r="I43" i="47"/>
  <c r="I37" i="47"/>
  <c r="I27" i="47"/>
  <c r="I11" i="47"/>
  <c r="I25" i="47"/>
  <c r="I9" i="47"/>
  <c r="I45" i="47"/>
  <c r="I29" i="47"/>
  <c r="I34" i="47"/>
  <c r="I13" i="47"/>
  <c r="I41" i="47"/>
  <c r="I35" i="55"/>
  <c r="I37" i="51"/>
  <c r="I26" i="51"/>
  <c r="F39" i="51"/>
  <c r="E39" i="51"/>
  <c r="I36" i="51"/>
  <c r="I33" i="51"/>
  <c r="I29" i="51"/>
  <c r="I11" i="51"/>
  <c r="I25" i="51"/>
  <c r="I35" i="51"/>
  <c r="I24" i="51"/>
  <c r="I17" i="51"/>
  <c r="I10" i="51"/>
  <c r="I19" i="51"/>
  <c r="I31" i="51"/>
  <c r="I34" i="51"/>
  <c r="I12" i="51"/>
  <c r="I28" i="62"/>
  <c r="I10" i="50"/>
  <c r="I41" i="50"/>
  <c r="I33" i="50"/>
  <c r="I25" i="50"/>
  <c r="I17" i="50"/>
  <c r="E45" i="50"/>
  <c r="I43" i="50"/>
  <c r="I38" i="50"/>
  <c r="I30" i="50"/>
  <c r="I22" i="50"/>
  <c r="I35" i="50"/>
  <c r="I27" i="50"/>
  <c r="I19" i="50"/>
  <c r="C45" i="50"/>
  <c r="I34" i="50"/>
  <c r="I37" i="50"/>
  <c r="I23" i="50"/>
  <c r="I39" i="50"/>
  <c r="I29" i="50"/>
  <c r="I21" i="50"/>
  <c r="I31" i="50"/>
  <c r="I13" i="50"/>
  <c r="C39" i="51"/>
  <c r="C49" i="47"/>
  <c r="I14" i="50"/>
  <c r="I38" i="54"/>
  <c r="H40" i="53"/>
  <c r="I13" i="51"/>
  <c r="I9" i="44"/>
  <c r="I45" i="44"/>
  <c r="I12" i="44"/>
  <c r="I42" i="44"/>
  <c r="I34" i="44"/>
  <c r="I28" i="44"/>
  <c r="I24" i="44"/>
  <c r="I20" i="44"/>
  <c r="I16" i="44"/>
  <c r="I36" i="44"/>
  <c r="I38" i="44"/>
  <c r="I30" i="44"/>
  <c r="I40" i="44"/>
  <c r="I47" i="44"/>
  <c r="I22" i="44"/>
  <c r="F49" i="44"/>
  <c r="I32" i="44"/>
  <c r="E49" i="44"/>
  <c r="I14" i="44"/>
  <c r="I26" i="44"/>
  <c r="I18" i="44"/>
  <c r="I27" i="54"/>
  <c r="F44" i="46"/>
  <c r="I23" i="44"/>
  <c r="I16" i="50"/>
  <c r="C49" i="44"/>
  <c r="C44" i="46"/>
  <c r="I28" i="37"/>
  <c r="I36" i="42"/>
  <c r="I23" i="31"/>
  <c r="F45" i="33"/>
  <c r="I22" i="31"/>
  <c r="I31" i="23"/>
  <c r="I10" i="18"/>
  <c r="I17" i="26"/>
  <c r="I19" i="18"/>
  <c r="I39" i="11"/>
  <c r="I24" i="11"/>
  <c r="I22" i="11"/>
  <c r="E42" i="11"/>
  <c r="I18" i="11"/>
  <c r="I31" i="11"/>
  <c r="I14" i="11"/>
  <c r="I40" i="11"/>
  <c r="I27" i="11"/>
  <c r="F42" i="11"/>
  <c r="I36" i="11"/>
  <c r="I33" i="11"/>
  <c r="I35" i="11"/>
  <c r="D42" i="11"/>
  <c r="I16" i="11"/>
  <c r="C42" i="11"/>
  <c r="I12" i="11"/>
  <c r="I38" i="11"/>
  <c r="I29" i="11"/>
  <c r="I21" i="18"/>
  <c r="D42" i="31"/>
  <c r="I15" i="18"/>
  <c r="I27" i="22"/>
  <c r="I12" i="14"/>
  <c r="E36" i="14"/>
  <c r="D36" i="14"/>
  <c r="I16" i="14"/>
  <c r="I30" i="14"/>
  <c r="I18" i="14"/>
  <c r="C36" i="14"/>
  <c r="I27" i="14"/>
  <c r="I22" i="14"/>
  <c r="I33" i="5"/>
  <c r="I40" i="21"/>
  <c r="I17" i="24"/>
  <c r="H42" i="20"/>
  <c r="I34" i="31"/>
  <c r="I20" i="18"/>
  <c r="I43" i="10"/>
  <c r="I41" i="10"/>
  <c r="D48" i="10"/>
  <c r="I31" i="10"/>
  <c r="I23" i="10"/>
  <c r="I15" i="10"/>
  <c r="I27" i="10"/>
  <c r="E48" i="10"/>
  <c r="I46" i="10"/>
  <c r="I33" i="10"/>
  <c r="I25" i="10"/>
  <c r="I17" i="10"/>
  <c r="I9" i="10"/>
  <c r="I19" i="10"/>
  <c r="I11" i="10"/>
  <c r="I35" i="10"/>
  <c r="I37" i="10"/>
  <c r="I29" i="10"/>
  <c r="I21" i="10"/>
  <c r="I13" i="10"/>
  <c r="H38" i="28"/>
  <c r="I36" i="23"/>
  <c r="I28" i="13"/>
  <c r="I26" i="7"/>
  <c r="I24" i="10"/>
  <c r="I11" i="7"/>
  <c r="E50" i="13"/>
  <c r="I28" i="14"/>
  <c r="I22" i="6"/>
  <c r="I33" i="6"/>
  <c r="I31" i="68"/>
  <c r="I29" i="68"/>
  <c r="I16" i="68"/>
  <c r="I13" i="68"/>
  <c r="I33" i="68"/>
  <c r="I22" i="68"/>
  <c r="C39" i="68"/>
  <c r="I36" i="68"/>
  <c r="I30" i="68"/>
  <c r="I24" i="68"/>
  <c r="I32" i="68"/>
  <c r="I20" i="68"/>
  <c r="I15" i="68"/>
  <c r="I28" i="68"/>
  <c r="I14" i="68"/>
  <c r="I23" i="68"/>
  <c r="I27" i="68"/>
  <c r="I38" i="67"/>
  <c r="I32" i="67"/>
  <c r="I16" i="67"/>
  <c r="C46" i="67"/>
  <c r="I37" i="67"/>
  <c r="F46" i="67"/>
  <c r="I20" i="67"/>
  <c r="I36" i="67"/>
  <c r="I34" i="67"/>
  <c r="I10" i="67"/>
  <c r="I18" i="67"/>
  <c r="I26" i="67"/>
  <c r="I44" i="67"/>
  <c r="D42" i="61"/>
  <c r="I40" i="61"/>
  <c r="I37" i="61"/>
  <c r="I30" i="61"/>
  <c r="E42" i="61"/>
  <c r="I23" i="61"/>
  <c r="C42" i="61"/>
  <c r="I38" i="61"/>
  <c r="I19" i="61"/>
  <c r="I10" i="61"/>
  <c r="I14" i="61"/>
  <c r="I21" i="61"/>
  <c r="I31" i="61"/>
  <c r="I28" i="61"/>
  <c r="I39" i="61"/>
  <c r="I35" i="61"/>
  <c r="H39" i="52"/>
  <c r="I23" i="55"/>
  <c r="I33" i="58"/>
  <c r="I15" i="58"/>
  <c r="F40" i="58"/>
  <c r="I11" i="58"/>
  <c r="I36" i="58"/>
  <c r="I27" i="58"/>
  <c r="I20" i="58"/>
  <c r="I13" i="58"/>
  <c r="I22" i="58"/>
  <c r="C40" i="58"/>
  <c r="I18" i="58"/>
  <c r="I29" i="58"/>
  <c r="I21" i="58"/>
  <c r="I25" i="58"/>
  <c r="I38" i="58"/>
  <c r="I31" i="58"/>
  <c r="I34" i="58"/>
  <c r="D40" i="58"/>
  <c r="I28" i="58"/>
  <c r="I22" i="62"/>
  <c r="I12" i="58"/>
  <c r="I40" i="45"/>
  <c r="I21" i="45"/>
  <c r="I18" i="45"/>
  <c r="I34" i="45"/>
  <c r="I13" i="45"/>
  <c r="I11" i="45"/>
  <c r="I9" i="45"/>
  <c r="I23" i="45"/>
  <c r="I15" i="45"/>
  <c r="I17" i="45"/>
  <c r="I24" i="45"/>
  <c r="I16" i="45"/>
  <c r="I30" i="45"/>
  <c r="I33" i="45"/>
  <c r="I32" i="45"/>
  <c r="I39" i="67"/>
  <c r="I38" i="47"/>
  <c r="F45" i="50"/>
  <c r="I28" i="45"/>
  <c r="E45" i="37"/>
  <c r="I37" i="37"/>
  <c r="I35" i="37"/>
  <c r="I33" i="37"/>
  <c r="I31" i="37"/>
  <c r="I29" i="37"/>
  <c r="I36" i="37"/>
  <c r="I38" i="37"/>
  <c r="I9" i="37"/>
  <c r="F45" i="37"/>
  <c r="I32" i="37"/>
  <c r="I34" i="37"/>
  <c r="I30" i="37"/>
  <c r="I27" i="37"/>
  <c r="F42" i="31"/>
  <c r="I20" i="42"/>
  <c r="I12" i="33"/>
  <c r="I22" i="37"/>
  <c r="I10" i="37"/>
  <c r="I13" i="18"/>
  <c r="E38" i="26"/>
  <c r="I32" i="26"/>
  <c r="I20" i="26"/>
  <c r="I15" i="26"/>
  <c r="I13" i="26"/>
  <c r="I35" i="26"/>
  <c r="I21" i="26"/>
  <c r="I16" i="26"/>
  <c r="I23" i="26"/>
  <c r="I11" i="26"/>
  <c r="F38" i="26"/>
  <c r="I32" i="18"/>
  <c r="I33" i="26"/>
  <c r="I33" i="18"/>
  <c r="I11" i="11"/>
  <c r="I31" i="5"/>
  <c r="I32" i="21"/>
  <c r="F22" i="19"/>
  <c r="D22" i="19"/>
  <c r="C22" i="19"/>
  <c r="I37" i="11"/>
  <c r="C47" i="21"/>
  <c r="I36" i="15"/>
  <c r="I14" i="15"/>
  <c r="I11" i="15"/>
  <c r="I23" i="15"/>
  <c r="I16" i="15"/>
  <c r="F40" i="15"/>
  <c r="I25" i="15"/>
  <c r="I35" i="15"/>
  <c r="I10" i="15"/>
  <c r="I18" i="15"/>
  <c r="I34" i="15"/>
  <c r="E40" i="15"/>
  <c r="I37" i="15"/>
  <c r="C40" i="15"/>
  <c r="I12" i="15"/>
  <c r="I28" i="11"/>
  <c r="E49" i="27"/>
  <c r="I22" i="21"/>
  <c r="E39" i="28"/>
  <c r="I35" i="28"/>
  <c r="I15" i="28"/>
  <c r="I36" i="28"/>
  <c r="I34" i="28"/>
  <c r="I25" i="28"/>
  <c r="I16" i="28"/>
  <c r="I14" i="28"/>
  <c r="I24" i="28"/>
  <c r="I20" i="28"/>
  <c r="I13" i="28"/>
  <c r="I33" i="28"/>
  <c r="I22" i="28"/>
  <c r="I18" i="28"/>
  <c r="I27" i="23"/>
  <c r="I23" i="11"/>
  <c r="I34" i="18"/>
  <c r="I35" i="12"/>
  <c r="I33" i="12"/>
  <c r="I31" i="12"/>
  <c r="I22" i="12"/>
  <c r="I20" i="12"/>
  <c r="I9" i="12"/>
  <c r="E41" i="12"/>
  <c r="I27" i="12"/>
  <c r="I16" i="12"/>
  <c r="I12" i="12"/>
  <c r="I36" i="12"/>
  <c r="I18" i="12"/>
  <c r="I14" i="12"/>
  <c r="I25" i="12"/>
  <c r="C41" i="12"/>
  <c r="I38" i="12"/>
  <c r="I10" i="12"/>
  <c r="I32" i="11"/>
  <c r="I16" i="10"/>
  <c r="I24" i="6"/>
  <c r="I39" i="6"/>
  <c r="I15" i="7"/>
  <c r="I28" i="6"/>
  <c r="I14" i="67"/>
  <c r="I35" i="68"/>
  <c r="I25" i="67"/>
  <c r="I33" i="61"/>
  <c r="I24" i="67"/>
  <c r="I41" i="55"/>
  <c r="I30" i="52"/>
  <c r="I22" i="52"/>
  <c r="I14" i="52"/>
  <c r="I35" i="52"/>
  <c r="I27" i="52"/>
  <c r="I19" i="52"/>
  <c r="I11" i="52"/>
  <c r="I32" i="52"/>
  <c r="I24" i="52"/>
  <c r="I16" i="52"/>
  <c r="I28" i="52"/>
  <c r="I18" i="52"/>
  <c r="I34" i="52"/>
  <c r="I20" i="52"/>
  <c r="I10" i="52"/>
  <c r="F40" i="52"/>
  <c r="I12" i="52"/>
  <c r="I36" i="52"/>
  <c r="I15" i="52"/>
  <c r="I26" i="52"/>
  <c r="I32" i="51"/>
  <c r="I39" i="53"/>
  <c r="I28" i="53"/>
  <c r="I19" i="53"/>
  <c r="I37" i="53"/>
  <c r="I24" i="53"/>
  <c r="I17" i="53"/>
  <c r="I26" i="53"/>
  <c r="F41" i="53"/>
  <c r="I18" i="53"/>
  <c r="I15" i="53"/>
  <c r="I27" i="53"/>
  <c r="I31" i="53"/>
  <c r="I38" i="53"/>
  <c r="I35" i="53"/>
  <c r="E41" i="53"/>
  <c r="I16" i="51"/>
  <c r="I20" i="57"/>
  <c r="I18" i="57"/>
  <c r="I10" i="57"/>
  <c r="I12" i="57"/>
  <c r="I14" i="57"/>
  <c r="I23" i="57"/>
  <c r="C28" i="57"/>
  <c r="I25" i="57"/>
  <c r="I16" i="57"/>
  <c r="I34" i="54"/>
  <c r="I37" i="52"/>
  <c r="I29" i="52"/>
  <c r="I25" i="45"/>
  <c r="I27" i="46"/>
  <c r="I21" i="44"/>
  <c r="H35" i="36"/>
  <c r="D49" i="44"/>
  <c r="I16" i="42"/>
  <c r="I11" i="50"/>
  <c r="I41" i="44"/>
  <c r="I19" i="44"/>
  <c r="I10" i="44"/>
  <c r="I42" i="37"/>
  <c r="I16" i="37"/>
  <c r="I35" i="31"/>
  <c r="I28" i="31"/>
  <c r="I26" i="31"/>
  <c r="I9" i="31"/>
  <c r="I20" i="31"/>
  <c r="I17" i="31"/>
  <c r="I14" i="31"/>
  <c r="I38" i="31"/>
  <c r="I16" i="31"/>
  <c r="I11" i="31"/>
  <c r="I24" i="31"/>
  <c r="I10" i="31"/>
  <c r="I30" i="31"/>
  <c r="I13" i="31"/>
  <c r="I15" i="31"/>
  <c r="I12" i="31"/>
  <c r="I18" i="31"/>
  <c r="I12" i="40"/>
  <c r="H44" i="33"/>
  <c r="I21" i="31"/>
  <c r="I12" i="22"/>
  <c r="I32" i="31"/>
  <c r="I39" i="45"/>
  <c r="I19" i="31"/>
  <c r="I29" i="22"/>
  <c r="I30" i="18"/>
  <c r="I36" i="26"/>
  <c r="I9" i="18"/>
  <c r="I17" i="23"/>
  <c r="I24" i="18"/>
  <c r="I35" i="23"/>
  <c r="H46" i="21"/>
  <c r="I18" i="18"/>
  <c r="I25" i="14"/>
  <c r="I29" i="5"/>
  <c r="I36" i="18"/>
  <c r="D44" i="24"/>
  <c r="E39" i="18"/>
  <c r="I21" i="11"/>
  <c r="I12" i="18"/>
  <c r="I23" i="14"/>
  <c r="I34" i="24"/>
  <c r="I32" i="13"/>
  <c r="I20" i="11"/>
  <c r="I24" i="26"/>
  <c r="I31" i="6"/>
  <c r="I19" i="23"/>
  <c r="I12" i="19"/>
  <c r="I22" i="15"/>
  <c r="I19" i="11"/>
  <c r="I29" i="26"/>
  <c r="I28" i="18"/>
  <c r="I20" i="14"/>
  <c r="I32" i="12"/>
  <c r="I34" i="9"/>
  <c r="I11" i="9"/>
  <c r="C37" i="9"/>
  <c r="I30" i="9"/>
  <c r="I22" i="9"/>
  <c r="I19" i="9"/>
  <c r="I16" i="9"/>
  <c r="I20" i="9"/>
  <c r="I24" i="9"/>
  <c r="I21" i="9"/>
  <c r="I13" i="9"/>
  <c r="D37" i="9"/>
  <c r="I18" i="9"/>
  <c r="F37" i="9"/>
  <c r="I26" i="9"/>
  <c r="I28" i="9"/>
  <c r="I14" i="9"/>
  <c r="D49" i="5"/>
  <c r="I20" i="6"/>
  <c r="I12" i="6"/>
  <c r="H37" i="75"/>
  <c r="H19" i="74"/>
  <c r="F45" i="76"/>
  <c r="I42" i="76"/>
  <c r="D45" i="76"/>
  <c r="D39" i="68"/>
  <c r="I34" i="68"/>
  <c r="I44" i="73"/>
  <c r="I41" i="73"/>
  <c r="I38" i="73"/>
  <c r="I33" i="73"/>
  <c r="I31" i="73"/>
  <c r="I29" i="73"/>
  <c r="I27" i="73"/>
  <c r="I25" i="73"/>
  <c r="I23" i="73"/>
  <c r="I21" i="73"/>
  <c r="I19" i="73"/>
  <c r="I17" i="73"/>
  <c r="I15" i="73"/>
  <c r="I13" i="73"/>
  <c r="I11" i="73"/>
  <c r="I9" i="73"/>
  <c r="I34" i="73"/>
  <c r="I18" i="73"/>
  <c r="I22" i="73"/>
  <c r="I26" i="73"/>
  <c r="I10" i="73"/>
  <c r="F46" i="73"/>
  <c r="I42" i="73"/>
  <c r="I28" i="73"/>
  <c r="I12" i="73"/>
  <c r="I32" i="73"/>
  <c r="I24" i="73"/>
  <c r="I16" i="73"/>
  <c r="I20" i="73"/>
  <c r="I14" i="73"/>
  <c r="I39" i="73"/>
  <c r="I30" i="73"/>
  <c r="I12" i="68"/>
  <c r="I18" i="68"/>
  <c r="I29" i="76"/>
  <c r="I21" i="68"/>
  <c r="I30" i="67"/>
  <c r="I9" i="62"/>
  <c r="I19" i="62"/>
  <c r="I30" i="51"/>
  <c r="I48" i="62"/>
  <c r="I22" i="61"/>
  <c r="I44" i="47"/>
  <c r="I19" i="55"/>
  <c r="I16" i="54"/>
  <c r="I24" i="50"/>
  <c r="I44" i="56"/>
  <c r="I42" i="56"/>
  <c r="I9" i="56"/>
  <c r="I23" i="56"/>
  <c r="I18" i="56"/>
  <c r="I36" i="56"/>
  <c r="I28" i="56"/>
  <c r="I20" i="56"/>
  <c r="I12" i="56"/>
  <c r="I34" i="56"/>
  <c r="I40" i="56"/>
  <c r="I37" i="56"/>
  <c r="I24" i="56"/>
  <c r="I21" i="56"/>
  <c r="E46" i="56"/>
  <c r="I30" i="56"/>
  <c r="D46" i="56"/>
  <c r="I26" i="56"/>
  <c r="I14" i="56"/>
  <c r="I38" i="56"/>
  <c r="I16" i="56"/>
  <c r="I22" i="56"/>
  <c r="I32" i="56"/>
  <c r="I29" i="56"/>
  <c r="I40" i="47"/>
  <c r="I13" i="56"/>
  <c r="I39" i="47"/>
  <c r="I13" i="52"/>
  <c r="I35" i="47"/>
  <c r="I22" i="45"/>
  <c r="I42" i="42"/>
  <c r="I40" i="42"/>
  <c r="I38" i="42"/>
  <c r="F47" i="42"/>
  <c r="I37" i="42"/>
  <c r="I29" i="42"/>
  <c r="I21" i="42"/>
  <c r="I13" i="42"/>
  <c r="E47" i="42"/>
  <c r="I45" i="42"/>
  <c r="D47" i="42"/>
  <c r="C47" i="42"/>
  <c r="I33" i="42"/>
  <c r="I17" i="42"/>
  <c r="I43" i="42"/>
  <c r="I25" i="42"/>
  <c r="I9" i="42"/>
  <c r="I20" i="51"/>
  <c r="I46" i="44"/>
  <c r="D39" i="51"/>
  <c r="I39" i="44"/>
  <c r="I26" i="42"/>
  <c r="I43" i="37"/>
  <c r="I15" i="42"/>
  <c r="I43" i="44"/>
  <c r="I30" i="42"/>
  <c r="I42" i="33"/>
  <c r="I35" i="33"/>
  <c r="I32" i="33"/>
  <c r="I10" i="33"/>
  <c r="I41" i="33"/>
  <c r="I38" i="33"/>
  <c r="I22" i="33"/>
  <c r="I43" i="33"/>
  <c r="I31" i="33"/>
  <c r="I34" i="33"/>
  <c r="C45" i="33"/>
  <c r="I33" i="33"/>
  <c r="I9" i="33"/>
  <c r="I30" i="33"/>
  <c r="I33" i="31"/>
  <c r="F31" i="22"/>
  <c r="D31" i="22"/>
  <c r="E31" i="22"/>
  <c r="I13" i="22"/>
  <c r="I17" i="22"/>
  <c r="I21" i="22"/>
  <c r="I15" i="22"/>
  <c r="I10" i="22"/>
  <c r="I25" i="31"/>
  <c r="I25" i="22"/>
  <c r="I9" i="22"/>
  <c r="H41" i="11"/>
  <c r="I16" i="18"/>
  <c r="H39" i="16"/>
  <c r="E47" i="21"/>
  <c r="I41" i="21"/>
  <c r="I39" i="21"/>
  <c r="I37" i="21"/>
  <c r="I35" i="21"/>
  <c r="I33" i="21"/>
  <c r="I31" i="21"/>
  <c r="I10" i="21"/>
  <c r="I27" i="21"/>
  <c r="I23" i="21"/>
  <c r="I19" i="21"/>
  <c r="F47" i="21"/>
  <c r="I29" i="21"/>
  <c r="I25" i="21"/>
  <c r="I21" i="21"/>
  <c r="I43" i="5"/>
  <c r="I27" i="5"/>
  <c r="I34" i="14"/>
  <c r="I17" i="11"/>
  <c r="I33" i="14"/>
  <c r="I10" i="11"/>
  <c r="I15" i="21"/>
  <c r="H48" i="5"/>
  <c r="I40" i="5"/>
  <c r="I13" i="15"/>
  <c r="I14" i="14"/>
  <c r="F48" i="10"/>
  <c r="D41" i="7"/>
  <c r="I27" i="7"/>
  <c r="I12" i="7"/>
  <c r="I19" i="7"/>
  <c r="I35" i="7"/>
  <c r="I29" i="7"/>
  <c r="I21" i="7"/>
  <c r="I9" i="7"/>
  <c r="C41" i="7"/>
  <c r="I26" i="11"/>
  <c r="H41" i="8"/>
  <c r="I16" i="6"/>
  <c r="I14" i="6"/>
  <c r="I38" i="5"/>
  <c r="C48" i="10"/>
  <c r="I46" i="5"/>
  <c r="I36" i="5"/>
  <c r="H37" i="70"/>
  <c r="I17" i="76"/>
  <c r="D46" i="67"/>
  <c r="I24" i="76"/>
  <c r="I26" i="68"/>
  <c r="I35" i="67"/>
  <c r="I31" i="67"/>
  <c r="I40" i="67"/>
  <c r="I17" i="67"/>
  <c r="I47" i="62"/>
  <c r="I18" i="62"/>
  <c r="I16" i="62"/>
  <c r="I14" i="62"/>
  <c r="I24" i="62"/>
  <c r="I15" i="62"/>
  <c r="I12" i="62"/>
  <c r="I45" i="62"/>
  <c r="F50" i="62"/>
  <c r="I11" i="62"/>
  <c r="C50" i="62"/>
  <c r="I46" i="62"/>
  <c r="I13" i="62"/>
  <c r="I41" i="62"/>
  <c r="I43" i="62"/>
  <c r="I10" i="62"/>
  <c r="I26" i="62"/>
  <c r="E50" i="62"/>
  <c r="E39" i="68"/>
  <c r="I11" i="68"/>
  <c r="I29" i="77"/>
  <c r="I27" i="77"/>
  <c r="I25" i="77"/>
  <c r="I23" i="77"/>
  <c r="I21" i="77"/>
  <c r="I19" i="77"/>
  <c r="I35" i="77"/>
  <c r="I18" i="77"/>
  <c r="I16" i="77"/>
  <c r="I14" i="77"/>
  <c r="I12" i="77"/>
  <c r="I10" i="77"/>
  <c r="I32" i="77"/>
  <c r="I34" i="77"/>
  <c r="C39" i="77"/>
  <c r="F39" i="77"/>
  <c r="I31" i="77"/>
  <c r="I33" i="77"/>
  <c r="I26" i="61"/>
  <c r="F42" i="61"/>
  <c r="H37" i="59"/>
  <c r="I40" i="62"/>
  <c r="I33" i="52"/>
  <c r="I44" i="62"/>
  <c r="E41" i="54"/>
  <c r="I24" i="54"/>
  <c r="I36" i="54"/>
  <c r="I29" i="54"/>
  <c r="I9" i="54"/>
  <c r="I25" i="54"/>
  <c r="I33" i="54"/>
  <c r="I14" i="54"/>
  <c r="I22" i="54"/>
  <c r="C45" i="55"/>
  <c r="C40" i="52"/>
  <c r="C41" i="54"/>
  <c r="I28" i="51"/>
  <c r="I12" i="53"/>
  <c r="I12" i="54"/>
  <c r="I27" i="67"/>
  <c r="I15" i="54"/>
  <c r="I23" i="51"/>
  <c r="I40" i="46"/>
  <c r="D44" i="46"/>
  <c r="I42" i="46"/>
  <c r="I36" i="46"/>
  <c r="I28" i="46"/>
  <c r="I19" i="46"/>
  <c r="I13" i="46"/>
  <c r="I35" i="46"/>
  <c r="I10" i="46"/>
  <c r="I20" i="46"/>
  <c r="I9" i="46"/>
  <c r="I26" i="46"/>
  <c r="I29" i="46"/>
  <c r="I32" i="46"/>
  <c r="I15" i="46"/>
  <c r="I31" i="46"/>
  <c r="I37" i="46"/>
  <c r="I34" i="46"/>
  <c r="D45" i="50"/>
  <c r="I18" i="46"/>
  <c r="I18" i="50"/>
  <c r="E42" i="45"/>
  <c r="I37" i="44"/>
  <c r="I17" i="44"/>
  <c r="I31" i="45"/>
  <c r="C42" i="45"/>
  <c r="H42" i="39"/>
  <c r="I37" i="54"/>
  <c r="I33" i="44"/>
  <c r="I15" i="44"/>
  <c r="I18" i="42"/>
  <c r="I23" i="46"/>
  <c r="I22" i="42"/>
  <c r="H48" i="48"/>
  <c r="I41" i="42"/>
  <c r="I25" i="37"/>
  <c r="I38" i="35"/>
  <c r="I36" i="35"/>
  <c r="I34" i="35"/>
  <c r="I32" i="35"/>
  <c r="I19" i="35"/>
  <c r="D41" i="35"/>
  <c r="I29" i="35"/>
  <c r="C41" i="35"/>
  <c r="I16" i="35"/>
  <c r="I31" i="35"/>
  <c r="I28" i="35"/>
  <c r="I33" i="35"/>
  <c r="I37" i="35"/>
  <c r="I30" i="35"/>
  <c r="I39" i="35"/>
  <c r="I27" i="35"/>
  <c r="I15" i="35"/>
  <c r="I9" i="35"/>
  <c r="I18" i="35"/>
  <c r="E41" i="35"/>
  <c r="I35" i="35"/>
  <c r="I36" i="40"/>
  <c r="I15" i="40"/>
  <c r="F40" i="40"/>
  <c r="I24" i="40"/>
  <c r="E40" i="40"/>
  <c r="D40" i="40"/>
  <c r="I37" i="40"/>
  <c r="C40" i="40"/>
  <c r="I34" i="40"/>
  <c r="I29" i="40"/>
  <c r="I9" i="40"/>
  <c r="I13" i="40"/>
  <c r="I20" i="40"/>
  <c r="I23" i="40"/>
  <c r="I16" i="40"/>
  <c r="I35" i="40"/>
  <c r="I24" i="37"/>
  <c r="I14" i="42"/>
  <c r="I10" i="35"/>
  <c r="D45" i="37"/>
  <c r="I24" i="35"/>
  <c r="I40" i="33"/>
  <c r="I24" i="22"/>
  <c r="C41" i="23"/>
  <c r="I32" i="23"/>
  <c r="I30" i="23"/>
  <c r="I28" i="23"/>
  <c r="I26" i="23"/>
  <c r="I24" i="23"/>
  <c r="E41" i="23"/>
  <c r="I37" i="23"/>
  <c r="I20" i="23"/>
  <c r="I16" i="23"/>
  <c r="I12" i="23"/>
  <c r="F41" i="23"/>
  <c r="I22" i="23"/>
  <c r="D41" i="23"/>
  <c r="I39" i="23"/>
  <c r="I14" i="23"/>
  <c r="I18" i="23"/>
  <c r="I35" i="44"/>
  <c r="I9" i="26"/>
  <c r="C38" i="26"/>
  <c r="I22" i="18"/>
  <c r="I18" i="37"/>
  <c r="I25" i="33"/>
  <c r="I31" i="26"/>
  <c r="F49" i="27"/>
  <c r="I45" i="27"/>
  <c r="I38" i="27"/>
  <c r="I36" i="27"/>
  <c r="I34" i="27"/>
  <c r="I32" i="27"/>
  <c r="I30" i="27"/>
  <c r="I28" i="27"/>
  <c r="I26" i="27"/>
  <c r="I24" i="27"/>
  <c r="I22" i="27"/>
  <c r="I20" i="27"/>
  <c r="I18" i="27"/>
  <c r="I16" i="27"/>
  <c r="I14" i="27"/>
  <c r="I12" i="27"/>
  <c r="I10" i="27"/>
  <c r="C49" i="27"/>
  <c r="I43" i="27"/>
  <c r="I46" i="27"/>
  <c r="I39" i="27"/>
  <c r="I41" i="27"/>
  <c r="I33" i="23"/>
  <c r="H38" i="18"/>
  <c r="I17" i="27"/>
  <c r="I28" i="22"/>
  <c r="I37" i="18"/>
  <c r="I35" i="27"/>
  <c r="C44" i="24"/>
  <c r="I42" i="24"/>
  <c r="I30" i="24"/>
  <c r="I28" i="24"/>
  <c r="I21" i="24"/>
  <c r="E44" i="24"/>
  <c r="I26" i="24"/>
  <c r="I40" i="24"/>
  <c r="I10" i="24"/>
  <c r="I35" i="24"/>
  <c r="I12" i="24"/>
  <c r="F44" i="24"/>
  <c r="I19" i="24"/>
  <c r="I33" i="24"/>
  <c r="I13" i="33"/>
  <c r="I17" i="19"/>
  <c r="I9" i="21"/>
  <c r="I41" i="5"/>
  <c r="I25" i="5"/>
  <c r="C42" i="6"/>
  <c r="I32" i="6"/>
  <c r="I35" i="6"/>
  <c r="I34" i="6"/>
  <c r="I29" i="6"/>
  <c r="I27" i="6"/>
  <c r="I25" i="6"/>
  <c r="I23" i="6"/>
  <c r="I21" i="6"/>
  <c r="I19" i="6"/>
  <c r="I17" i="6"/>
  <c r="I15" i="6"/>
  <c r="I13" i="6"/>
  <c r="I11" i="6"/>
  <c r="I9" i="6"/>
  <c r="I38" i="6"/>
  <c r="E42" i="6"/>
  <c r="I21" i="40"/>
  <c r="I39" i="24"/>
  <c r="I17" i="18"/>
  <c r="I45" i="13"/>
  <c r="I40" i="13"/>
  <c r="I38" i="13"/>
  <c r="I27" i="13"/>
  <c r="I11" i="13"/>
  <c r="D50" i="13"/>
  <c r="I33" i="13"/>
  <c r="I17" i="13"/>
  <c r="I46" i="13"/>
  <c r="I39" i="13"/>
  <c r="I23" i="13"/>
  <c r="I42" i="13"/>
  <c r="I29" i="13"/>
  <c r="I13" i="13"/>
  <c r="I9" i="13"/>
  <c r="I35" i="13"/>
  <c r="I19" i="13"/>
  <c r="I25" i="13"/>
  <c r="I48" i="13"/>
  <c r="I31" i="13"/>
  <c r="I15" i="13"/>
  <c r="I44" i="13"/>
  <c r="I37" i="13"/>
  <c r="I21" i="13"/>
  <c r="H36" i="9"/>
  <c r="I18" i="5"/>
  <c r="C50" i="13"/>
  <c r="I11" i="22"/>
  <c r="I13" i="11"/>
  <c r="I19" i="26"/>
  <c r="I34" i="5"/>
  <c r="I34" i="13"/>
  <c r="I42" i="5"/>
  <c r="I44" i="5"/>
  <c r="I22" i="5"/>
  <c r="I26" i="6"/>
  <c r="I30" i="5"/>
  <c r="I18" i="6"/>
</calcChain>
</file>

<file path=xl/sharedStrings.xml><?xml version="1.0" encoding="utf-8"?>
<sst xmlns="http://schemas.openxmlformats.org/spreadsheetml/2006/main" count="10044" uniqueCount="357">
  <si>
    <t>PRODUTTORE</t>
  </si>
  <si>
    <t>COMUNE DI AMARO</t>
  </si>
  <si>
    <t>PERIODO</t>
  </si>
  <si>
    <t>01/01/2024 - 30/11/2024</t>
  </si>
  <si>
    <t>ABITANTI</t>
  </si>
  <si>
    <t>KG/PERIODO</t>
  </si>
  <si>
    <t>GRUPPO RIFIUTI</t>
  </si>
  <si>
    <t>RIFIUTO</t>
  </si>
  <si>
    <t>DOMICILIARE</t>
  </si>
  <si>
    <t>STRADALE</t>
  </si>
  <si>
    <t>CDR</t>
  </si>
  <si>
    <t>ALTRO</t>
  </si>
  <si>
    <t>TOTALE</t>
  </si>
  <si>
    <t>KG/AB/PERIODO</t>
  </si>
  <si>
    <t>% TOTALE</t>
  </si>
  <si>
    <t>% SU 2023</t>
  </si>
  <si>
    <t>Rifiuti urbani differenziati</t>
  </si>
  <si>
    <t>080318 - Toner</t>
  </si>
  <si>
    <t>150101 - imballaggi in carta e cartone</t>
  </si>
  <si>
    <t>150106 - Multimateriale Plastica + lattine</t>
  </si>
  <si>
    <t>150107 - Imballaggi in vetro</t>
  </si>
  <si>
    <t>150111 - * Bombolette spray</t>
  </si>
  <si>
    <t>160103 - Pneumatici</t>
  </si>
  <si>
    <t>170904 - Inerti</t>
  </si>
  <si>
    <t>200101 - Carta e cartone</t>
  </si>
  <si>
    <t>200102 - Lastre di vetro</t>
  </si>
  <si>
    <t>200108 - Umido</t>
  </si>
  <si>
    <t>200110 - Abbigliamento</t>
  </si>
  <si>
    <t>200111 - Prodotti tessili</t>
  </si>
  <si>
    <t>200123 - * RAEE R1 (Frigoriferi)</t>
  </si>
  <si>
    <t>200125 - Oli vegetali</t>
  </si>
  <si>
    <t>200126 - * Oli pericolosi</t>
  </si>
  <si>
    <t>200127 - * Pitture e vernici pericolose</t>
  </si>
  <si>
    <t>200132 - Medicinali scaduti</t>
  </si>
  <si>
    <t>200133 - * Batterie al piombo</t>
  </si>
  <si>
    <t>200133 - * Pile portatili</t>
  </si>
  <si>
    <t>200135 - * RAEE R3 (TV e monitor)</t>
  </si>
  <si>
    <t>200136 - RAEE R2 (Lavatrici)</t>
  </si>
  <si>
    <t>200138 - Legno</t>
  </si>
  <si>
    <t>200139 - Plastiche dure</t>
  </si>
  <si>
    <t>200140 - Metallo</t>
  </si>
  <si>
    <t>200201 - Verde</t>
  </si>
  <si>
    <t>200121 - * RAEE R5 (Lampade fluorescenti)</t>
  </si>
  <si>
    <t>200136 - RAEE R4 (Piccoli elettrodomestici)</t>
  </si>
  <si>
    <t>Rifiuti urbani non differenziati</t>
  </si>
  <si>
    <t>200301 - R.S.U. Secco residuo</t>
  </si>
  <si>
    <t>200307 - Ingombranti</t>
  </si>
  <si>
    <t>200303 - Residui della pulizia stradale</t>
  </si>
  <si>
    <t>Altri rifiuti urbani</t>
  </si>
  <si>
    <t>170603 - * Altri materiali isolanti</t>
  </si>
  <si>
    <t>170802 - Mater. da costruz. a base di gesso</t>
  </si>
  <si>
    <t>160216 - Toner</t>
  </si>
  <si>
    <t>* rifiuti pericolosi</t>
  </si>
  <si>
    <t>GRUPPO RIFIUTI (kg/periodo)</t>
  </si>
  <si>
    <t>RIFIUTI URBANI DIFFERENZIATI</t>
  </si>
  <si>
    <t>RIFIUTI URBANI NON DIFFERENZIATI</t>
  </si>
  <si>
    <t>ALTRI RIFIUTI URBANI</t>
  </si>
  <si>
    <t>PERCENTUALE RACCOLTA DIFFERENZIATA</t>
  </si>
  <si>
    <t>PERCENTUALE RACCOLTA DIFFERENZIATA (ARPA)</t>
  </si>
  <si>
    <t>2023 A&amp;T 2000</t>
  </si>
  <si>
    <t>LEGENDA</t>
  </si>
  <si>
    <t>'2023</t>
  </si>
  <si>
    <t>% RD calcolata secondo le linee guida ARPA</t>
  </si>
  <si>
    <t>% RD del Comune 
nell'anno 2024</t>
  </si>
  <si>
    <t>% RD del Comune 
nell'anno 2023</t>
  </si>
  <si>
    <t>% RD media del bacino 
di A&amp;T2000 nell'anno 2023</t>
  </si>
  <si>
    <t>PERCENTUALE RACCOLTA DIFFERENZIATA (A&amp;T 2000)</t>
  </si>
  <si>
    <t>% RD calcolata al netto degli scarti dei rifiuti raccolti</t>
  </si>
  <si>
    <t>DIFFERENZIALI PRINCIPALI PARAMETRI (kg/ab anno)</t>
  </si>
  <si>
    <t>COMUNE DI AMARO**</t>
  </si>
  <si>
    <t>A&amp;T 2000 **</t>
  </si>
  <si>
    <t>TARIC **</t>
  </si>
  <si>
    <t>PROIEZIONE ***</t>
  </si>
  <si>
    <t>SECCO RESIDUO</t>
  </si>
  <si>
    <t>ORGANICO</t>
  </si>
  <si>
    <t>RIF. DIFF.</t>
  </si>
  <si>
    <t>RIF. NON DIFF.</t>
  </si>
  <si>
    <t>COMUNE DI ________**</t>
  </si>
  <si>
    <t>media degli ultimi 5 anni del Comune diAMARO</t>
  </si>
  <si>
    <t>media degli ultimi 5 anni di tutti i Comuni del bacino di A&amp;T 2000</t>
  </si>
  <si>
    <t>media degli ultimi 5 anni dei Comuni dove si applica la TARIC</t>
  </si>
  <si>
    <t>Proiezione dei dati parziali sull'anno in corso</t>
  </si>
  <si>
    <t>COMUNE DI AMPEZZO</t>
  </si>
  <si>
    <t>COMUNE DI AMPEZZO**</t>
  </si>
  <si>
    <t>media degli ultimi 5 anni del Comune diAMPEZZO</t>
  </si>
  <si>
    <t>COMUNE DI ARTA TERME</t>
  </si>
  <si>
    <t>170604 - Materiali isolanti</t>
  </si>
  <si>
    <t>COMUNE DI ARTA TERME**</t>
  </si>
  <si>
    <t>media degli ultimi 5 anni del Comune diARTA TERME</t>
  </si>
  <si>
    <t>COMUNE DI ARTEGNA</t>
  </si>
  <si>
    <t>150102 - Imballaggi in plastica</t>
  </si>
  <si>
    <t>COMUNE DI ARTEGNA**</t>
  </si>
  <si>
    <t>media degli ultimi 5 anni del Comune diARTEGNA</t>
  </si>
  <si>
    <t>COMUNE DI BASILIANO</t>
  </si>
  <si>
    <t>170204 - Vetro, plastica e legno pericolosi</t>
  </si>
  <si>
    <t>150110 - * Imballaggi per pitture e vernici</t>
  </si>
  <si>
    <t>160304 - Rifiuti inorganici</t>
  </si>
  <si>
    <t>160504 - Bombolette spray</t>
  </si>
  <si>
    <t>170301 - Miscele bituminose contenenti catrame di carbone</t>
  </si>
  <si>
    <t>170101 - Cemento</t>
  </si>
  <si>
    <t>COMUNE DI BASILIANO**</t>
  </si>
  <si>
    <t>media degli ultimi 5 anni del Comune diBASILIANO</t>
  </si>
  <si>
    <t>COMUNE DI BERTIOLO</t>
  </si>
  <si>
    <t>COMUNE DI BERTIOLO**</t>
  </si>
  <si>
    <t>media degli ultimi 5 anni del Comune diBERTIOLO</t>
  </si>
  <si>
    <t>COMUNE DI BORDANO</t>
  </si>
  <si>
    <t>COMUNE DI BORDANO**</t>
  </si>
  <si>
    <t>media degli ultimi 5 anni del Comune diBORDANO</t>
  </si>
  <si>
    <t>COMUNE DI BUTTRIO</t>
  </si>
  <si>
    <t>COMUNE DI BUTTRIO**</t>
  </si>
  <si>
    <t>media degli ultimi 5 anni del Comune diBUTTRIO</t>
  </si>
  <si>
    <t>COMUNE DI CAMINO AL TAGLIAMENTO</t>
  </si>
  <si>
    <t>COMUNE DI CAMINO AL TAGLIAMENTO**</t>
  </si>
  <si>
    <t>media degli ultimi 5 anni del Comune diCAMINO AL TAGLIAMENTO</t>
  </si>
  <si>
    <t>COMUNE DI CAMPOFORMIDO</t>
  </si>
  <si>
    <t>200306 - Pulizia fognature</t>
  </si>
  <si>
    <t>170201 - LEgno</t>
  </si>
  <si>
    <t>COMUNE DI CAMPOFORMIDO**</t>
  </si>
  <si>
    <t>media degli ultimi 5 anni del Comune diCAMPOFORMIDO</t>
  </si>
  <si>
    <t>COMUNE DI CAVAZZO CARNICO</t>
  </si>
  <si>
    <t>200304 - fanghi</t>
  </si>
  <si>
    <t>COMUNE DI CAVAZZO CARNICO**</t>
  </si>
  <si>
    <t>media degli ultimi 5 anni del Comune diCAVAZZO CARNICO</t>
  </si>
  <si>
    <t>COMUNE DI CERCIVENTO</t>
  </si>
  <si>
    <t>COMUNE DI CERCIVENTO**</t>
  </si>
  <si>
    <t>media degli ultimi 5 anni del Comune diCERCIVENTO</t>
  </si>
  <si>
    <t>COMUNE DI CODROIPO</t>
  </si>
  <si>
    <t>170503 - Terre e rocce, contenenti sostanze pericolose</t>
  </si>
  <si>
    <t>160708 - rifiuti contenenti olio</t>
  </si>
  <si>
    <t>160305 - * Rifiuti organici pericolosi</t>
  </si>
  <si>
    <t>COMUNE DI CODROIPO**</t>
  </si>
  <si>
    <t>media degli ultimi 5 anni del Comune diCODROIPO</t>
  </si>
  <si>
    <t>COMUNE DI COLLOREDO DI MONTE ALBANO</t>
  </si>
  <si>
    <t>150104 - Imballaggi metallici (lattine)</t>
  </si>
  <si>
    <t>COMUNE DI COLLOREDO DI MONTE ALBANO**</t>
  </si>
  <si>
    <t>media degli ultimi 5 anni del Comune diCOLLOREDO DI MONTE ALBANO</t>
  </si>
  <si>
    <t>COMUNE DI COMEGLIANS</t>
  </si>
  <si>
    <t>COMUNE DI COMEGLIANS**</t>
  </si>
  <si>
    <t>media degli ultimi 5 anni del Comune diCOMEGLIANS</t>
  </si>
  <si>
    <t>COMUNE DI CORNO DI ROSAZZO</t>
  </si>
  <si>
    <t>COMUNE DI CORNO DI ROSAZZO**</t>
  </si>
  <si>
    <t>media degli ultimi 5 anni del Comune diCORNO DI ROSAZZO</t>
  </si>
  <si>
    <t>COMUNE DI COSEANO</t>
  </si>
  <si>
    <t>200203 - Altri rifiuti non compostabili</t>
  </si>
  <si>
    <t>200134 - * Pile portatili</t>
  </si>
  <si>
    <t>170903 - * Altri rifiuti inerti</t>
  </si>
  <si>
    <t>COMUNE DI COSEANO**</t>
  </si>
  <si>
    <t>media degli ultimi 5 anni del Comune diCOSEANO</t>
  </si>
  <si>
    <t>COMUNE DI DIGNANO</t>
  </si>
  <si>
    <t>COMUNE DI DIGNANO**</t>
  </si>
  <si>
    <t>media degli ultimi 5 anni del Comune diDIGNANO</t>
  </si>
  <si>
    <t>COMUNE DI DOGNA</t>
  </si>
  <si>
    <t>COMUNE DI DOGNA**</t>
  </si>
  <si>
    <t>media degli ultimi 5 anni del Comune diDOGNA</t>
  </si>
  <si>
    <t>COMUNE DI ENEMONZO</t>
  </si>
  <si>
    <t>190802 - Rifiuti dell'eliminazione della sabbia</t>
  </si>
  <si>
    <t>COMUNE DI ENEMONZO**</t>
  </si>
  <si>
    <t>media degli ultimi 5 anni del Comune diENEMONZO</t>
  </si>
  <si>
    <t>COMUNE DI FAGAGNA</t>
  </si>
  <si>
    <t>170107 - Inerti</t>
  </si>
  <si>
    <t>200137 - legno, contenente sostanze pericolose</t>
  </si>
  <si>
    <t>170203 - Plastica</t>
  </si>
  <si>
    <t>COMUNE DI FAGAGNA**</t>
  </si>
  <si>
    <t>media degli ultimi 5 anni del Comune diFAGAGNA</t>
  </si>
  <si>
    <t>COMUNE DI FLAIBANO</t>
  </si>
  <si>
    <t>COMUNE DI FLAIBANO**</t>
  </si>
  <si>
    <t>media degli ultimi 5 anni del Comune diFLAIBANO</t>
  </si>
  <si>
    <t>COMUNE DI FORGARIA NEL FRIULI</t>
  </si>
  <si>
    <t>170405 - Ferro e acciaio</t>
  </si>
  <si>
    <t>COMUNE DI FORGARIA NEL FRIULI**</t>
  </si>
  <si>
    <t>media degli ultimi 5 anni del Comune diFORGARIA NEL FRIULI</t>
  </si>
  <si>
    <t>COMUNE DI FORNI AVOLTRI</t>
  </si>
  <si>
    <t>130205 - scarti olio minerale</t>
  </si>
  <si>
    <t xml:space="preserve">160211 - Apparecchiature fuori uso, contenenti clorofluorocarburi, HCFC, HFC   </t>
  </si>
  <si>
    <t>160104 - Veicoli fuori uso</t>
  </si>
  <si>
    <t>COMUNE DI FORNI AVOLTRI**</t>
  </si>
  <si>
    <t>media degli ultimi 5 anni del Comune diFORNI AVOLTRI</t>
  </si>
  <si>
    <t>COMUNE DI FORNI DI SOPRA</t>
  </si>
  <si>
    <t>COMUNE DI FORNI DI SOPRA**</t>
  </si>
  <si>
    <t>media degli ultimi 5 anni del Comune diFORNI DI SOPRA</t>
  </si>
  <si>
    <t>COMUNE DI FORNI DI SOTTO</t>
  </si>
  <si>
    <t>COMUNE DI FORNI DI SOTTO**</t>
  </si>
  <si>
    <t>media degli ultimi 5 anni del Comune diFORNI DI SOTTO</t>
  </si>
  <si>
    <t>COMUNE DI GEMONA DEL FRIULI</t>
  </si>
  <si>
    <t>170406 - Stagno</t>
  </si>
  <si>
    <t>COMUNE DI GEMONA DEL FRIULI**</t>
  </si>
  <si>
    <t>media degli ultimi 5 anni del Comune diGEMONA DEL FRIULI</t>
  </si>
  <si>
    <t>COMUNE DI LAUCO</t>
  </si>
  <si>
    <t>COMUNE DI LAUCO**</t>
  </si>
  <si>
    <t>media degli ultimi 5 anni del Comune diLAUCO</t>
  </si>
  <si>
    <t>COMUNE DI LESTIZZA</t>
  </si>
  <si>
    <t>COMUNE DI LESTIZZA**</t>
  </si>
  <si>
    <t>media degli ultimi 5 anni del Comune diLESTIZZA</t>
  </si>
  <si>
    <t>COMUNE DI LUSEVERA</t>
  </si>
  <si>
    <t xml:space="preserve">170605 - Materiali costruzione con amianto       </t>
  </si>
  <si>
    <t>COMUNE DI LUSEVERA**</t>
  </si>
  <si>
    <t>media degli ultimi 5 anni del Comune diLUSEVERA</t>
  </si>
  <si>
    <t>COMUNE DI MAGNANO IN RIVIERA</t>
  </si>
  <si>
    <t>160213 - apparecchiature fuori uso, contenenti componenti pericolosi (2) diversi da quelli di cui alle voci 16 02 09 e 16 02 12</t>
  </si>
  <si>
    <t>COMUNE DI MAGNANO IN RIVIERA**</t>
  </si>
  <si>
    <t>media degli ultimi 5 anni del Comune diMAGNANO IN RIVIERA</t>
  </si>
  <si>
    <t>COMUNE DI MAJANO</t>
  </si>
  <si>
    <t>200129 - Detergenti contenenti sostanze pericolose</t>
  </si>
  <si>
    <t>COMUNE DI MAJANO**</t>
  </si>
  <si>
    <t>media degli ultimi 5 anni del Comune diMAJANO</t>
  </si>
  <si>
    <t>COMUNE DI MARTIGNACCO</t>
  </si>
  <si>
    <t>COMUNE DI MARTIGNACCO**</t>
  </si>
  <si>
    <t>media degli ultimi 5 anni del Comune diMARTIGNACCO</t>
  </si>
  <si>
    <t>COMUNE DI MOGGIO UDINESE</t>
  </si>
  <si>
    <t>COMUNE DI MOGGIO UDINESE**</t>
  </si>
  <si>
    <t>media degli ultimi 5 anni del Comune diMOGGIO UDINESE</t>
  </si>
  <si>
    <t>COMUNE DI MOIMACCO</t>
  </si>
  <si>
    <t>COMUNE DI MOIMACCO**</t>
  </si>
  <si>
    <t>media degli ultimi 5 anni del Comune diMOIMACCO</t>
  </si>
  <si>
    <t>COMUNE DI MONTENARS</t>
  </si>
  <si>
    <t>COMUNE DI MONTENARS**</t>
  </si>
  <si>
    <t>media degli ultimi 5 anni del Comune diMONTENARS</t>
  </si>
  <si>
    <t>COMUNE DI MORTEGLIANO</t>
  </si>
  <si>
    <t>150203 - assorbenti,mat.filtranti,stracci</t>
  </si>
  <si>
    <t>170504 - Terre e rocce</t>
  </si>
  <si>
    <t>COMUNE DI MORTEGLIANO**</t>
  </si>
  <si>
    <t>media degli ultimi 5 anni del Comune diMORTEGLIANO</t>
  </si>
  <si>
    <t>COMUNE DI MORUZZO</t>
  </si>
  <si>
    <t xml:space="preserve">160214 - APPARECCHIATURE FUORI USO, DIVERSE      </t>
  </si>
  <si>
    <t>COMUNE DI MORUZZO**</t>
  </si>
  <si>
    <t>media degli ultimi 5 anni del Comune diMORUZZO</t>
  </si>
  <si>
    <t>COMUNE DI NIMIS</t>
  </si>
  <si>
    <t>130802 - Olio minerale</t>
  </si>
  <si>
    <t>COMUNE DI NIMIS**</t>
  </si>
  <si>
    <t>media degli ultimi 5 anni del Comune diNIMIS</t>
  </si>
  <si>
    <t>COMUNE DI OSOPPO</t>
  </si>
  <si>
    <t>COMUNE DI OSOPPO**</t>
  </si>
  <si>
    <t>media degli ultimi 5 anni del Comune diOSOPPO</t>
  </si>
  <si>
    <t>COMUNE DI OVARO</t>
  </si>
  <si>
    <t>COMUNE DI OVARO**</t>
  </si>
  <si>
    <t>media degli ultimi 5 anni del Comune diOVARO</t>
  </si>
  <si>
    <t>COMUNE DI PAGNACCO</t>
  </si>
  <si>
    <t>COMUNE DI PAGNACCO**</t>
  </si>
  <si>
    <t>media degli ultimi 5 anni del Comune diPAGNACCO</t>
  </si>
  <si>
    <t>COMUNE DI PALUZZA</t>
  </si>
  <si>
    <t>COMUNE DI PALUZZA**</t>
  </si>
  <si>
    <t>media degli ultimi 5 anni del Comune diPALUZZA</t>
  </si>
  <si>
    <t>COMUNE DI PASIAN DI PRATO</t>
  </si>
  <si>
    <t>160306 - Rifiuti organici diversi da quelli di cui alla voce 160305</t>
  </si>
  <si>
    <t>COMUNE DI PASIAN DI PRATO**</t>
  </si>
  <si>
    <t>media degli ultimi 5 anni del Comune diPASIAN DI PRATO</t>
  </si>
  <si>
    <t>COMUNE DI PAULARO</t>
  </si>
  <si>
    <t>COMUNE DI PAULARO**</t>
  </si>
  <si>
    <t>media degli ultimi 5 anni del Comune diPAULARO</t>
  </si>
  <si>
    <t>COMUNE DI PAVIA DI UDINE</t>
  </si>
  <si>
    <t>COMUNE DI PAVIA DI UDINE**</t>
  </si>
  <si>
    <t>media degli ultimi 5 anni del Comune diPAVIA DI UDINE</t>
  </si>
  <si>
    <t>COMUNE DI POZZUOLO DEL FRIULI</t>
  </si>
  <si>
    <t>COMUNE DI POZZUOLO DEL FRIULI**</t>
  </si>
  <si>
    <t>media degli ultimi 5 anni del Comune diPOZZUOLO DEL FRIULI</t>
  </si>
  <si>
    <t>COMUNE DI PRADAMANO</t>
  </si>
  <si>
    <t>COMUNE DI PRADAMANO**</t>
  </si>
  <si>
    <t>media degli ultimi 5 anni del Comune diPRADAMANO</t>
  </si>
  <si>
    <t>COMUNE DI PRATO CARNICO</t>
  </si>
  <si>
    <t>COMUNE DI PRATO CARNICO**</t>
  </si>
  <si>
    <t>media degli ultimi 5 anni del Comune diPRATO CARNICO</t>
  </si>
  <si>
    <t>COMUNE DI PREMARIACCO</t>
  </si>
  <si>
    <t>170302 - Miscele bituminose</t>
  </si>
  <si>
    <t>COMUNE DI PREMARIACCO**</t>
  </si>
  <si>
    <t>media degli ultimi 5 anni del Comune diPREMARIACCO</t>
  </si>
  <si>
    <t>COMUNE DI PREONE</t>
  </si>
  <si>
    <t>COMUNE DI PREONE**</t>
  </si>
  <si>
    <t>media degli ultimi 5 anni del Comune diPREONE</t>
  </si>
  <si>
    <t>COMUNE DI RAGOGNA</t>
  </si>
  <si>
    <t>COMUNE DI RAGOGNA**</t>
  </si>
  <si>
    <t>media degli ultimi 5 anni del Comune diRAGOGNA</t>
  </si>
  <si>
    <t>COMUNE DI RAVASCLETTO</t>
  </si>
  <si>
    <t>COMUNE DI RAVASCLETTO**</t>
  </si>
  <si>
    <t>media degli ultimi 5 anni del Comune diRAVASCLETTO</t>
  </si>
  <si>
    <t>COMUNE DI RAVEO</t>
  </si>
  <si>
    <t>COMUNE DI RAVEO**</t>
  </si>
  <si>
    <t>media degli ultimi 5 anni del Comune diRAVEO</t>
  </si>
  <si>
    <t>COMUNE DI REANA DEL ROJALE</t>
  </si>
  <si>
    <t>COMUNE DI REANA DEL ROJALE**</t>
  </si>
  <si>
    <t>media degli ultimi 5 anni del Comune diREANA DEL ROJALE</t>
  </si>
  <si>
    <t>COMUNE DI REMANZACCO</t>
  </si>
  <si>
    <t>COMUNE DI REMANZACCO**</t>
  </si>
  <si>
    <t>media degli ultimi 5 anni del Comune diREMANZACCO</t>
  </si>
  <si>
    <t>COMUNE DI RESIUTTA</t>
  </si>
  <si>
    <t>COMUNE DI RESIUTTA**</t>
  </si>
  <si>
    <t>media degli ultimi 5 anni del Comune diRESIUTTA</t>
  </si>
  <si>
    <t>COMUNE DI RIGOLATO</t>
  </si>
  <si>
    <t>COMUNE DI RIGOLATO**</t>
  </si>
  <si>
    <t>media degli ultimi 5 anni del Comune diRIGOLATO</t>
  </si>
  <si>
    <t>COMUNE DI RIVE D'ARCANO</t>
  </si>
  <si>
    <t>COMUNE DI RIVE D'ARCANO**</t>
  </si>
  <si>
    <t>media degli ultimi 5 anni del Comune diRIVE D'ARCANO</t>
  </si>
  <si>
    <t>COMUNE DI RIVIGNANO TEOR</t>
  </si>
  <si>
    <t>COMUNE DI RIVIGNANO TEOR**</t>
  </si>
  <si>
    <t>media degli ultimi 5 anni del Comune diRIVIGNANO TEOR</t>
  </si>
  <si>
    <t>COMUNE DI SAN DANIELE DEL FRIULI</t>
  </si>
  <si>
    <t>COMUNE DI SAN DANIELE DEL FRIULI**</t>
  </si>
  <si>
    <t>media degli ultimi 5 anni del Comune diSAN DANIELE DEL FRIULI</t>
  </si>
  <si>
    <t>COMUNE DI SAN DORLIGO DELLA VALLE**</t>
  </si>
  <si>
    <t>media degli ultimi 5 anni del Comune diSAN DORLIGO DELLA VALLE</t>
  </si>
  <si>
    <t>COMUNE DI SAN GIOVANNI AL NATISONE</t>
  </si>
  <si>
    <t>161002 - soluzioni acquose di scarto, diverse da quelle di cui alla voce 16 10 01</t>
  </si>
  <si>
    <t>160505 - Gas in contenitori a pressione</t>
  </si>
  <si>
    <t>COMUNE DI SAN GIOVANNI AL NATISONE**</t>
  </si>
  <si>
    <t>media degli ultimi 5 anni del Comune diSAN GIOVANNI AL NATISONE</t>
  </si>
  <si>
    <t>COMUNE DI SAN VITO DI FAGAGNA</t>
  </si>
  <si>
    <t>COMUNE DI SAN VITO DI FAGAGNA**</t>
  </si>
  <si>
    <t>media degli ultimi 5 anni del Comune diSAN VITO DI FAGAGNA</t>
  </si>
  <si>
    <t>COMUNE DI SAPPADA</t>
  </si>
  <si>
    <t>COMUNE DI SAPPADA**</t>
  </si>
  <si>
    <t>media degli ultimi 5 anni del Comune diSAPPADA</t>
  </si>
  <si>
    <t>COMUNE DI SAURIS</t>
  </si>
  <si>
    <t>COMUNE DI SAURIS**</t>
  </si>
  <si>
    <t>media degli ultimi 5 anni del Comune diSAURIS</t>
  </si>
  <si>
    <t>COMUNE DI SEDEGLIANO</t>
  </si>
  <si>
    <t>COMUNE DI SEDEGLIANO**</t>
  </si>
  <si>
    <t>media degli ultimi 5 anni del Comune diSEDEGLIANO</t>
  </si>
  <si>
    <t>COMUNE DI SOCCHIEVE</t>
  </si>
  <si>
    <t>COMUNE DI SOCCHIEVE**</t>
  </si>
  <si>
    <t>media degli ultimi 5 anni del Comune diSOCCHIEVE</t>
  </si>
  <si>
    <t>COMUNE DI SUTRIO</t>
  </si>
  <si>
    <t>COMUNE DI SUTRIO**</t>
  </si>
  <si>
    <t>media degli ultimi 5 anni del Comune diSUTRIO</t>
  </si>
  <si>
    <t>COMUNE DI TAIPANA</t>
  </si>
  <si>
    <t>COMUNE DI TAIPANA**</t>
  </si>
  <si>
    <t>media degli ultimi 5 anni del Comune diTAIPANA</t>
  </si>
  <si>
    <t>COMUNE DI TARCENTO</t>
  </si>
  <si>
    <t>COMUNE DI TARCENTO**</t>
  </si>
  <si>
    <t>media degli ultimi 5 anni del Comune diTARCENTO</t>
  </si>
  <si>
    <t>COMUNE DI TOLMEZZO</t>
  </si>
  <si>
    <t>COMUNE DI TOLMEZZO**</t>
  </si>
  <si>
    <t>media degli ultimi 5 anni del Comune diTOLMEZZO</t>
  </si>
  <si>
    <t>COMUNE DI TRASAGHIS</t>
  </si>
  <si>
    <t>COMUNE DI TRASAGHIS**</t>
  </si>
  <si>
    <t>media degli ultimi 5 anni del Comune diTRASAGHIS</t>
  </si>
  <si>
    <t>COMUNE DI TREPPO GRANDE</t>
  </si>
  <si>
    <t>COMUNE DI TREPPO GRANDE**</t>
  </si>
  <si>
    <t>media degli ultimi 5 anni del Comune diTREPPO GRANDE</t>
  </si>
  <si>
    <t>COMUNE DI TREPPO LIGOSULLO</t>
  </si>
  <si>
    <t>COMUNE DI TREPPO LIGOSULLO**</t>
  </si>
  <si>
    <t>media degli ultimi 5 anni del Comune diTREPPO LIGOSULLO</t>
  </si>
  <si>
    <t>COMUNE DI VARMO</t>
  </si>
  <si>
    <t>COMUNE DI VARMO**</t>
  </si>
  <si>
    <t>media degli ultimi 5 anni del Comune diVARMO</t>
  </si>
  <si>
    <t>COMUNE DI VENZONE</t>
  </si>
  <si>
    <t>COMUNE DI VENZONE**</t>
  </si>
  <si>
    <t>media degli ultimi 5 anni del Comune diVENZONE</t>
  </si>
  <si>
    <t>COMUNE DI VERZEGNIS</t>
  </si>
  <si>
    <t>COMUNE DI VERZEGNIS**</t>
  </si>
  <si>
    <t>media degli ultimi 5 anni del Comune diVERZEGNIS</t>
  </si>
  <si>
    <t>COMUNE DI VILLA SANTINA</t>
  </si>
  <si>
    <t>COMUNE DI VILLA SANTINA**</t>
  </si>
  <si>
    <t>media degli ultimi 5 anni del Comune diVILLA SANTINA</t>
  </si>
  <si>
    <t>COMUNE DI ZUGLIO</t>
  </si>
  <si>
    <t>COMUNE DI ZUGLIO**</t>
  </si>
  <si>
    <t>media degli ultimi 5 anni del Comune diZUGLIO</t>
  </si>
  <si>
    <t>COMUNE DI SAN DORLIGO DELLA VALLE - DOLINA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</si>
</sst>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0.0%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2" fillId="2" borderId="1" xfId="0" applyFont="1" applyFill="1" applyBorder="1"/>
    <xf numFmtId="3" fontId="0" fillId="0" borderId="1" xfId="0" applyNumberForma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right"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wrapText="1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3"/>
  <sheetViews>
    <sheetView tabSelected="1"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1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846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29</v>
      </c>
      <c r="F9" s="10"/>
      <c r="G9" s="10">
        <f t="shared" ref="G9:G41" si="0">SUM(C9:F9)</f>
        <v>29</v>
      </c>
      <c r="H9" s="16">
        <f t="shared" ref="H9:H41" si="1">ROUND(G9/846,2)</f>
        <v>0.03</v>
      </c>
      <c r="I9" s="15">
        <f t="shared" ref="I9:I41" si="2">ROUND(G9/$G$42,3)</f>
        <v>0</v>
      </c>
      <c r="J9" s="15"/>
    </row>
    <row r="10" spans="1:10" x14ac:dyDescent="0.25">
      <c r="A10" s="1" t="s">
        <v>16</v>
      </c>
      <c r="B10" s="1" t="s">
        <v>18</v>
      </c>
      <c r="C10" s="10"/>
      <c r="D10" s="10"/>
      <c r="E10" s="10">
        <v>3185</v>
      </c>
      <c r="F10" s="10"/>
      <c r="G10" s="10">
        <f t="shared" si="0"/>
        <v>3185</v>
      </c>
      <c r="H10" s="16">
        <f t="shared" si="1"/>
        <v>3.76</v>
      </c>
      <c r="I10" s="15">
        <f t="shared" si="2"/>
        <v>7.0000000000000001E-3</v>
      </c>
      <c r="J10" s="15"/>
    </row>
    <row r="11" spans="1:10" x14ac:dyDescent="0.25">
      <c r="A11" s="1" t="s">
        <v>16</v>
      </c>
      <c r="B11" s="1" t="s">
        <v>19</v>
      </c>
      <c r="C11" s="10">
        <v>33000</v>
      </c>
      <c r="D11" s="10"/>
      <c r="E11" s="10">
        <v>5717</v>
      </c>
      <c r="F11" s="10"/>
      <c r="G11" s="10">
        <f t="shared" si="0"/>
        <v>38717</v>
      </c>
      <c r="H11" s="16">
        <f t="shared" si="1"/>
        <v>45.76</v>
      </c>
      <c r="I11" s="15">
        <f t="shared" si="2"/>
        <v>8.7999999999999995E-2</v>
      </c>
      <c r="J11" s="15">
        <f>ROUND(G11/36063.55-1,2)</f>
        <v>7.0000000000000007E-2</v>
      </c>
    </row>
    <row r="12" spans="1:10" x14ac:dyDescent="0.25">
      <c r="A12" s="1" t="s">
        <v>16</v>
      </c>
      <c r="B12" s="1" t="s">
        <v>20</v>
      </c>
      <c r="C12" s="10">
        <v>31640</v>
      </c>
      <c r="D12" s="10"/>
      <c r="E12" s="10"/>
      <c r="F12" s="10"/>
      <c r="G12" s="10">
        <f t="shared" si="0"/>
        <v>31640</v>
      </c>
      <c r="H12" s="16">
        <f t="shared" si="1"/>
        <v>37.4</v>
      </c>
      <c r="I12" s="15">
        <f t="shared" si="2"/>
        <v>7.1999999999999995E-2</v>
      </c>
      <c r="J12" s="15">
        <f>ROUND(G12/34603.77-1,2)</f>
        <v>-0.09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88</v>
      </c>
      <c r="F13" s="10"/>
      <c r="G13" s="10">
        <f t="shared" si="0"/>
        <v>88</v>
      </c>
      <c r="H13" s="16">
        <f t="shared" si="1"/>
        <v>0.1</v>
      </c>
      <c r="I13" s="15">
        <f t="shared" si="2"/>
        <v>0</v>
      </c>
      <c r="J13" s="15"/>
    </row>
    <row r="14" spans="1:10" x14ac:dyDescent="0.25">
      <c r="A14" s="1" t="s">
        <v>16</v>
      </c>
      <c r="B14" s="1" t="s">
        <v>22</v>
      </c>
      <c r="C14" s="10"/>
      <c r="D14" s="10"/>
      <c r="E14" s="10">
        <v>517</v>
      </c>
      <c r="F14" s="10"/>
      <c r="G14" s="10">
        <f t="shared" si="0"/>
        <v>517</v>
      </c>
      <c r="H14" s="16">
        <f t="shared" si="1"/>
        <v>0.61</v>
      </c>
      <c r="I14" s="15">
        <f t="shared" si="2"/>
        <v>1E-3</v>
      </c>
      <c r="J14" s="15">
        <f>ROUND(G14/312.5-1,2)</f>
        <v>0.65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56272</v>
      </c>
      <c r="F15" s="10"/>
      <c r="G15" s="10">
        <f t="shared" si="0"/>
        <v>56272</v>
      </c>
      <c r="H15" s="16">
        <f t="shared" si="1"/>
        <v>66.52</v>
      </c>
      <c r="I15" s="15">
        <f t="shared" si="2"/>
        <v>0.128</v>
      </c>
      <c r="J15" s="15">
        <f>ROUND(G15/30707.33-1,2)</f>
        <v>0.83</v>
      </c>
    </row>
    <row r="16" spans="1:10" x14ac:dyDescent="0.25">
      <c r="A16" s="1" t="s">
        <v>16</v>
      </c>
      <c r="B16" s="1" t="s">
        <v>24</v>
      </c>
      <c r="C16" s="10">
        <v>41400</v>
      </c>
      <c r="D16" s="10"/>
      <c r="E16" s="10">
        <v>13761</v>
      </c>
      <c r="F16" s="10"/>
      <c r="G16" s="10">
        <f t="shared" si="0"/>
        <v>55161</v>
      </c>
      <c r="H16" s="16">
        <f t="shared" si="1"/>
        <v>65.2</v>
      </c>
      <c r="I16" s="15">
        <f t="shared" si="2"/>
        <v>0.126</v>
      </c>
      <c r="J16" s="15">
        <f>ROUND(G16/44002.77-1,2)</f>
        <v>0.25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2843</v>
      </c>
      <c r="F17" s="10"/>
      <c r="G17" s="10">
        <f t="shared" si="0"/>
        <v>2843</v>
      </c>
      <c r="H17" s="16">
        <f t="shared" si="1"/>
        <v>3.36</v>
      </c>
      <c r="I17" s="15">
        <f t="shared" si="2"/>
        <v>6.0000000000000001E-3</v>
      </c>
      <c r="J17" s="15"/>
    </row>
    <row r="18" spans="1:10" x14ac:dyDescent="0.25">
      <c r="A18" s="1" t="s">
        <v>16</v>
      </c>
      <c r="B18" s="1" t="s">
        <v>26</v>
      </c>
      <c r="C18" s="10">
        <v>41380</v>
      </c>
      <c r="D18" s="10"/>
      <c r="E18" s="10"/>
      <c r="F18" s="10"/>
      <c r="G18" s="10">
        <f t="shared" si="0"/>
        <v>41380</v>
      </c>
      <c r="H18" s="16">
        <f t="shared" si="1"/>
        <v>48.91</v>
      </c>
      <c r="I18" s="15">
        <f t="shared" si="2"/>
        <v>9.4E-2</v>
      </c>
      <c r="J18" s="15">
        <f>ROUND(G18/47160-1,2)</f>
        <v>-0.12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463</v>
      </c>
      <c r="F19" s="10"/>
      <c r="G19" s="10">
        <f t="shared" si="0"/>
        <v>463</v>
      </c>
      <c r="H19" s="16">
        <f t="shared" si="1"/>
        <v>0.55000000000000004</v>
      </c>
      <c r="I19" s="15">
        <f t="shared" si="2"/>
        <v>1E-3</v>
      </c>
      <c r="J19" s="15">
        <f>ROUND(G19/231-1,2)</f>
        <v>1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249</v>
      </c>
      <c r="F20" s="10"/>
      <c r="G20" s="10">
        <f t="shared" si="0"/>
        <v>249</v>
      </c>
      <c r="H20" s="16">
        <f t="shared" si="1"/>
        <v>0.28999999999999998</v>
      </c>
      <c r="I20" s="15">
        <f t="shared" si="2"/>
        <v>1E-3</v>
      </c>
      <c r="J20" s="15">
        <f>ROUND(G20/129-1,2)</f>
        <v>0.93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431</v>
      </c>
      <c r="F21" s="10"/>
      <c r="G21" s="10">
        <f t="shared" si="0"/>
        <v>431</v>
      </c>
      <c r="H21" s="16">
        <f t="shared" si="1"/>
        <v>0.51</v>
      </c>
      <c r="I21" s="15">
        <f t="shared" si="2"/>
        <v>1E-3</v>
      </c>
      <c r="J21" s="15">
        <f>ROUND(G21/594.03-1,2)</f>
        <v>-0.27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478</v>
      </c>
      <c r="F22" s="10"/>
      <c r="G22" s="10">
        <f t="shared" si="0"/>
        <v>478</v>
      </c>
      <c r="H22" s="16">
        <f t="shared" si="1"/>
        <v>0.56999999999999995</v>
      </c>
      <c r="I22" s="15">
        <f t="shared" si="2"/>
        <v>1E-3</v>
      </c>
      <c r="J22" s="15">
        <f>ROUND(G22/203.63-1,2)</f>
        <v>1.35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128</v>
      </c>
      <c r="F23" s="10"/>
      <c r="G23" s="10">
        <f t="shared" si="0"/>
        <v>128</v>
      </c>
      <c r="H23" s="16">
        <f t="shared" si="1"/>
        <v>0.15</v>
      </c>
      <c r="I23" s="15">
        <f t="shared" si="2"/>
        <v>0</v>
      </c>
      <c r="J23" s="15">
        <f>ROUND(G23/71.43-1,2)</f>
        <v>0.79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423</v>
      </c>
      <c r="F24" s="10"/>
      <c r="G24" s="10">
        <f t="shared" si="0"/>
        <v>423</v>
      </c>
      <c r="H24" s="16">
        <f t="shared" si="1"/>
        <v>0.5</v>
      </c>
      <c r="I24" s="15">
        <f t="shared" si="2"/>
        <v>1E-3</v>
      </c>
      <c r="J24" s="15">
        <f>ROUND(G24/347.18-1,2)</f>
        <v>0.22</v>
      </c>
    </row>
    <row r="25" spans="1:10" x14ac:dyDescent="0.25">
      <c r="A25" s="1" t="s">
        <v>16</v>
      </c>
      <c r="B25" s="1" t="s">
        <v>33</v>
      </c>
      <c r="C25" s="10"/>
      <c r="D25" s="10"/>
      <c r="E25" s="10">
        <v>120</v>
      </c>
      <c r="F25" s="10"/>
      <c r="G25" s="10">
        <f t="shared" si="0"/>
        <v>120</v>
      </c>
      <c r="H25" s="16">
        <f t="shared" si="1"/>
        <v>0.14000000000000001</v>
      </c>
      <c r="I25" s="15">
        <f t="shared" si="2"/>
        <v>0</v>
      </c>
      <c r="J25" s="15"/>
    </row>
    <row r="26" spans="1:10" x14ac:dyDescent="0.25">
      <c r="A26" s="1" t="s">
        <v>16</v>
      </c>
      <c r="B26" s="1" t="s">
        <v>34</v>
      </c>
      <c r="C26" s="10"/>
      <c r="D26" s="10"/>
      <c r="E26" s="10">
        <v>445</v>
      </c>
      <c r="F26" s="10"/>
      <c r="G26" s="10">
        <f t="shared" si="0"/>
        <v>445</v>
      </c>
      <c r="H26" s="16">
        <f t="shared" si="1"/>
        <v>0.53</v>
      </c>
      <c r="I26" s="15">
        <f t="shared" si="2"/>
        <v>1E-3</v>
      </c>
      <c r="J26" s="15"/>
    </row>
    <row r="27" spans="1:10" x14ac:dyDescent="0.25">
      <c r="A27" s="1" t="s">
        <v>16</v>
      </c>
      <c r="B27" s="1" t="s">
        <v>35</v>
      </c>
      <c r="C27" s="10"/>
      <c r="D27" s="10"/>
      <c r="E27" s="10">
        <v>169</v>
      </c>
      <c r="F27" s="10"/>
      <c r="G27" s="10">
        <f t="shared" si="0"/>
        <v>169</v>
      </c>
      <c r="H27" s="16">
        <f t="shared" si="1"/>
        <v>0.2</v>
      </c>
      <c r="I27" s="15">
        <f t="shared" si="2"/>
        <v>0</v>
      </c>
      <c r="J27" s="15">
        <f>ROUND(G27/141.17-1,2)</f>
        <v>0.2</v>
      </c>
    </row>
    <row r="28" spans="1:10" x14ac:dyDescent="0.25">
      <c r="A28" s="1" t="s">
        <v>16</v>
      </c>
      <c r="B28" s="1" t="s">
        <v>36</v>
      </c>
      <c r="C28" s="10"/>
      <c r="D28" s="10"/>
      <c r="E28" s="10">
        <v>95</v>
      </c>
      <c r="F28" s="10"/>
      <c r="G28" s="10">
        <f t="shared" si="0"/>
        <v>95</v>
      </c>
      <c r="H28" s="16">
        <f t="shared" si="1"/>
        <v>0.11</v>
      </c>
      <c r="I28" s="15">
        <f t="shared" si="2"/>
        <v>0</v>
      </c>
      <c r="J28" s="15">
        <f>ROUND(G28/203.01-1,2)</f>
        <v>-0.53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1380</v>
      </c>
      <c r="F29" s="10"/>
      <c r="G29" s="10">
        <f t="shared" si="0"/>
        <v>1380</v>
      </c>
      <c r="H29" s="16">
        <f t="shared" si="1"/>
        <v>1.63</v>
      </c>
      <c r="I29" s="15">
        <f t="shared" si="2"/>
        <v>3.0000000000000001E-3</v>
      </c>
      <c r="J29" s="15">
        <f>ROUND(G29/1234.58-1,2)</f>
        <v>0.12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44166</v>
      </c>
      <c r="F30" s="10"/>
      <c r="G30" s="10">
        <f t="shared" si="0"/>
        <v>44166</v>
      </c>
      <c r="H30" s="16">
        <f t="shared" si="1"/>
        <v>52.21</v>
      </c>
      <c r="I30" s="15">
        <f t="shared" si="2"/>
        <v>0.10100000000000001</v>
      </c>
      <c r="J30" s="15">
        <f>ROUND(G30/18925.25-1,2)</f>
        <v>1.33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2472</v>
      </c>
      <c r="F31" s="10"/>
      <c r="G31" s="10">
        <f t="shared" si="0"/>
        <v>2472</v>
      </c>
      <c r="H31" s="16">
        <f t="shared" si="1"/>
        <v>2.92</v>
      </c>
      <c r="I31" s="15">
        <f t="shared" si="2"/>
        <v>6.0000000000000001E-3</v>
      </c>
      <c r="J31" s="15">
        <f>ROUND(G31/795.77-1,2)</f>
        <v>2.11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12779</v>
      </c>
      <c r="F32" s="10"/>
      <c r="G32" s="10">
        <f t="shared" si="0"/>
        <v>12779</v>
      </c>
      <c r="H32" s="16">
        <f t="shared" si="1"/>
        <v>15.11</v>
      </c>
      <c r="I32" s="15">
        <f t="shared" si="2"/>
        <v>2.9000000000000001E-2</v>
      </c>
      <c r="J32" s="15">
        <f>ROUND(G32/6022.15-1,2)</f>
        <v>1.1200000000000001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32123</v>
      </c>
      <c r="F33" s="10"/>
      <c r="G33" s="10">
        <f t="shared" si="0"/>
        <v>32123</v>
      </c>
      <c r="H33" s="16">
        <f t="shared" si="1"/>
        <v>37.97</v>
      </c>
      <c r="I33" s="15">
        <f t="shared" si="2"/>
        <v>7.2999999999999995E-2</v>
      </c>
      <c r="J33" s="15">
        <f>ROUND(G33/14481.43-1,2)</f>
        <v>1.22</v>
      </c>
    </row>
    <row r="34" spans="1:10" x14ac:dyDescent="0.25">
      <c r="A34" s="1" t="s">
        <v>16</v>
      </c>
      <c r="B34" s="1" t="s">
        <v>42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ROUND(G34/15.95-1,2)</f>
        <v>-1</v>
      </c>
    </row>
    <row r="35" spans="1:10" x14ac:dyDescent="0.25">
      <c r="A35" s="1" t="s">
        <v>16</v>
      </c>
      <c r="B35" s="1" t="s">
        <v>43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44</v>
      </c>
      <c r="B36" s="1" t="s">
        <v>45</v>
      </c>
      <c r="C36" s="10">
        <v>78870</v>
      </c>
      <c r="D36" s="10"/>
      <c r="E36" s="10"/>
      <c r="F36" s="10"/>
      <c r="G36" s="10">
        <f t="shared" si="0"/>
        <v>78870</v>
      </c>
      <c r="H36" s="16">
        <f t="shared" si="1"/>
        <v>93.23</v>
      </c>
      <c r="I36" s="15">
        <f t="shared" si="2"/>
        <v>0.18</v>
      </c>
      <c r="J36" s="15">
        <f>ROUND(G36/78830-1,2)</f>
        <v>0</v>
      </c>
    </row>
    <row r="37" spans="1:10" x14ac:dyDescent="0.25">
      <c r="A37" s="1" t="s">
        <v>44</v>
      </c>
      <c r="B37" s="1" t="s">
        <v>46</v>
      </c>
      <c r="C37" s="10"/>
      <c r="D37" s="10"/>
      <c r="E37" s="10">
        <v>33708</v>
      </c>
      <c r="F37" s="10"/>
      <c r="G37" s="10">
        <f t="shared" si="0"/>
        <v>33708</v>
      </c>
      <c r="H37" s="16">
        <f t="shared" si="1"/>
        <v>39.840000000000003</v>
      </c>
      <c r="I37" s="15">
        <f t="shared" si="2"/>
        <v>7.6999999999999999E-2</v>
      </c>
      <c r="J37" s="15">
        <f>ROUND(G37/18320.62-1,2)</f>
        <v>0.84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48</v>
      </c>
      <c r="B39" s="1" t="s">
        <v>49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ROUND(G39/15-1,2)</f>
        <v>-1</v>
      </c>
    </row>
    <row r="40" spans="1:10" x14ac:dyDescent="0.25">
      <c r="A40" s="1" t="s">
        <v>48</v>
      </c>
      <c r="B40" s="1" t="s">
        <v>50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ROUND(G40/210-1,2)</f>
        <v>-1</v>
      </c>
    </row>
    <row r="41" spans="1:10" x14ac:dyDescent="0.25">
      <c r="A41" s="1" t="s">
        <v>48</v>
      </c>
      <c r="B41" s="1" t="s">
        <v>51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27" t="s">
        <v>12</v>
      </c>
      <c r="B42" s="27"/>
      <c r="C42" s="11">
        <f t="shared" ref="C42:H42" si="3">SUM(C8:C41)</f>
        <v>226290</v>
      </c>
      <c r="D42" s="11">
        <f t="shared" si="3"/>
        <v>0</v>
      </c>
      <c r="E42" s="11">
        <f t="shared" si="3"/>
        <v>212041</v>
      </c>
      <c r="F42" s="11">
        <f t="shared" si="3"/>
        <v>0</v>
      </c>
      <c r="G42" s="11">
        <f t="shared" si="3"/>
        <v>438331</v>
      </c>
      <c r="H42" s="14">
        <f t="shared" si="3"/>
        <v>518.11</v>
      </c>
      <c r="I42" s="17"/>
      <c r="J42" s="17"/>
    </row>
    <row r="43" spans="1:10" x14ac:dyDescent="0.25">
      <c r="A43" s="27" t="s">
        <v>14</v>
      </c>
      <c r="B43" s="27"/>
      <c r="C43" s="12">
        <f>ROUND(C42/G42,2)</f>
        <v>0.52</v>
      </c>
      <c r="D43" s="12">
        <f>ROUND(D42/G42,2)</f>
        <v>0</v>
      </c>
      <c r="E43" s="12">
        <f>ROUND(E42/G42,2)</f>
        <v>0.48</v>
      </c>
      <c r="F43" s="12">
        <f>ROUND(F42/G42,2)</f>
        <v>0</v>
      </c>
      <c r="G43" s="13"/>
      <c r="H43" s="13"/>
      <c r="I43" s="17"/>
      <c r="J43" s="17"/>
    </row>
    <row r="44" spans="1:10" x14ac:dyDescent="0.25">
      <c r="A44" s="2" t="s">
        <v>52</v>
      </c>
      <c r="B44" s="2"/>
      <c r="C44" s="13"/>
      <c r="D44" s="13"/>
      <c r="E44" s="13"/>
      <c r="F44" s="13"/>
      <c r="G44" s="13"/>
      <c r="H44" s="13"/>
      <c r="I44" s="17"/>
      <c r="J44" s="17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A48" s="27" t="s">
        <v>53</v>
      </c>
      <c r="B48" s="27"/>
      <c r="C48" s="11" t="s">
        <v>8</v>
      </c>
      <c r="D48" s="11" t="s">
        <v>9</v>
      </c>
      <c r="E48" s="11" t="s">
        <v>10</v>
      </c>
      <c r="F48" s="11" t="s">
        <v>11</v>
      </c>
      <c r="G48" s="11" t="s">
        <v>12</v>
      </c>
      <c r="H48" s="14" t="s">
        <v>13</v>
      </c>
      <c r="I48" s="17"/>
      <c r="J48" s="17"/>
    </row>
    <row r="49" spans="1:10" x14ac:dyDescent="0.25">
      <c r="A49" s="22" t="s">
        <v>54</v>
      </c>
      <c r="B49" s="22"/>
      <c r="C49" s="10">
        <v>147420</v>
      </c>
      <c r="D49" s="10">
        <v>0</v>
      </c>
      <c r="E49" s="10">
        <v>178333</v>
      </c>
      <c r="F49" s="10">
        <v>0</v>
      </c>
      <c r="G49" s="10">
        <f>SUM(C49:F49)</f>
        <v>325753</v>
      </c>
      <c r="H49" s="16">
        <f>ROUND(G49/846,2)</f>
        <v>385.05</v>
      </c>
      <c r="I49" s="9"/>
      <c r="J49" s="9"/>
    </row>
    <row r="50" spans="1:10" x14ac:dyDescent="0.25">
      <c r="A50" s="22" t="s">
        <v>55</v>
      </c>
      <c r="B50" s="22"/>
      <c r="C50" s="10">
        <v>78870</v>
      </c>
      <c r="D50" s="10">
        <v>0</v>
      </c>
      <c r="E50" s="10">
        <v>33708</v>
      </c>
      <c r="F50" s="10">
        <v>0</v>
      </c>
      <c r="G50" s="10">
        <f>SUM(C50:F50)</f>
        <v>112578</v>
      </c>
      <c r="H50" s="16">
        <f>ROUND(G50/846,2)</f>
        <v>133.07</v>
      </c>
      <c r="I50" s="9"/>
      <c r="J50" s="9"/>
    </row>
    <row r="51" spans="1:10" x14ac:dyDescent="0.25">
      <c r="A51" s="22" t="s">
        <v>56</v>
      </c>
      <c r="B51" s="22"/>
      <c r="C51" s="10">
        <v>0</v>
      </c>
      <c r="D51" s="10">
        <v>0</v>
      </c>
      <c r="E51" s="10">
        <v>0</v>
      </c>
      <c r="F51" s="10">
        <v>0</v>
      </c>
      <c r="G51" s="10">
        <f>SUM(C51:F51)</f>
        <v>0</v>
      </c>
      <c r="H51" s="16">
        <f>ROUND(G51/846,2)</f>
        <v>0</v>
      </c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A56" s="27" t="s">
        <v>57</v>
      </c>
      <c r="B56" s="27"/>
      <c r="C56" s="14" t="s">
        <v>2</v>
      </c>
      <c r="D56" s="14">
        <v>2023</v>
      </c>
      <c r="E56" s="14" t="s">
        <v>59</v>
      </c>
      <c r="F56" s="13"/>
      <c r="G56" s="14" t="s">
        <v>60</v>
      </c>
      <c r="H56" s="14" t="s">
        <v>2</v>
      </c>
      <c r="I56" s="12" t="s">
        <v>61</v>
      </c>
      <c r="J56" s="12" t="s">
        <v>59</v>
      </c>
    </row>
    <row r="57" spans="1:10" x14ac:dyDescent="0.25">
      <c r="A57" s="22" t="s">
        <v>58</v>
      </c>
      <c r="B57" s="22"/>
      <c r="C57" s="15">
        <f>ROUND(0.7838, 4)</f>
        <v>0.78380000000000005</v>
      </c>
      <c r="D57" s="15">
        <f>ROUND(0.7315, 4)</f>
        <v>0.73150000000000004</v>
      </c>
      <c r="E57" s="15">
        <f>ROUND(0.777, 4)</f>
        <v>0.77700000000000002</v>
      </c>
      <c r="F57" s="8"/>
      <c r="G57" s="14" t="s">
        <v>62</v>
      </c>
      <c r="H57" s="28" t="s">
        <v>63</v>
      </c>
      <c r="I57" s="25" t="s">
        <v>64</v>
      </c>
      <c r="J57" s="25" t="s">
        <v>65</v>
      </c>
    </row>
    <row r="58" spans="1:10" x14ac:dyDescent="0.25">
      <c r="A58" s="22" t="s">
        <v>66</v>
      </c>
      <c r="B58" s="22"/>
      <c r="C58" s="15">
        <f>ROUND(0.746, 4)</f>
        <v>0.746</v>
      </c>
      <c r="D58" s="15">
        <f>ROUND(0.6866, 4)</f>
        <v>0.68659999999999999</v>
      </c>
      <c r="E58" s="15">
        <f>ROUND(0.7608, 4)</f>
        <v>0.76080000000000003</v>
      </c>
      <c r="F58" s="8"/>
      <c r="G58" s="14" t="s">
        <v>67</v>
      </c>
      <c r="H58" s="29"/>
      <c r="I58" s="26"/>
      <c r="J58" s="26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68</v>
      </c>
      <c r="B62" s="27"/>
      <c r="C62" s="14" t="s">
        <v>2</v>
      </c>
      <c r="D62" s="14" t="s">
        <v>69</v>
      </c>
      <c r="E62" s="14" t="s">
        <v>70</v>
      </c>
      <c r="F62" s="14" t="s">
        <v>71</v>
      </c>
      <c r="G62" s="14" t="s">
        <v>72</v>
      </c>
      <c r="H62" s="13"/>
      <c r="I62" s="17"/>
      <c r="J62" s="17"/>
    </row>
    <row r="63" spans="1:10" x14ac:dyDescent="0.25">
      <c r="A63" s="22" t="s">
        <v>73</v>
      </c>
      <c r="B63" s="22"/>
      <c r="C63" s="16">
        <v>93.23</v>
      </c>
      <c r="D63" s="16">
        <v>85.24</v>
      </c>
      <c r="E63" s="16">
        <v>92.53</v>
      </c>
      <c r="F63" s="16">
        <v>56.06</v>
      </c>
      <c r="G63" s="16">
        <f>12/11*C63</f>
        <v>101.70545454545454</v>
      </c>
      <c r="H63" s="8"/>
      <c r="I63" s="9"/>
      <c r="J63" s="9"/>
    </row>
    <row r="64" spans="1:10" x14ac:dyDescent="0.25">
      <c r="A64" s="22" t="s">
        <v>74</v>
      </c>
      <c r="B64" s="22"/>
      <c r="C64" s="16">
        <v>48.91</v>
      </c>
      <c r="D64" s="16">
        <v>50.97</v>
      </c>
      <c r="E64" s="16">
        <v>61.98</v>
      </c>
      <c r="F64" s="16">
        <v>64.09</v>
      </c>
      <c r="G64" s="16">
        <f>12/11*C64</f>
        <v>53.356363636363632</v>
      </c>
      <c r="H64" s="8"/>
      <c r="I64" s="9"/>
      <c r="J64" s="9"/>
    </row>
    <row r="65" spans="1:10" x14ac:dyDescent="0.25">
      <c r="A65" s="22" t="s">
        <v>75</v>
      </c>
      <c r="B65" s="22"/>
      <c r="C65" s="16">
        <v>385.05</v>
      </c>
      <c r="D65" s="16">
        <v>316.49</v>
      </c>
      <c r="E65" s="16">
        <v>291.51</v>
      </c>
      <c r="F65" s="16">
        <v>284.45</v>
      </c>
      <c r="G65" s="16">
        <f>12/11*C65</f>
        <v>420.05454545454546</v>
      </c>
      <c r="H65" s="8"/>
      <c r="I65" s="9"/>
      <c r="J65" s="9"/>
    </row>
    <row r="66" spans="1:10" x14ac:dyDescent="0.25">
      <c r="A66" s="22" t="s">
        <v>76</v>
      </c>
      <c r="B66" s="22"/>
      <c r="C66" s="16">
        <v>133.07</v>
      </c>
      <c r="D66" s="16">
        <v>109.75</v>
      </c>
      <c r="E66" s="16">
        <v>116.46</v>
      </c>
      <c r="F66" s="16">
        <v>79.959999999999994</v>
      </c>
      <c r="G66" s="16">
        <f>12/11*C66</f>
        <v>145.16727272727272</v>
      </c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23" t="s">
        <v>60</v>
      </c>
      <c r="B69" s="24"/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77</v>
      </c>
      <c r="B70" s="1" t="s">
        <v>78</v>
      </c>
    </row>
    <row r="71" spans="1:10" x14ac:dyDescent="0.25">
      <c r="A71" s="3" t="s">
        <v>70</v>
      </c>
      <c r="B71" s="1" t="s">
        <v>79</v>
      </c>
    </row>
    <row r="72" spans="1:10" x14ac:dyDescent="0.25">
      <c r="A72" s="3" t="s">
        <v>71</v>
      </c>
      <c r="B72" s="1" t="s">
        <v>80</v>
      </c>
    </row>
    <row r="73" spans="1:10" x14ac:dyDescent="0.25">
      <c r="A73" s="3" t="s">
        <v>72</v>
      </c>
      <c r="B73" s="1" t="s">
        <v>81</v>
      </c>
    </row>
  </sheetData>
  <mergeCells count="19">
    <mergeCell ref="C7:G7"/>
    <mergeCell ref="A42:B42"/>
    <mergeCell ref="A43:B43"/>
    <mergeCell ref="A48:B48"/>
    <mergeCell ref="A49:B49"/>
    <mergeCell ref="J57:J58"/>
    <mergeCell ref="A58:B58"/>
    <mergeCell ref="A62:B62"/>
    <mergeCell ref="A63:B63"/>
    <mergeCell ref="A50:B50"/>
    <mergeCell ref="A51:B51"/>
    <mergeCell ref="A56:B56"/>
    <mergeCell ref="A57:B57"/>
    <mergeCell ref="H57:H58"/>
    <mergeCell ref="A64:B64"/>
    <mergeCell ref="A65:B65"/>
    <mergeCell ref="A66:B66"/>
    <mergeCell ref="A69:B69"/>
    <mergeCell ref="I57:I5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J78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0.28515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114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7869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138</v>
      </c>
      <c r="F9" s="10"/>
      <c r="G9" s="10">
        <f t="shared" ref="G9:G46" si="0">SUM(C9:F9)</f>
        <v>138</v>
      </c>
      <c r="H9" s="16">
        <f t="shared" ref="H9:H46" si="1">ROUND(G9/7869,2)</f>
        <v>0.02</v>
      </c>
      <c r="I9" s="15">
        <f t="shared" ref="I9:I46" si="2">ROUND(G9/$G$47,3)</f>
        <v>0</v>
      </c>
      <c r="J9" s="15">
        <f>ROUND(G9/135-1,2)</f>
        <v>0.02</v>
      </c>
    </row>
    <row r="10" spans="1:10" x14ac:dyDescent="0.25">
      <c r="A10" s="1" t="s">
        <v>16</v>
      </c>
      <c r="B10" s="1" t="s">
        <v>90</v>
      </c>
      <c r="C10" s="10"/>
      <c r="D10" s="10"/>
      <c r="E10" s="10"/>
      <c r="F10" s="10">
        <v>13840</v>
      </c>
      <c r="G10" s="10">
        <f t="shared" si="0"/>
        <v>13840</v>
      </c>
      <c r="H10" s="16">
        <f t="shared" si="1"/>
        <v>1.76</v>
      </c>
      <c r="I10" s="15">
        <f t="shared" si="2"/>
        <v>5.0000000000000001E-3</v>
      </c>
      <c r="J10" s="15">
        <f>ROUND(G10/23240-1,2)</f>
        <v>-0.4</v>
      </c>
    </row>
    <row r="11" spans="1:10" x14ac:dyDescent="0.25">
      <c r="A11" s="1" t="s">
        <v>16</v>
      </c>
      <c r="B11" s="1" t="s">
        <v>19</v>
      </c>
      <c r="C11" s="10">
        <v>229260</v>
      </c>
      <c r="D11" s="10"/>
      <c r="E11" s="10">
        <v>6850</v>
      </c>
      <c r="F11" s="10">
        <v>240</v>
      </c>
      <c r="G11" s="10">
        <f t="shared" si="0"/>
        <v>236350</v>
      </c>
      <c r="H11" s="16">
        <f t="shared" si="1"/>
        <v>30.04</v>
      </c>
      <c r="I11" s="15">
        <f t="shared" si="2"/>
        <v>9.0999999999999998E-2</v>
      </c>
      <c r="J11" s="15">
        <f>ROUND(G11/219360-1,2)</f>
        <v>0.08</v>
      </c>
    </row>
    <row r="12" spans="1:10" x14ac:dyDescent="0.25">
      <c r="A12" s="1" t="s">
        <v>16</v>
      </c>
      <c r="B12" s="1" t="s">
        <v>20</v>
      </c>
      <c r="C12" s="10">
        <v>254510</v>
      </c>
      <c r="D12" s="10"/>
      <c r="E12" s="10"/>
      <c r="F12" s="10"/>
      <c r="G12" s="10">
        <f t="shared" si="0"/>
        <v>254510</v>
      </c>
      <c r="H12" s="16">
        <f t="shared" si="1"/>
        <v>32.340000000000003</v>
      </c>
      <c r="I12" s="15">
        <f t="shared" si="2"/>
        <v>9.8000000000000004E-2</v>
      </c>
      <c r="J12" s="15">
        <f>ROUND(G12/239710-1,2)</f>
        <v>0.06</v>
      </c>
    </row>
    <row r="13" spans="1:10" x14ac:dyDescent="0.25">
      <c r="A13" s="1" t="s">
        <v>16</v>
      </c>
      <c r="B13" s="1" t="s">
        <v>95</v>
      </c>
      <c r="C13" s="10"/>
      <c r="D13" s="10"/>
      <c r="E13" s="10">
        <v>25</v>
      </c>
      <c r="F13" s="10"/>
      <c r="G13" s="10">
        <f t="shared" si="0"/>
        <v>25</v>
      </c>
      <c r="H13" s="16">
        <f t="shared" si="1"/>
        <v>0</v>
      </c>
      <c r="I13" s="15">
        <f t="shared" si="2"/>
        <v>0</v>
      </c>
      <c r="J13" s="15">
        <f>ROUND(G13/57-1,2)</f>
        <v>-0.56000000000000005</v>
      </c>
    </row>
    <row r="14" spans="1:10" x14ac:dyDescent="0.25">
      <c r="A14" s="1" t="s">
        <v>16</v>
      </c>
      <c r="B14" s="1" t="s">
        <v>21</v>
      </c>
      <c r="C14" s="10"/>
      <c r="D14" s="10"/>
      <c r="E14" s="10">
        <v>447</v>
      </c>
      <c r="F14" s="10"/>
      <c r="G14" s="10">
        <f t="shared" si="0"/>
        <v>447</v>
      </c>
      <c r="H14" s="16">
        <f t="shared" si="1"/>
        <v>0.06</v>
      </c>
      <c r="I14" s="15">
        <f t="shared" si="2"/>
        <v>0</v>
      </c>
      <c r="J14" s="15">
        <f>ROUND(G14/330-1,2)</f>
        <v>0.35</v>
      </c>
    </row>
    <row r="15" spans="1:10" x14ac:dyDescent="0.25">
      <c r="A15" s="1" t="s">
        <v>16</v>
      </c>
      <c r="B15" s="1" t="s">
        <v>22</v>
      </c>
      <c r="C15" s="10"/>
      <c r="D15" s="10"/>
      <c r="E15" s="10">
        <v>3200</v>
      </c>
      <c r="F15" s="10"/>
      <c r="G15" s="10">
        <f t="shared" si="0"/>
        <v>3200</v>
      </c>
      <c r="H15" s="16">
        <f t="shared" si="1"/>
        <v>0.41</v>
      </c>
      <c r="I15" s="15">
        <f t="shared" si="2"/>
        <v>1E-3</v>
      </c>
      <c r="J15" s="15">
        <f>ROUND(G15/3000-1,2)</f>
        <v>7.0000000000000007E-2</v>
      </c>
    </row>
    <row r="16" spans="1:10" x14ac:dyDescent="0.25">
      <c r="A16" s="1" t="s">
        <v>16</v>
      </c>
      <c r="B16" s="1" t="s">
        <v>23</v>
      </c>
      <c r="C16" s="10"/>
      <c r="D16" s="10"/>
      <c r="E16" s="10">
        <v>100580</v>
      </c>
      <c r="F16" s="10"/>
      <c r="G16" s="10">
        <f t="shared" si="0"/>
        <v>100580</v>
      </c>
      <c r="H16" s="16">
        <f t="shared" si="1"/>
        <v>12.78</v>
      </c>
      <c r="I16" s="15">
        <f t="shared" si="2"/>
        <v>3.9E-2</v>
      </c>
      <c r="J16" s="15">
        <f>ROUND(G16/77080-1,2)</f>
        <v>0.3</v>
      </c>
    </row>
    <row r="17" spans="1:10" x14ac:dyDescent="0.25">
      <c r="A17" s="1" t="s">
        <v>16</v>
      </c>
      <c r="B17" s="1" t="s">
        <v>24</v>
      </c>
      <c r="C17" s="10">
        <v>330280</v>
      </c>
      <c r="D17" s="10"/>
      <c r="E17" s="10">
        <v>28780</v>
      </c>
      <c r="F17" s="10">
        <v>400</v>
      </c>
      <c r="G17" s="10">
        <f t="shared" si="0"/>
        <v>359460</v>
      </c>
      <c r="H17" s="16">
        <f t="shared" si="1"/>
        <v>45.68</v>
      </c>
      <c r="I17" s="15">
        <f t="shared" si="2"/>
        <v>0.13900000000000001</v>
      </c>
      <c r="J17" s="15">
        <f>ROUND(G17/356180-1,2)</f>
        <v>0.01</v>
      </c>
    </row>
    <row r="18" spans="1:10" x14ac:dyDescent="0.25">
      <c r="A18" s="1" t="s">
        <v>16</v>
      </c>
      <c r="B18" s="1" t="s">
        <v>25</v>
      </c>
      <c r="C18" s="10"/>
      <c r="D18" s="10"/>
      <c r="E18" s="10">
        <v>7655</v>
      </c>
      <c r="F18" s="10"/>
      <c r="G18" s="10">
        <f t="shared" si="0"/>
        <v>7655</v>
      </c>
      <c r="H18" s="16">
        <f t="shared" si="1"/>
        <v>0.97</v>
      </c>
      <c r="I18" s="15">
        <f t="shared" si="2"/>
        <v>3.0000000000000001E-3</v>
      </c>
      <c r="J18" s="15">
        <f>ROUND(G18/6020-1,2)</f>
        <v>0.27</v>
      </c>
    </row>
    <row r="19" spans="1:10" x14ac:dyDescent="0.25">
      <c r="A19" s="1" t="s">
        <v>16</v>
      </c>
      <c r="B19" s="1" t="s">
        <v>26</v>
      </c>
      <c r="C19" s="10">
        <v>463300</v>
      </c>
      <c r="D19" s="10"/>
      <c r="E19" s="10"/>
      <c r="F19" s="10">
        <v>50</v>
      </c>
      <c r="G19" s="10">
        <f t="shared" si="0"/>
        <v>463350</v>
      </c>
      <c r="H19" s="16">
        <f t="shared" si="1"/>
        <v>58.88</v>
      </c>
      <c r="I19" s="15">
        <f t="shared" si="2"/>
        <v>0.17899999999999999</v>
      </c>
      <c r="J19" s="15">
        <f>ROUND(G19/475360-1,2)</f>
        <v>-0.03</v>
      </c>
    </row>
    <row r="20" spans="1:10" x14ac:dyDescent="0.25">
      <c r="A20" s="1" t="s">
        <v>16</v>
      </c>
      <c r="B20" s="1" t="s">
        <v>27</v>
      </c>
      <c r="C20" s="10"/>
      <c r="D20" s="10"/>
      <c r="E20" s="10">
        <v>2680</v>
      </c>
      <c r="F20" s="10"/>
      <c r="G20" s="10">
        <f t="shared" si="0"/>
        <v>2680</v>
      </c>
      <c r="H20" s="16">
        <f t="shared" si="1"/>
        <v>0.34</v>
      </c>
      <c r="I20" s="15">
        <f t="shared" si="2"/>
        <v>1E-3</v>
      </c>
      <c r="J20" s="15">
        <f>ROUND(G20/2294-1,2)</f>
        <v>0.17</v>
      </c>
    </row>
    <row r="21" spans="1:10" x14ac:dyDescent="0.25">
      <c r="A21" s="1" t="s">
        <v>16</v>
      </c>
      <c r="B21" s="1" t="s">
        <v>28</v>
      </c>
      <c r="C21" s="10"/>
      <c r="D21" s="10"/>
      <c r="E21" s="10">
        <v>2068</v>
      </c>
      <c r="F21" s="10"/>
      <c r="G21" s="10">
        <f t="shared" si="0"/>
        <v>2068</v>
      </c>
      <c r="H21" s="16">
        <f t="shared" si="1"/>
        <v>0.26</v>
      </c>
      <c r="I21" s="15">
        <f t="shared" si="2"/>
        <v>1E-3</v>
      </c>
      <c r="J21" s="15">
        <f>ROUND(G21/2044-1,2)</f>
        <v>0.01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2910</v>
      </c>
      <c r="F22" s="10"/>
      <c r="G22" s="10">
        <f t="shared" si="0"/>
        <v>2910</v>
      </c>
      <c r="H22" s="16">
        <f t="shared" si="1"/>
        <v>0.37</v>
      </c>
      <c r="I22" s="15">
        <f t="shared" si="2"/>
        <v>1E-3</v>
      </c>
      <c r="J22" s="15">
        <f>ROUND(G22/6690-1,2)</f>
        <v>-0.56999999999999995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2360</v>
      </c>
      <c r="F23" s="10"/>
      <c r="G23" s="10">
        <f t="shared" si="0"/>
        <v>2360</v>
      </c>
      <c r="H23" s="16">
        <f t="shared" si="1"/>
        <v>0.3</v>
      </c>
      <c r="I23" s="15">
        <f t="shared" si="2"/>
        <v>1E-3</v>
      </c>
      <c r="J23" s="15">
        <f>ROUND(G23/2290-1,2)</f>
        <v>0.03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1000</v>
      </c>
      <c r="F24" s="10"/>
      <c r="G24" s="10">
        <f t="shared" si="0"/>
        <v>1000</v>
      </c>
      <c r="H24" s="16">
        <f t="shared" si="1"/>
        <v>0.13</v>
      </c>
      <c r="I24" s="15">
        <f t="shared" si="2"/>
        <v>0</v>
      </c>
      <c r="J24" s="15">
        <f>ROUND(G24/720-1,2)</f>
        <v>0.39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1694</v>
      </c>
      <c r="F25" s="10"/>
      <c r="G25" s="10">
        <f t="shared" si="0"/>
        <v>1694</v>
      </c>
      <c r="H25" s="16">
        <f t="shared" si="1"/>
        <v>0.22</v>
      </c>
      <c r="I25" s="15">
        <f t="shared" si="2"/>
        <v>1E-3</v>
      </c>
      <c r="J25" s="15">
        <f>ROUND(G25/1995-1,2)</f>
        <v>-0.15</v>
      </c>
    </row>
    <row r="26" spans="1:10" x14ac:dyDescent="0.25">
      <c r="A26" s="1" t="s">
        <v>16</v>
      </c>
      <c r="B26" s="1" t="s">
        <v>33</v>
      </c>
      <c r="C26" s="10"/>
      <c r="D26" s="10">
        <v>474</v>
      </c>
      <c r="E26" s="10">
        <v>149</v>
      </c>
      <c r="F26" s="10"/>
      <c r="G26" s="10">
        <f t="shared" si="0"/>
        <v>623</v>
      </c>
      <c r="H26" s="16">
        <f t="shared" si="1"/>
        <v>0.08</v>
      </c>
      <c r="I26" s="15">
        <f t="shared" si="2"/>
        <v>0</v>
      </c>
      <c r="J26" s="15">
        <f>ROUND(G26/765-1,2)</f>
        <v>-0.19</v>
      </c>
    </row>
    <row r="27" spans="1:10" x14ac:dyDescent="0.25">
      <c r="A27" s="1" t="s">
        <v>16</v>
      </c>
      <c r="B27" s="1" t="s">
        <v>35</v>
      </c>
      <c r="C27" s="10"/>
      <c r="D27" s="10"/>
      <c r="E27" s="10">
        <v>860</v>
      </c>
      <c r="F27" s="10"/>
      <c r="G27" s="10">
        <f t="shared" si="0"/>
        <v>860</v>
      </c>
      <c r="H27" s="16">
        <f t="shared" si="1"/>
        <v>0.11</v>
      </c>
      <c r="I27" s="15">
        <f t="shared" si="2"/>
        <v>0</v>
      </c>
      <c r="J27" s="15">
        <f>ROUND(G27/1045-1,2)</f>
        <v>-0.18</v>
      </c>
    </row>
    <row r="28" spans="1:10" x14ac:dyDescent="0.25">
      <c r="A28" s="1" t="s">
        <v>16</v>
      </c>
      <c r="B28" s="1" t="s">
        <v>34</v>
      </c>
      <c r="C28" s="10"/>
      <c r="D28" s="10"/>
      <c r="E28" s="10">
        <v>270</v>
      </c>
      <c r="F28" s="10"/>
      <c r="G28" s="10">
        <f t="shared" si="0"/>
        <v>270</v>
      </c>
      <c r="H28" s="16">
        <f t="shared" si="1"/>
        <v>0.03</v>
      </c>
      <c r="I28" s="15">
        <f t="shared" si="2"/>
        <v>0</v>
      </c>
      <c r="J28" s="15">
        <f>ROUND(G28/670-1,2)</f>
        <v>-0.6</v>
      </c>
    </row>
    <row r="29" spans="1:10" x14ac:dyDescent="0.25">
      <c r="A29" s="1" t="s">
        <v>16</v>
      </c>
      <c r="B29" s="1" t="s">
        <v>36</v>
      </c>
      <c r="C29" s="10"/>
      <c r="D29" s="10"/>
      <c r="E29" s="10">
        <v>1650</v>
      </c>
      <c r="F29" s="10"/>
      <c r="G29" s="10">
        <f t="shared" si="0"/>
        <v>1650</v>
      </c>
      <c r="H29" s="16">
        <f t="shared" si="1"/>
        <v>0.21</v>
      </c>
      <c r="I29" s="15">
        <f t="shared" si="2"/>
        <v>1E-3</v>
      </c>
      <c r="J29" s="15">
        <f>ROUND(G29/4730-1,2)</f>
        <v>-0.65</v>
      </c>
    </row>
    <row r="30" spans="1:10" x14ac:dyDescent="0.25">
      <c r="A30" s="1" t="s">
        <v>16</v>
      </c>
      <c r="B30" s="1" t="s">
        <v>37</v>
      </c>
      <c r="C30" s="10"/>
      <c r="D30" s="10"/>
      <c r="E30" s="10">
        <v>8270</v>
      </c>
      <c r="F30" s="10"/>
      <c r="G30" s="10">
        <f t="shared" si="0"/>
        <v>8270</v>
      </c>
      <c r="H30" s="16">
        <f t="shared" si="1"/>
        <v>1.05</v>
      </c>
      <c r="I30" s="15">
        <f t="shared" si="2"/>
        <v>3.0000000000000001E-3</v>
      </c>
      <c r="J30" s="15">
        <f>ROUND(G30/7310-1,2)</f>
        <v>0.13</v>
      </c>
    </row>
    <row r="31" spans="1:10" x14ac:dyDescent="0.25">
      <c r="A31" s="1" t="s">
        <v>16</v>
      </c>
      <c r="B31" s="1" t="s">
        <v>43</v>
      </c>
      <c r="C31" s="10"/>
      <c r="D31" s="10"/>
      <c r="E31" s="10">
        <v>7779</v>
      </c>
      <c r="F31" s="10"/>
      <c r="G31" s="10">
        <f t="shared" si="0"/>
        <v>7779</v>
      </c>
      <c r="H31" s="16">
        <f t="shared" si="1"/>
        <v>0.99</v>
      </c>
      <c r="I31" s="15">
        <f t="shared" si="2"/>
        <v>3.0000000000000001E-3</v>
      </c>
      <c r="J31" s="15">
        <f>ROUND(G31/20482-1,2)</f>
        <v>-0.62</v>
      </c>
    </row>
    <row r="32" spans="1:10" x14ac:dyDescent="0.25">
      <c r="A32" s="1" t="s">
        <v>16</v>
      </c>
      <c r="B32" s="1" t="s">
        <v>38</v>
      </c>
      <c r="C32" s="10"/>
      <c r="D32" s="10"/>
      <c r="E32" s="10">
        <v>151910</v>
      </c>
      <c r="F32" s="10"/>
      <c r="G32" s="10">
        <f t="shared" si="0"/>
        <v>151910</v>
      </c>
      <c r="H32" s="16">
        <f t="shared" si="1"/>
        <v>19.3</v>
      </c>
      <c r="I32" s="15">
        <f t="shared" si="2"/>
        <v>5.8999999999999997E-2</v>
      </c>
      <c r="J32" s="15">
        <f>ROUND(G32/123940-1,2)</f>
        <v>0.23</v>
      </c>
    </row>
    <row r="33" spans="1:10" x14ac:dyDescent="0.25">
      <c r="A33" s="1" t="s">
        <v>16</v>
      </c>
      <c r="B33" s="1" t="s">
        <v>39</v>
      </c>
      <c r="C33" s="10"/>
      <c r="D33" s="10"/>
      <c r="E33" s="10">
        <v>8030</v>
      </c>
      <c r="F33" s="10"/>
      <c r="G33" s="10">
        <f t="shared" si="0"/>
        <v>8030</v>
      </c>
      <c r="H33" s="16">
        <f t="shared" si="1"/>
        <v>1.02</v>
      </c>
      <c r="I33" s="15">
        <f t="shared" si="2"/>
        <v>3.0000000000000001E-3</v>
      </c>
      <c r="J33" s="15">
        <f>ROUND(G33/10265-1,2)</f>
        <v>-0.22</v>
      </c>
    </row>
    <row r="34" spans="1:10" x14ac:dyDescent="0.25">
      <c r="A34" s="1" t="s">
        <v>16</v>
      </c>
      <c r="B34" s="1" t="s">
        <v>40</v>
      </c>
      <c r="C34" s="10"/>
      <c r="D34" s="10"/>
      <c r="E34" s="10">
        <v>30180</v>
      </c>
      <c r="F34" s="10"/>
      <c r="G34" s="10">
        <f t="shared" si="0"/>
        <v>30180</v>
      </c>
      <c r="H34" s="16">
        <f t="shared" si="1"/>
        <v>3.84</v>
      </c>
      <c r="I34" s="15">
        <f t="shared" si="2"/>
        <v>1.2E-2</v>
      </c>
      <c r="J34" s="15">
        <f>ROUND(G34/31430-1,2)</f>
        <v>-0.04</v>
      </c>
    </row>
    <row r="35" spans="1:10" x14ac:dyDescent="0.25">
      <c r="A35" s="1" t="s">
        <v>16</v>
      </c>
      <c r="B35" s="1" t="s">
        <v>41</v>
      </c>
      <c r="C35" s="10"/>
      <c r="D35" s="10"/>
      <c r="E35" s="10">
        <v>401170</v>
      </c>
      <c r="F35" s="10">
        <v>2840</v>
      </c>
      <c r="G35" s="10">
        <f t="shared" si="0"/>
        <v>404010</v>
      </c>
      <c r="H35" s="16">
        <f t="shared" si="1"/>
        <v>51.34</v>
      </c>
      <c r="I35" s="15">
        <f t="shared" si="2"/>
        <v>0.156</v>
      </c>
      <c r="J35" s="15">
        <f>ROUND(G35/367810-1,2)</f>
        <v>0.1</v>
      </c>
    </row>
    <row r="36" spans="1:10" x14ac:dyDescent="0.25">
      <c r="A36" s="1" t="s">
        <v>16</v>
      </c>
      <c r="B36" s="1" t="s">
        <v>98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ROUND(G36/160-1,2)</f>
        <v>-1</v>
      </c>
    </row>
    <row r="37" spans="1:10" x14ac:dyDescent="0.25">
      <c r="A37" s="1" t="s">
        <v>16</v>
      </c>
      <c r="B37" s="1" t="s">
        <v>42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ROUND(G37/271-1,2)</f>
        <v>-1</v>
      </c>
    </row>
    <row r="38" spans="1:10" x14ac:dyDescent="0.25">
      <c r="A38" s="1" t="s">
        <v>16</v>
      </c>
      <c r="B38" s="1" t="s">
        <v>115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16</v>
      </c>
      <c r="B39" s="1" t="s">
        <v>116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44</v>
      </c>
      <c r="B40" s="1" t="s">
        <v>45</v>
      </c>
      <c r="C40" s="10">
        <v>377220</v>
      </c>
      <c r="D40" s="10"/>
      <c r="E40" s="10"/>
      <c r="F40" s="10">
        <v>100</v>
      </c>
      <c r="G40" s="10">
        <f t="shared" si="0"/>
        <v>377320</v>
      </c>
      <c r="H40" s="16">
        <f t="shared" si="1"/>
        <v>47.95</v>
      </c>
      <c r="I40" s="15">
        <f t="shared" si="2"/>
        <v>0.14599999999999999</v>
      </c>
      <c r="J40" s="15">
        <f>ROUND(G40/359800-1,2)</f>
        <v>0.05</v>
      </c>
    </row>
    <row r="41" spans="1:10" x14ac:dyDescent="0.25">
      <c r="A41" s="1" t="s">
        <v>44</v>
      </c>
      <c r="B41" s="1" t="s">
        <v>47</v>
      </c>
      <c r="C41" s="10"/>
      <c r="D41" s="10"/>
      <c r="E41" s="10"/>
      <c r="F41" s="10">
        <v>50270</v>
      </c>
      <c r="G41" s="10">
        <f t="shared" si="0"/>
        <v>50270</v>
      </c>
      <c r="H41" s="16">
        <f t="shared" si="1"/>
        <v>6.39</v>
      </c>
      <c r="I41" s="15">
        <f t="shared" si="2"/>
        <v>1.9E-2</v>
      </c>
      <c r="J41" s="15">
        <f>ROUND(G41/69705-1,2)</f>
        <v>-0.28000000000000003</v>
      </c>
    </row>
    <row r="42" spans="1:10" x14ac:dyDescent="0.25">
      <c r="A42" s="1" t="s">
        <v>44</v>
      </c>
      <c r="B42" s="1" t="s">
        <v>46</v>
      </c>
      <c r="C42" s="10"/>
      <c r="D42" s="10"/>
      <c r="E42" s="10">
        <v>98400</v>
      </c>
      <c r="F42" s="10"/>
      <c r="G42" s="10">
        <f t="shared" si="0"/>
        <v>98400</v>
      </c>
      <c r="H42" s="16">
        <f t="shared" si="1"/>
        <v>12.5</v>
      </c>
      <c r="I42" s="15">
        <f t="shared" si="2"/>
        <v>3.7999999999999999E-2</v>
      </c>
      <c r="J42" s="15">
        <f>ROUND(G42/84960-1,2)</f>
        <v>0.16</v>
      </c>
    </row>
    <row r="43" spans="1:10" x14ac:dyDescent="0.25">
      <c r="A43" s="1" t="s">
        <v>48</v>
      </c>
      <c r="B43" s="1" t="s">
        <v>51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>
        <f>ROUND(G43/29-1,2)</f>
        <v>-1</v>
      </c>
    </row>
    <row r="44" spans="1:10" x14ac:dyDescent="0.25">
      <c r="A44" s="1" t="s">
        <v>48</v>
      </c>
      <c r="B44" s="1" t="s">
        <v>86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1" t="s">
        <v>48</v>
      </c>
      <c r="B45" s="1" t="s">
        <v>50</v>
      </c>
      <c r="C45" s="10"/>
      <c r="D45" s="10"/>
      <c r="E45" s="10"/>
      <c r="F45" s="10"/>
      <c r="G45" s="10">
        <f t="shared" si="0"/>
        <v>0</v>
      </c>
      <c r="H45" s="16">
        <f t="shared" si="1"/>
        <v>0</v>
      </c>
      <c r="I45" s="15">
        <f t="shared" si="2"/>
        <v>0</v>
      </c>
      <c r="J45" s="15">
        <f>ROUND(G45/1130-1,2)</f>
        <v>-1</v>
      </c>
    </row>
    <row r="46" spans="1:10" x14ac:dyDescent="0.25">
      <c r="A46" s="1" t="s">
        <v>48</v>
      </c>
      <c r="B46" s="1" t="s">
        <v>49</v>
      </c>
      <c r="C46" s="10"/>
      <c r="D46" s="10"/>
      <c r="E46" s="10"/>
      <c r="F46" s="10"/>
      <c r="G46" s="10">
        <f t="shared" si="0"/>
        <v>0</v>
      </c>
      <c r="H46" s="16">
        <f t="shared" si="1"/>
        <v>0</v>
      </c>
      <c r="I46" s="15">
        <f t="shared" si="2"/>
        <v>0</v>
      </c>
      <c r="J46" s="15">
        <f>ROUND(G46/20-1,2)</f>
        <v>-1</v>
      </c>
    </row>
    <row r="47" spans="1:10" x14ac:dyDescent="0.25">
      <c r="A47" s="27" t="s">
        <v>12</v>
      </c>
      <c r="B47" s="27"/>
      <c r="C47" s="11">
        <f t="shared" ref="C47:H47" si="3">SUM(C8:C46)</f>
        <v>1654570</v>
      </c>
      <c r="D47" s="11">
        <f t="shared" si="3"/>
        <v>474</v>
      </c>
      <c r="E47" s="11">
        <f t="shared" si="3"/>
        <v>869055</v>
      </c>
      <c r="F47" s="11">
        <f t="shared" si="3"/>
        <v>67740</v>
      </c>
      <c r="G47" s="11">
        <f t="shared" si="3"/>
        <v>2591839</v>
      </c>
      <c r="H47" s="14">
        <f t="shared" si="3"/>
        <v>329.37000000000006</v>
      </c>
      <c r="I47" s="17"/>
      <c r="J47" s="17"/>
    </row>
    <row r="48" spans="1:10" x14ac:dyDescent="0.25">
      <c r="A48" s="27" t="s">
        <v>14</v>
      </c>
      <c r="B48" s="27"/>
      <c r="C48" s="12">
        <f>ROUND(C47/G47,2)</f>
        <v>0.64</v>
      </c>
      <c r="D48" s="12">
        <f>ROUND(D47/G47,2)</f>
        <v>0</v>
      </c>
      <c r="E48" s="12">
        <f>ROUND(E47/G47,2)</f>
        <v>0.34</v>
      </c>
      <c r="F48" s="12">
        <f>ROUND(F47/G47,2)</f>
        <v>0.03</v>
      </c>
      <c r="G48" s="13"/>
      <c r="H48" s="13"/>
      <c r="I48" s="17"/>
      <c r="J48" s="17"/>
    </row>
    <row r="49" spans="1:10" x14ac:dyDescent="0.25">
      <c r="A49" s="2" t="s">
        <v>52</v>
      </c>
      <c r="B49" s="2"/>
      <c r="C49" s="13"/>
      <c r="D49" s="13"/>
      <c r="E49" s="13"/>
      <c r="F49" s="13"/>
      <c r="G49" s="13"/>
      <c r="H49" s="13"/>
      <c r="I49" s="17"/>
      <c r="J49" s="17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A53" s="27" t="s">
        <v>53</v>
      </c>
      <c r="B53" s="27"/>
      <c r="C53" s="11" t="s">
        <v>8</v>
      </c>
      <c r="D53" s="11" t="s">
        <v>9</v>
      </c>
      <c r="E53" s="11" t="s">
        <v>10</v>
      </c>
      <c r="F53" s="11" t="s">
        <v>11</v>
      </c>
      <c r="G53" s="11" t="s">
        <v>12</v>
      </c>
      <c r="H53" s="14" t="s">
        <v>13</v>
      </c>
      <c r="I53" s="17"/>
      <c r="J53" s="17"/>
    </row>
    <row r="54" spans="1:10" x14ac:dyDescent="0.25">
      <c r="A54" s="22" t="s">
        <v>54</v>
      </c>
      <c r="B54" s="22"/>
      <c r="C54" s="10">
        <v>1277350</v>
      </c>
      <c r="D54" s="10">
        <v>474</v>
      </c>
      <c r="E54" s="10">
        <v>770655</v>
      </c>
      <c r="F54" s="10">
        <v>17370</v>
      </c>
      <c r="G54" s="10">
        <f>SUM(C54:F54)</f>
        <v>2065849</v>
      </c>
      <c r="H54" s="16">
        <f>ROUND(G54/7869,2)</f>
        <v>262.52999999999997</v>
      </c>
      <c r="I54" s="9"/>
      <c r="J54" s="9"/>
    </row>
    <row r="55" spans="1:10" x14ac:dyDescent="0.25">
      <c r="A55" s="22" t="s">
        <v>55</v>
      </c>
      <c r="B55" s="22"/>
      <c r="C55" s="10">
        <v>377220</v>
      </c>
      <c r="D55" s="10">
        <v>0</v>
      </c>
      <c r="E55" s="10">
        <v>98400</v>
      </c>
      <c r="F55" s="10">
        <v>50370</v>
      </c>
      <c r="G55" s="10">
        <f>SUM(C55:F55)</f>
        <v>525990</v>
      </c>
      <c r="H55" s="16">
        <f>ROUND(G55/7869,2)</f>
        <v>66.84</v>
      </c>
      <c r="I55" s="9"/>
      <c r="J55" s="9"/>
    </row>
    <row r="56" spans="1:10" x14ac:dyDescent="0.25">
      <c r="A56" s="22" t="s">
        <v>56</v>
      </c>
      <c r="B56" s="22"/>
      <c r="C56" s="10">
        <v>0</v>
      </c>
      <c r="D56" s="10">
        <v>0</v>
      </c>
      <c r="E56" s="10">
        <v>0</v>
      </c>
      <c r="F56" s="10">
        <v>0</v>
      </c>
      <c r="G56" s="10">
        <f>SUM(C56:F56)</f>
        <v>0</v>
      </c>
      <c r="H56" s="16">
        <f>ROUND(G56/7869,2)</f>
        <v>0</v>
      </c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A61" s="27" t="s">
        <v>57</v>
      </c>
      <c r="B61" s="27"/>
      <c r="C61" s="14" t="s">
        <v>2</v>
      </c>
      <c r="D61" s="14">
        <v>2023</v>
      </c>
      <c r="E61" s="14" t="s">
        <v>59</v>
      </c>
      <c r="F61" s="13"/>
      <c r="G61" s="14" t="s">
        <v>60</v>
      </c>
      <c r="H61" s="14" t="s">
        <v>2</v>
      </c>
      <c r="I61" s="12" t="s">
        <v>61</v>
      </c>
      <c r="J61" s="12" t="s">
        <v>59</v>
      </c>
    </row>
    <row r="62" spans="1:10" x14ac:dyDescent="0.25">
      <c r="A62" s="22" t="s">
        <v>58</v>
      </c>
      <c r="B62" s="22"/>
      <c r="C62" s="15">
        <f>ROUND(0.8428, 4)</f>
        <v>0.84279999999999999</v>
      </c>
      <c r="D62" s="15">
        <f>ROUND(0.8445, 4)</f>
        <v>0.84450000000000003</v>
      </c>
      <c r="E62" s="15">
        <f>ROUND(0.777, 4)</f>
        <v>0.77700000000000002</v>
      </c>
      <c r="F62" s="8"/>
      <c r="G62" s="14" t="s">
        <v>62</v>
      </c>
      <c r="H62" s="28" t="s">
        <v>63</v>
      </c>
      <c r="I62" s="25" t="s">
        <v>64</v>
      </c>
      <c r="J62" s="25" t="s">
        <v>65</v>
      </c>
    </row>
    <row r="63" spans="1:10" x14ac:dyDescent="0.25">
      <c r="A63" s="22" t="s">
        <v>66</v>
      </c>
      <c r="B63" s="22"/>
      <c r="C63" s="15">
        <f>ROUND(0.8306, 4)</f>
        <v>0.8306</v>
      </c>
      <c r="D63" s="15">
        <f>ROUND(0.8321, 4)</f>
        <v>0.83209999999999995</v>
      </c>
      <c r="E63" s="15">
        <f>ROUND(0.7608, 4)</f>
        <v>0.76080000000000003</v>
      </c>
      <c r="F63" s="8"/>
      <c r="G63" s="14" t="s">
        <v>67</v>
      </c>
      <c r="H63" s="29"/>
      <c r="I63" s="26"/>
      <c r="J63" s="26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7" t="s">
        <v>68</v>
      </c>
      <c r="B67" s="27"/>
      <c r="C67" s="14" t="s">
        <v>2</v>
      </c>
      <c r="D67" s="14" t="s">
        <v>117</v>
      </c>
      <c r="E67" s="14" t="s">
        <v>70</v>
      </c>
      <c r="F67" s="14" t="s">
        <v>71</v>
      </c>
      <c r="G67" s="14" t="s">
        <v>72</v>
      </c>
      <c r="H67" s="13"/>
      <c r="I67" s="17"/>
      <c r="J67" s="17"/>
    </row>
    <row r="68" spans="1:10" x14ac:dyDescent="0.25">
      <c r="A68" s="22" t="s">
        <v>73</v>
      </c>
      <c r="B68" s="22"/>
      <c r="C68" s="16">
        <v>47.95</v>
      </c>
      <c r="D68" s="16">
        <v>48.97</v>
      </c>
      <c r="E68" s="16">
        <v>92.53</v>
      </c>
      <c r="F68" s="16">
        <v>56.06</v>
      </c>
      <c r="G68" s="16">
        <f>12/11*C68</f>
        <v>52.309090909090905</v>
      </c>
      <c r="H68" s="8"/>
      <c r="I68" s="9"/>
      <c r="J68" s="9"/>
    </row>
    <row r="69" spans="1:10" x14ac:dyDescent="0.25">
      <c r="A69" s="22" t="s">
        <v>74</v>
      </c>
      <c r="B69" s="22"/>
      <c r="C69" s="16">
        <v>58.88</v>
      </c>
      <c r="D69" s="16">
        <v>65.25</v>
      </c>
      <c r="E69" s="16">
        <v>61.98</v>
      </c>
      <c r="F69" s="16">
        <v>64.09</v>
      </c>
      <c r="G69" s="16">
        <f>12/11*C69</f>
        <v>64.232727272727274</v>
      </c>
      <c r="H69" s="8"/>
      <c r="I69" s="9"/>
      <c r="J69" s="9"/>
    </row>
    <row r="70" spans="1:10" x14ac:dyDescent="0.25">
      <c r="A70" s="22" t="s">
        <v>75</v>
      </c>
      <c r="B70" s="22"/>
      <c r="C70" s="16">
        <v>262.52999999999997</v>
      </c>
      <c r="D70" s="16">
        <v>257.29000000000002</v>
      </c>
      <c r="E70" s="16">
        <v>291.51</v>
      </c>
      <c r="F70" s="16">
        <v>284.45</v>
      </c>
      <c r="G70" s="16">
        <f>12/11*C70</f>
        <v>286.39636363636356</v>
      </c>
      <c r="H70" s="8"/>
      <c r="I70" s="9"/>
      <c r="J70" s="9"/>
    </row>
    <row r="71" spans="1:10" x14ac:dyDescent="0.25">
      <c r="A71" s="22" t="s">
        <v>76</v>
      </c>
      <c r="B71" s="22"/>
      <c r="C71" s="16">
        <v>66.84</v>
      </c>
      <c r="D71" s="16">
        <v>67.83</v>
      </c>
      <c r="E71" s="16">
        <v>116.46</v>
      </c>
      <c r="F71" s="16">
        <v>79.959999999999994</v>
      </c>
      <c r="G71" s="16">
        <f>12/11*C71</f>
        <v>72.916363636363641</v>
      </c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4" spans="1:10" x14ac:dyDescent="0.25">
      <c r="A74" s="23" t="s">
        <v>60</v>
      </c>
      <c r="B74" s="24"/>
    </row>
    <row r="75" spans="1:10" x14ac:dyDescent="0.25">
      <c r="A75" s="3" t="s">
        <v>77</v>
      </c>
      <c r="B75" s="1" t="s">
        <v>118</v>
      </c>
    </row>
    <row r="76" spans="1:10" x14ac:dyDescent="0.25">
      <c r="A76" s="3" t="s">
        <v>70</v>
      </c>
      <c r="B76" s="1" t="s">
        <v>79</v>
      </c>
    </row>
    <row r="77" spans="1:10" x14ac:dyDescent="0.25">
      <c r="A77" s="3" t="s">
        <v>71</v>
      </c>
      <c r="B77" s="1" t="s">
        <v>80</v>
      </c>
    </row>
    <row r="78" spans="1:10" x14ac:dyDescent="0.25">
      <c r="A78" s="3" t="s">
        <v>72</v>
      </c>
      <c r="B78" s="1" t="s">
        <v>81</v>
      </c>
    </row>
  </sheetData>
  <mergeCells count="19">
    <mergeCell ref="C7:G7"/>
    <mergeCell ref="A47:B47"/>
    <mergeCell ref="A48:B48"/>
    <mergeCell ref="A53:B53"/>
    <mergeCell ref="A54:B54"/>
    <mergeCell ref="J62:J63"/>
    <mergeCell ref="A63:B63"/>
    <mergeCell ref="A67:B67"/>
    <mergeCell ref="A68:B68"/>
    <mergeCell ref="A55:B55"/>
    <mergeCell ref="A56:B56"/>
    <mergeCell ref="A61:B61"/>
    <mergeCell ref="A62:B62"/>
    <mergeCell ref="H62:H63"/>
    <mergeCell ref="A69:B69"/>
    <mergeCell ref="A70:B70"/>
    <mergeCell ref="A71:B71"/>
    <mergeCell ref="A74:B74"/>
    <mergeCell ref="I62:I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72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1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119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955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32</v>
      </c>
      <c r="F9" s="10"/>
      <c r="G9" s="10">
        <f t="shared" ref="G9:G40" si="0">SUM(C9:F9)</f>
        <v>32</v>
      </c>
      <c r="H9" s="16">
        <f t="shared" ref="H9:H40" si="1">ROUND(G9/955,2)</f>
        <v>0.03</v>
      </c>
      <c r="I9" s="15">
        <f t="shared" ref="I9:I40" si="2">ROUND(G9/$G$41,3)</f>
        <v>0</v>
      </c>
      <c r="J9" s="15"/>
    </row>
    <row r="10" spans="1:10" x14ac:dyDescent="0.25">
      <c r="A10" s="1" t="s">
        <v>16</v>
      </c>
      <c r="B10" s="1" t="s">
        <v>18</v>
      </c>
      <c r="C10" s="10"/>
      <c r="D10" s="10"/>
      <c r="E10" s="10">
        <v>3588</v>
      </c>
      <c r="F10" s="10"/>
      <c r="G10" s="10">
        <f t="shared" si="0"/>
        <v>3588</v>
      </c>
      <c r="H10" s="16">
        <f t="shared" si="1"/>
        <v>3.76</v>
      </c>
      <c r="I10" s="15">
        <f t="shared" si="2"/>
        <v>8.9999999999999993E-3</v>
      </c>
      <c r="J10" s="15"/>
    </row>
    <row r="11" spans="1:10" x14ac:dyDescent="0.25">
      <c r="A11" s="1" t="s">
        <v>16</v>
      </c>
      <c r="B11" s="1" t="s">
        <v>19</v>
      </c>
      <c r="C11" s="10">
        <v>31080</v>
      </c>
      <c r="D11" s="10"/>
      <c r="E11" s="10">
        <v>6446</v>
      </c>
      <c r="F11" s="10"/>
      <c r="G11" s="10">
        <f t="shared" si="0"/>
        <v>37526</v>
      </c>
      <c r="H11" s="16">
        <f t="shared" si="1"/>
        <v>39.29</v>
      </c>
      <c r="I11" s="15">
        <f t="shared" si="2"/>
        <v>9.8000000000000004E-2</v>
      </c>
      <c r="J11" s="15">
        <f>ROUND(G11/31066.85-1,2)</f>
        <v>0.21</v>
      </c>
    </row>
    <row r="12" spans="1:10" x14ac:dyDescent="0.25">
      <c r="A12" s="1" t="s">
        <v>16</v>
      </c>
      <c r="B12" s="1" t="s">
        <v>20</v>
      </c>
      <c r="C12" s="10">
        <v>38575</v>
      </c>
      <c r="D12" s="10"/>
      <c r="E12" s="10"/>
      <c r="F12" s="10"/>
      <c r="G12" s="10">
        <f t="shared" si="0"/>
        <v>38575</v>
      </c>
      <c r="H12" s="16">
        <f t="shared" si="1"/>
        <v>40.39</v>
      </c>
      <c r="I12" s="15">
        <f t="shared" si="2"/>
        <v>0.10100000000000001</v>
      </c>
      <c r="J12" s="15">
        <f>ROUND(G12/45476.11-1,2)</f>
        <v>-0.15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101</v>
      </c>
      <c r="F13" s="10"/>
      <c r="G13" s="10">
        <f t="shared" si="0"/>
        <v>101</v>
      </c>
      <c r="H13" s="16">
        <f t="shared" si="1"/>
        <v>0.11</v>
      </c>
      <c r="I13" s="15">
        <f t="shared" si="2"/>
        <v>0</v>
      </c>
      <c r="J13" s="15">
        <f>ROUND(G13/10.38-1,2)</f>
        <v>8.73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584</v>
      </c>
      <c r="F14" s="10"/>
      <c r="G14" s="10">
        <f t="shared" si="0"/>
        <v>584</v>
      </c>
      <c r="H14" s="16">
        <f t="shared" si="1"/>
        <v>0.61</v>
      </c>
      <c r="I14" s="15">
        <f t="shared" si="2"/>
        <v>2E-3</v>
      </c>
      <c r="J14" s="15">
        <f>ROUND(G14/156.25-1,2)</f>
        <v>2.74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28581</v>
      </c>
      <c r="F15" s="10"/>
      <c r="G15" s="10">
        <f t="shared" si="0"/>
        <v>28581</v>
      </c>
      <c r="H15" s="16">
        <f t="shared" si="1"/>
        <v>29.93</v>
      </c>
      <c r="I15" s="15">
        <f t="shared" si="2"/>
        <v>7.4999999999999997E-2</v>
      </c>
      <c r="J15" s="15">
        <f>ROUND(G15/14471.28-1,2)</f>
        <v>0.98</v>
      </c>
    </row>
    <row r="16" spans="1:10" x14ac:dyDescent="0.25">
      <c r="A16" s="1" t="s">
        <v>16</v>
      </c>
      <c r="B16" s="1" t="s">
        <v>24</v>
      </c>
      <c r="C16" s="10">
        <v>36030</v>
      </c>
      <c r="D16" s="10"/>
      <c r="E16" s="10">
        <v>15517</v>
      </c>
      <c r="F16" s="10"/>
      <c r="G16" s="10">
        <f t="shared" si="0"/>
        <v>51547</v>
      </c>
      <c r="H16" s="16">
        <f t="shared" si="1"/>
        <v>53.98</v>
      </c>
      <c r="I16" s="15">
        <f t="shared" si="2"/>
        <v>0.13500000000000001</v>
      </c>
      <c r="J16" s="15">
        <f>ROUND(G16/38888.82-1,2)</f>
        <v>0.33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1920</v>
      </c>
      <c r="F17" s="10"/>
      <c r="G17" s="10">
        <f t="shared" si="0"/>
        <v>1920</v>
      </c>
      <c r="H17" s="16">
        <f t="shared" si="1"/>
        <v>2.0099999999999998</v>
      </c>
      <c r="I17" s="15">
        <f t="shared" si="2"/>
        <v>5.0000000000000001E-3</v>
      </c>
      <c r="J17" s="15"/>
    </row>
    <row r="18" spans="1:10" x14ac:dyDescent="0.25">
      <c r="A18" s="1" t="s">
        <v>16</v>
      </c>
      <c r="B18" s="1" t="s">
        <v>26</v>
      </c>
      <c r="C18" s="10">
        <v>43200</v>
      </c>
      <c r="D18" s="10"/>
      <c r="E18" s="10"/>
      <c r="F18" s="10"/>
      <c r="G18" s="10">
        <f t="shared" si="0"/>
        <v>43200</v>
      </c>
      <c r="H18" s="16">
        <f t="shared" si="1"/>
        <v>45.24</v>
      </c>
      <c r="I18" s="15">
        <f t="shared" si="2"/>
        <v>0.113</v>
      </c>
      <c r="J18" s="15">
        <f>ROUND(G18/42810-1,2)</f>
        <v>0.01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233</v>
      </c>
      <c r="F19" s="10"/>
      <c r="G19" s="10">
        <f t="shared" si="0"/>
        <v>233</v>
      </c>
      <c r="H19" s="16">
        <f t="shared" si="1"/>
        <v>0.24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28</v>
      </c>
      <c r="C20" s="10"/>
      <c r="D20" s="10"/>
      <c r="E20" s="10">
        <v>103</v>
      </c>
      <c r="F20" s="10"/>
      <c r="G20" s="10">
        <f t="shared" si="0"/>
        <v>103</v>
      </c>
      <c r="H20" s="16">
        <f t="shared" si="1"/>
        <v>0.11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29</v>
      </c>
      <c r="C21" s="10"/>
      <c r="D21" s="10"/>
      <c r="E21" s="10">
        <v>486</v>
      </c>
      <c r="F21" s="10"/>
      <c r="G21" s="10">
        <f t="shared" si="0"/>
        <v>486</v>
      </c>
      <c r="H21" s="16">
        <f t="shared" si="1"/>
        <v>0.51</v>
      </c>
      <c r="I21" s="15">
        <f t="shared" si="2"/>
        <v>1E-3</v>
      </c>
      <c r="J21" s="15">
        <f>ROUND(G21/431.82-1,2)</f>
        <v>0.13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405</v>
      </c>
      <c r="F22" s="10"/>
      <c r="G22" s="10">
        <f t="shared" si="0"/>
        <v>405</v>
      </c>
      <c r="H22" s="16">
        <f t="shared" si="1"/>
        <v>0.42</v>
      </c>
      <c r="I22" s="15">
        <f t="shared" si="2"/>
        <v>1E-3</v>
      </c>
      <c r="J22" s="15">
        <f>ROUND(G22/118.46-1,2)</f>
        <v>2.42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144</v>
      </c>
      <c r="F23" s="10"/>
      <c r="G23" s="10">
        <f t="shared" si="0"/>
        <v>144</v>
      </c>
      <c r="H23" s="16">
        <f t="shared" si="1"/>
        <v>0.15</v>
      </c>
      <c r="I23" s="15">
        <f t="shared" si="2"/>
        <v>0</v>
      </c>
      <c r="J23" s="15">
        <f>ROUND(G23/16.48-1,2)</f>
        <v>7.74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478</v>
      </c>
      <c r="F24" s="10"/>
      <c r="G24" s="10">
        <f t="shared" si="0"/>
        <v>478</v>
      </c>
      <c r="H24" s="16">
        <f t="shared" si="1"/>
        <v>0.5</v>
      </c>
      <c r="I24" s="15">
        <f t="shared" si="2"/>
        <v>1E-3</v>
      </c>
      <c r="J24" s="15">
        <f>ROUND(G24/742.88-1,2)</f>
        <v>-0.36</v>
      </c>
    </row>
    <row r="25" spans="1:10" x14ac:dyDescent="0.25">
      <c r="A25" s="1" t="s">
        <v>16</v>
      </c>
      <c r="B25" s="1" t="s">
        <v>33</v>
      </c>
      <c r="C25" s="10"/>
      <c r="D25" s="10"/>
      <c r="E25" s="10">
        <v>133</v>
      </c>
      <c r="F25" s="10"/>
      <c r="G25" s="10">
        <f t="shared" si="0"/>
        <v>133</v>
      </c>
      <c r="H25" s="16">
        <f t="shared" si="1"/>
        <v>0.14000000000000001</v>
      </c>
      <c r="I25" s="15">
        <f t="shared" si="2"/>
        <v>0</v>
      </c>
      <c r="J25" s="15"/>
    </row>
    <row r="26" spans="1:10" x14ac:dyDescent="0.25">
      <c r="A26" s="1" t="s">
        <v>16</v>
      </c>
      <c r="B26" s="1" t="s">
        <v>34</v>
      </c>
      <c r="C26" s="10"/>
      <c r="D26" s="10"/>
      <c r="E26" s="10">
        <v>503</v>
      </c>
      <c r="F26" s="10"/>
      <c r="G26" s="10">
        <f t="shared" si="0"/>
        <v>503</v>
      </c>
      <c r="H26" s="16">
        <f t="shared" si="1"/>
        <v>0.53</v>
      </c>
      <c r="I26" s="15">
        <f t="shared" si="2"/>
        <v>1E-3</v>
      </c>
      <c r="J26" s="15"/>
    </row>
    <row r="27" spans="1:10" x14ac:dyDescent="0.25">
      <c r="A27" s="1" t="s">
        <v>16</v>
      </c>
      <c r="B27" s="1" t="s">
        <v>35</v>
      </c>
      <c r="C27" s="10"/>
      <c r="D27" s="10"/>
      <c r="E27" s="10">
        <v>190</v>
      </c>
      <c r="F27" s="10"/>
      <c r="G27" s="10">
        <f t="shared" si="0"/>
        <v>190</v>
      </c>
      <c r="H27" s="16">
        <f t="shared" si="1"/>
        <v>0.2</v>
      </c>
      <c r="I27" s="15">
        <f t="shared" si="2"/>
        <v>0</v>
      </c>
      <c r="J27" s="15">
        <f>ROUND(G27/20.66-1,2)</f>
        <v>8.1999999999999993</v>
      </c>
    </row>
    <row r="28" spans="1:10" x14ac:dyDescent="0.25">
      <c r="A28" s="1" t="s">
        <v>16</v>
      </c>
      <c r="B28" s="1" t="s">
        <v>36</v>
      </c>
      <c r="C28" s="10"/>
      <c r="D28" s="10"/>
      <c r="E28" s="10">
        <v>107</v>
      </c>
      <c r="F28" s="10"/>
      <c r="G28" s="10">
        <f t="shared" si="0"/>
        <v>107</v>
      </c>
      <c r="H28" s="16">
        <f t="shared" si="1"/>
        <v>0.11</v>
      </c>
      <c r="I28" s="15">
        <f t="shared" si="2"/>
        <v>0</v>
      </c>
      <c r="J28" s="15">
        <f>ROUND(G28/702.45-1,2)</f>
        <v>-0.85</v>
      </c>
    </row>
    <row r="29" spans="1:10" x14ac:dyDescent="0.25">
      <c r="A29" s="1" t="s">
        <v>16</v>
      </c>
      <c r="B29" s="1" t="s">
        <v>38</v>
      </c>
      <c r="C29" s="10"/>
      <c r="D29" s="10"/>
      <c r="E29" s="10">
        <v>33192</v>
      </c>
      <c r="F29" s="10"/>
      <c r="G29" s="10">
        <f t="shared" si="0"/>
        <v>33192</v>
      </c>
      <c r="H29" s="16">
        <f t="shared" si="1"/>
        <v>34.76</v>
      </c>
      <c r="I29" s="15">
        <f t="shared" si="2"/>
        <v>8.6999999999999994E-2</v>
      </c>
      <c r="J29" s="15">
        <f>ROUND(G29/8165.47-1,2)</f>
        <v>3.06</v>
      </c>
    </row>
    <row r="30" spans="1:10" x14ac:dyDescent="0.25">
      <c r="A30" s="1" t="s">
        <v>16</v>
      </c>
      <c r="B30" s="1" t="s">
        <v>39</v>
      </c>
      <c r="C30" s="10"/>
      <c r="D30" s="10"/>
      <c r="E30" s="10">
        <v>2789</v>
      </c>
      <c r="F30" s="10"/>
      <c r="G30" s="10">
        <f t="shared" si="0"/>
        <v>2789</v>
      </c>
      <c r="H30" s="16">
        <f t="shared" si="1"/>
        <v>2.92</v>
      </c>
      <c r="I30" s="15">
        <f t="shared" si="2"/>
        <v>7.0000000000000001E-3</v>
      </c>
      <c r="J30" s="15">
        <f>ROUND(G30/1100.26-1,2)</f>
        <v>1.53</v>
      </c>
    </row>
    <row r="31" spans="1:10" x14ac:dyDescent="0.25">
      <c r="A31" s="1" t="s">
        <v>16</v>
      </c>
      <c r="B31" s="1" t="s">
        <v>40</v>
      </c>
      <c r="C31" s="10"/>
      <c r="D31" s="10"/>
      <c r="E31" s="10">
        <v>11042</v>
      </c>
      <c r="F31" s="10"/>
      <c r="G31" s="10">
        <f t="shared" si="0"/>
        <v>11042</v>
      </c>
      <c r="H31" s="16">
        <f t="shared" si="1"/>
        <v>11.56</v>
      </c>
      <c r="I31" s="15">
        <f t="shared" si="2"/>
        <v>2.9000000000000001E-2</v>
      </c>
      <c r="J31" s="15">
        <f>ROUND(G31/4485.29-1,2)</f>
        <v>1.46</v>
      </c>
    </row>
    <row r="32" spans="1:10" x14ac:dyDescent="0.25">
      <c r="A32" s="1" t="s">
        <v>16</v>
      </c>
      <c r="B32" s="1" t="s">
        <v>41</v>
      </c>
      <c r="C32" s="10"/>
      <c r="D32" s="10"/>
      <c r="E32" s="10">
        <v>22228</v>
      </c>
      <c r="F32" s="10"/>
      <c r="G32" s="10">
        <f t="shared" si="0"/>
        <v>22228</v>
      </c>
      <c r="H32" s="16">
        <f t="shared" si="1"/>
        <v>23.28</v>
      </c>
      <c r="I32" s="15">
        <f t="shared" si="2"/>
        <v>5.8000000000000003E-2</v>
      </c>
      <c r="J32" s="15">
        <f>ROUND(G32/7987-1,2)</f>
        <v>1.78</v>
      </c>
    </row>
    <row r="33" spans="1:10" x14ac:dyDescent="0.25">
      <c r="A33" s="1" t="s">
        <v>16</v>
      </c>
      <c r="B33" s="1" t="s">
        <v>37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ROUND(G33/617.96-1,2)</f>
        <v>-1</v>
      </c>
    </row>
    <row r="34" spans="1:10" x14ac:dyDescent="0.25">
      <c r="A34" s="1" t="s">
        <v>16</v>
      </c>
      <c r="B34" s="1" t="s">
        <v>42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ROUND(G34/25.87-1,2)</f>
        <v>-1</v>
      </c>
    </row>
    <row r="35" spans="1:10" x14ac:dyDescent="0.25">
      <c r="A35" s="1" t="s">
        <v>16</v>
      </c>
      <c r="B35" s="1" t="s">
        <v>120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44</v>
      </c>
      <c r="B36" s="1" t="s">
        <v>45</v>
      </c>
      <c r="C36" s="10">
        <v>79540</v>
      </c>
      <c r="D36" s="10"/>
      <c r="E36" s="10"/>
      <c r="F36" s="10"/>
      <c r="G36" s="10">
        <f t="shared" si="0"/>
        <v>79540</v>
      </c>
      <c r="H36" s="16">
        <f t="shared" si="1"/>
        <v>83.29</v>
      </c>
      <c r="I36" s="15">
        <f t="shared" si="2"/>
        <v>0.20899999999999999</v>
      </c>
      <c r="J36" s="15">
        <f>ROUND(G36/71970-1,2)</f>
        <v>0.11</v>
      </c>
    </row>
    <row r="37" spans="1:10" x14ac:dyDescent="0.25">
      <c r="A37" s="1" t="s">
        <v>44</v>
      </c>
      <c r="B37" s="1" t="s">
        <v>46</v>
      </c>
      <c r="C37" s="10"/>
      <c r="D37" s="10"/>
      <c r="E37" s="10">
        <v>24047</v>
      </c>
      <c r="F37" s="10"/>
      <c r="G37" s="10">
        <f t="shared" si="0"/>
        <v>24047</v>
      </c>
      <c r="H37" s="16">
        <f t="shared" si="1"/>
        <v>25.18</v>
      </c>
      <c r="I37" s="15">
        <f t="shared" si="2"/>
        <v>6.3E-2</v>
      </c>
      <c r="J37" s="15">
        <f>ROUND(G37/10787.89-1,2)</f>
        <v>1.23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48</v>
      </c>
      <c r="B39" s="1" t="s">
        <v>86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48</v>
      </c>
      <c r="B40" s="1" t="s">
        <v>51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27" t="s">
        <v>12</v>
      </c>
      <c r="B41" s="27"/>
      <c r="C41" s="11">
        <f t="shared" ref="C41:H41" si="3">SUM(C8:C40)</f>
        <v>228425</v>
      </c>
      <c r="D41" s="11">
        <f t="shared" si="3"/>
        <v>0</v>
      </c>
      <c r="E41" s="11">
        <f t="shared" si="3"/>
        <v>152849</v>
      </c>
      <c r="F41" s="11">
        <f t="shared" si="3"/>
        <v>0</v>
      </c>
      <c r="G41" s="11">
        <f t="shared" si="3"/>
        <v>381274</v>
      </c>
      <c r="H41" s="14">
        <f t="shared" si="3"/>
        <v>399.25</v>
      </c>
      <c r="I41" s="17"/>
      <c r="J41" s="17"/>
    </row>
    <row r="42" spans="1:10" x14ac:dyDescent="0.25">
      <c r="A42" s="27" t="s">
        <v>14</v>
      </c>
      <c r="B42" s="27"/>
      <c r="C42" s="12">
        <f>ROUND(C41/G41,2)</f>
        <v>0.6</v>
      </c>
      <c r="D42" s="12">
        <f>ROUND(D41/G41,2)</f>
        <v>0</v>
      </c>
      <c r="E42" s="12">
        <f>ROUND(E41/G41,2)</f>
        <v>0.4</v>
      </c>
      <c r="F42" s="12">
        <f>ROUND(F41/G41,2)</f>
        <v>0</v>
      </c>
      <c r="G42" s="13"/>
      <c r="H42" s="13"/>
      <c r="I42" s="17"/>
      <c r="J42" s="17"/>
    </row>
    <row r="43" spans="1:10" x14ac:dyDescent="0.25">
      <c r="A43" s="2" t="s">
        <v>52</v>
      </c>
      <c r="B43" s="2"/>
      <c r="C43" s="13"/>
      <c r="D43" s="13"/>
      <c r="E43" s="13"/>
      <c r="F43" s="13"/>
      <c r="G43" s="13"/>
      <c r="H43" s="13"/>
      <c r="I43" s="17"/>
      <c r="J43" s="17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A47" s="27" t="s">
        <v>53</v>
      </c>
      <c r="B47" s="27"/>
      <c r="C47" s="11" t="s">
        <v>8</v>
      </c>
      <c r="D47" s="11" t="s">
        <v>9</v>
      </c>
      <c r="E47" s="11" t="s">
        <v>10</v>
      </c>
      <c r="F47" s="11" t="s">
        <v>11</v>
      </c>
      <c r="G47" s="11" t="s">
        <v>12</v>
      </c>
      <c r="H47" s="14" t="s">
        <v>13</v>
      </c>
      <c r="I47" s="17"/>
      <c r="J47" s="17"/>
    </row>
    <row r="48" spans="1:10" x14ac:dyDescent="0.25">
      <c r="A48" s="22" t="s">
        <v>54</v>
      </c>
      <c r="B48" s="22"/>
      <c r="C48" s="10">
        <v>148885</v>
      </c>
      <c r="D48" s="10">
        <v>0</v>
      </c>
      <c r="E48" s="10">
        <v>128802</v>
      </c>
      <c r="F48" s="10">
        <v>0</v>
      </c>
      <c r="G48" s="10">
        <f>SUM(C48:F48)</f>
        <v>277687</v>
      </c>
      <c r="H48" s="16">
        <f>ROUND(G48/955,2)</f>
        <v>290.77</v>
      </c>
      <c r="I48" s="9"/>
      <c r="J48" s="9"/>
    </row>
    <row r="49" spans="1:10" x14ac:dyDescent="0.25">
      <c r="A49" s="22" t="s">
        <v>55</v>
      </c>
      <c r="B49" s="22"/>
      <c r="C49" s="10">
        <v>79540</v>
      </c>
      <c r="D49" s="10">
        <v>0</v>
      </c>
      <c r="E49" s="10">
        <v>24047</v>
      </c>
      <c r="F49" s="10">
        <v>0</v>
      </c>
      <c r="G49" s="10">
        <f>SUM(C49:F49)</f>
        <v>103587</v>
      </c>
      <c r="H49" s="16">
        <f>ROUND(G49/955,2)</f>
        <v>108.47</v>
      </c>
      <c r="I49" s="9"/>
      <c r="J49" s="9"/>
    </row>
    <row r="50" spans="1:10" x14ac:dyDescent="0.25">
      <c r="A50" s="22" t="s">
        <v>56</v>
      </c>
      <c r="B50" s="22"/>
      <c r="C50" s="10">
        <v>0</v>
      </c>
      <c r="D50" s="10">
        <v>0</v>
      </c>
      <c r="E50" s="10">
        <v>0</v>
      </c>
      <c r="F50" s="10">
        <v>0</v>
      </c>
      <c r="G50" s="10">
        <f>SUM(C50:F50)</f>
        <v>0</v>
      </c>
      <c r="H50" s="16">
        <f>ROUND(G50/955,2)</f>
        <v>0</v>
      </c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57</v>
      </c>
      <c r="B55" s="27"/>
      <c r="C55" s="14" t="s">
        <v>2</v>
      </c>
      <c r="D55" s="14">
        <v>2023</v>
      </c>
      <c r="E55" s="14" t="s">
        <v>59</v>
      </c>
      <c r="F55" s="13"/>
      <c r="G55" s="14" t="s">
        <v>60</v>
      </c>
      <c r="H55" s="14" t="s">
        <v>2</v>
      </c>
      <c r="I55" s="12" t="s">
        <v>61</v>
      </c>
      <c r="J55" s="12" t="s">
        <v>59</v>
      </c>
    </row>
    <row r="56" spans="1:10" x14ac:dyDescent="0.25">
      <c r="A56" s="22" t="s">
        <v>58</v>
      </c>
      <c r="B56" s="22"/>
      <c r="C56" s="15">
        <f>ROUND(0.7667, 4)</f>
        <v>0.76670000000000005</v>
      </c>
      <c r="D56" s="15">
        <f>ROUND(0.7195, 4)</f>
        <v>0.71950000000000003</v>
      </c>
      <c r="E56" s="15">
        <f>ROUND(0.777, 4)</f>
        <v>0.77700000000000002</v>
      </c>
      <c r="F56" s="8"/>
      <c r="G56" s="14" t="s">
        <v>62</v>
      </c>
      <c r="H56" s="28" t="s">
        <v>63</v>
      </c>
      <c r="I56" s="25" t="s">
        <v>64</v>
      </c>
      <c r="J56" s="25" t="s">
        <v>65</v>
      </c>
    </row>
    <row r="57" spans="1:10" x14ac:dyDescent="0.25">
      <c r="A57" s="22" t="s">
        <v>66</v>
      </c>
      <c r="B57" s="22"/>
      <c r="C57" s="15">
        <f>ROUND(0.7271, 4)</f>
        <v>0.72709999999999997</v>
      </c>
      <c r="D57" s="15">
        <f>ROUND(0.6757, 4)</f>
        <v>0.67569999999999997</v>
      </c>
      <c r="E57" s="15">
        <f>ROUND(0.7608, 4)</f>
        <v>0.76080000000000003</v>
      </c>
      <c r="F57" s="8"/>
      <c r="G57" s="14" t="s">
        <v>67</v>
      </c>
      <c r="H57" s="29"/>
      <c r="I57" s="26"/>
      <c r="J57" s="26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A61" s="27" t="s">
        <v>68</v>
      </c>
      <c r="B61" s="27"/>
      <c r="C61" s="14" t="s">
        <v>2</v>
      </c>
      <c r="D61" s="14" t="s">
        <v>121</v>
      </c>
      <c r="E61" s="14" t="s">
        <v>70</v>
      </c>
      <c r="F61" s="14" t="s">
        <v>71</v>
      </c>
      <c r="G61" s="14" t="s">
        <v>72</v>
      </c>
      <c r="H61" s="13"/>
      <c r="I61" s="17"/>
      <c r="J61" s="17"/>
    </row>
    <row r="62" spans="1:10" x14ac:dyDescent="0.25">
      <c r="A62" s="22" t="s">
        <v>73</v>
      </c>
      <c r="B62" s="22"/>
      <c r="C62" s="16">
        <v>83.29</v>
      </c>
      <c r="D62" s="16">
        <v>81.08</v>
      </c>
      <c r="E62" s="16">
        <v>92.53</v>
      </c>
      <c r="F62" s="16">
        <v>56.06</v>
      </c>
      <c r="G62" s="16">
        <f>12/11*C62</f>
        <v>90.86181818181818</v>
      </c>
      <c r="H62" s="8"/>
      <c r="I62" s="9"/>
      <c r="J62" s="9"/>
    </row>
    <row r="63" spans="1:10" x14ac:dyDescent="0.25">
      <c r="A63" s="22" t="s">
        <v>74</v>
      </c>
      <c r="B63" s="22"/>
      <c r="C63" s="16">
        <v>45.24</v>
      </c>
      <c r="D63" s="16">
        <v>47.35</v>
      </c>
      <c r="E63" s="16">
        <v>61.98</v>
      </c>
      <c r="F63" s="16">
        <v>64.09</v>
      </c>
      <c r="G63" s="16">
        <f>12/11*C63</f>
        <v>49.352727272727272</v>
      </c>
      <c r="H63" s="8"/>
      <c r="I63" s="9"/>
      <c r="J63" s="9"/>
    </row>
    <row r="64" spans="1:10" x14ac:dyDescent="0.25">
      <c r="A64" s="22" t="s">
        <v>75</v>
      </c>
      <c r="B64" s="22"/>
      <c r="C64" s="16">
        <v>290.77</v>
      </c>
      <c r="D64" s="16">
        <v>260.64</v>
      </c>
      <c r="E64" s="16">
        <v>291.51</v>
      </c>
      <c r="F64" s="16">
        <v>284.45</v>
      </c>
      <c r="G64" s="16">
        <f>12/11*C64</f>
        <v>317.20363636363629</v>
      </c>
      <c r="H64" s="8"/>
      <c r="I64" s="9"/>
      <c r="J64" s="9"/>
    </row>
    <row r="65" spans="1:10" x14ac:dyDescent="0.25">
      <c r="A65" s="22" t="s">
        <v>76</v>
      </c>
      <c r="B65" s="22"/>
      <c r="C65" s="16">
        <v>108.47</v>
      </c>
      <c r="D65" s="16">
        <v>101.42</v>
      </c>
      <c r="E65" s="16">
        <v>116.46</v>
      </c>
      <c r="F65" s="16">
        <v>79.959999999999994</v>
      </c>
      <c r="G65" s="16">
        <f>12/11*C65</f>
        <v>118.33090909090907</v>
      </c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3" t="s">
        <v>60</v>
      </c>
      <c r="B68" s="24"/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77</v>
      </c>
      <c r="B69" s="1" t="s">
        <v>122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70</v>
      </c>
      <c r="B70" s="1" t="s">
        <v>79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71</v>
      </c>
      <c r="B71" s="1" t="s">
        <v>80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72</v>
      </c>
      <c r="B72" s="1" t="s">
        <v>81</v>
      </c>
    </row>
  </sheetData>
  <mergeCells count="19">
    <mergeCell ref="C7:G7"/>
    <mergeCell ref="A41:B41"/>
    <mergeCell ref="A42:B42"/>
    <mergeCell ref="A47:B47"/>
    <mergeCell ref="A48:B48"/>
    <mergeCell ref="J56:J57"/>
    <mergeCell ref="A57:B57"/>
    <mergeCell ref="A61:B61"/>
    <mergeCell ref="A62:B62"/>
    <mergeCell ref="A49:B49"/>
    <mergeCell ref="A50:B50"/>
    <mergeCell ref="A55:B55"/>
    <mergeCell ref="A56:B56"/>
    <mergeCell ref="H56:H57"/>
    <mergeCell ref="A63:B63"/>
    <mergeCell ref="A64:B64"/>
    <mergeCell ref="A65:B65"/>
    <mergeCell ref="A68:B68"/>
    <mergeCell ref="I56:I5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80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5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123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640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13</v>
      </c>
      <c r="F9" s="10"/>
      <c r="G9" s="10">
        <f t="shared" ref="G9:G39" si="0">SUM(C9:F9)</f>
        <v>13</v>
      </c>
      <c r="H9" s="16">
        <f t="shared" ref="H9:H39" si="1">ROUND(G9/640,2)</f>
        <v>0.02</v>
      </c>
      <c r="I9" s="15">
        <f t="shared" ref="I9:I39" si="2">ROUND(G9/$G$40,3)</f>
        <v>0</v>
      </c>
      <c r="J9" s="15"/>
    </row>
    <row r="10" spans="1:10" x14ac:dyDescent="0.25">
      <c r="A10" s="1" t="s">
        <v>16</v>
      </c>
      <c r="B10" s="1" t="s">
        <v>19</v>
      </c>
      <c r="C10" s="10">
        <v>13120</v>
      </c>
      <c r="D10" s="10"/>
      <c r="E10" s="10">
        <v>2701</v>
      </c>
      <c r="F10" s="10"/>
      <c r="G10" s="10">
        <f t="shared" si="0"/>
        <v>15821</v>
      </c>
      <c r="H10" s="16">
        <f t="shared" si="1"/>
        <v>24.72</v>
      </c>
      <c r="I10" s="15">
        <f t="shared" si="2"/>
        <v>7.2999999999999995E-2</v>
      </c>
      <c r="J10" s="15">
        <f>ROUND(G10/13501.55-1,2)</f>
        <v>0.17</v>
      </c>
    </row>
    <row r="11" spans="1:10" x14ac:dyDescent="0.25">
      <c r="A11" s="1" t="s">
        <v>16</v>
      </c>
      <c r="B11" s="1" t="s">
        <v>20</v>
      </c>
      <c r="C11" s="10">
        <v>18235</v>
      </c>
      <c r="D11" s="10"/>
      <c r="E11" s="10"/>
      <c r="F11" s="10"/>
      <c r="G11" s="10">
        <f t="shared" si="0"/>
        <v>18235</v>
      </c>
      <c r="H11" s="16">
        <f t="shared" si="1"/>
        <v>28.49</v>
      </c>
      <c r="I11" s="15">
        <f t="shared" si="2"/>
        <v>8.4000000000000005E-2</v>
      </c>
      <c r="J11" s="15">
        <f>ROUND(G11/15625-1,2)</f>
        <v>0.17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89</v>
      </c>
      <c r="F12" s="10"/>
      <c r="G12" s="10">
        <f t="shared" si="0"/>
        <v>89</v>
      </c>
      <c r="H12" s="16">
        <f t="shared" si="1"/>
        <v>0.14000000000000001</v>
      </c>
      <c r="I12" s="15">
        <f t="shared" si="2"/>
        <v>0</v>
      </c>
      <c r="J12" s="15">
        <f>ROUND(G12/35.4-1,2)</f>
        <v>1.51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458</v>
      </c>
      <c r="F13" s="10"/>
      <c r="G13" s="10">
        <f t="shared" si="0"/>
        <v>458</v>
      </c>
      <c r="H13" s="16">
        <f t="shared" si="1"/>
        <v>0.72</v>
      </c>
      <c r="I13" s="15">
        <f t="shared" si="2"/>
        <v>2E-3</v>
      </c>
      <c r="J13" s="15">
        <f>ROUND(G13/285.71-1,2)</f>
        <v>0.6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23874</v>
      </c>
      <c r="F14" s="10"/>
      <c r="G14" s="10">
        <f t="shared" si="0"/>
        <v>23874</v>
      </c>
      <c r="H14" s="16">
        <f t="shared" si="1"/>
        <v>37.299999999999997</v>
      </c>
      <c r="I14" s="15">
        <f t="shared" si="2"/>
        <v>0.11</v>
      </c>
      <c r="J14" s="15">
        <f>ROUND(G14/13826.77-1,2)</f>
        <v>0.73</v>
      </c>
    </row>
    <row r="15" spans="1:10" x14ac:dyDescent="0.25">
      <c r="A15" s="1" t="s">
        <v>16</v>
      </c>
      <c r="B15" s="1" t="s">
        <v>24</v>
      </c>
      <c r="C15" s="10">
        <v>16290</v>
      </c>
      <c r="D15" s="10"/>
      <c r="E15" s="10">
        <v>8872</v>
      </c>
      <c r="F15" s="10"/>
      <c r="G15" s="10">
        <f t="shared" si="0"/>
        <v>25162</v>
      </c>
      <c r="H15" s="16">
        <f t="shared" si="1"/>
        <v>39.32</v>
      </c>
      <c r="I15" s="15">
        <f t="shared" si="2"/>
        <v>0.11600000000000001</v>
      </c>
      <c r="J15" s="15">
        <f>ROUND(G15/17659.95-1,2)</f>
        <v>0.42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2514</v>
      </c>
      <c r="F16" s="10"/>
      <c r="G16" s="10">
        <f t="shared" si="0"/>
        <v>2514</v>
      </c>
      <c r="H16" s="16">
        <f t="shared" si="1"/>
        <v>3.93</v>
      </c>
      <c r="I16" s="15">
        <f t="shared" si="2"/>
        <v>1.2E-2</v>
      </c>
      <c r="J16" s="15"/>
    </row>
    <row r="17" spans="1:10" x14ac:dyDescent="0.25">
      <c r="A17" s="1" t="s">
        <v>16</v>
      </c>
      <c r="B17" s="1" t="s">
        <v>26</v>
      </c>
      <c r="C17" s="10">
        <v>14510</v>
      </c>
      <c r="D17" s="10"/>
      <c r="E17" s="10"/>
      <c r="F17" s="10"/>
      <c r="G17" s="10">
        <f t="shared" si="0"/>
        <v>14510</v>
      </c>
      <c r="H17" s="16">
        <f t="shared" si="1"/>
        <v>22.67</v>
      </c>
      <c r="I17" s="15">
        <f t="shared" si="2"/>
        <v>6.7000000000000004E-2</v>
      </c>
      <c r="J17" s="15">
        <f>ROUND(G17/21140-1,2)</f>
        <v>-0.31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276</v>
      </c>
      <c r="F18" s="10"/>
      <c r="G18" s="10">
        <f t="shared" si="0"/>
        <v>276</v>
      </c>
      <c r="H18" s="16">
        <f t="shared" si="1"/>
        <v>0.43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135</v>
      </c>
      <c r="F19" s="10"/>
      <c r="G19" s="10">
        <f t="shared" si="0"/>
        <v>135</v>
      </c>
      <c r="H19" s="16">
        <f t="shared" si="1"/>
        <v>0.21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42</v>
      </c>
      <c r="C20" s="10"/>
      <c r="D20" s="10"/>
      <c r="E20" s="10">
        <v>34</v>
      </c>
      <c r="F20" s="10"/>
      <c r="G20" s="10">
        <f t="shared" si="0"/>
        <v>34</v>
      </c>
      <c r="H20" s="16">
        <f t="shared" si="1"/>
        <v>0.05</v>
      </c>
      <c r="I20" s="15">
        <f t="shared" si="2"/>
        <v>0</v>
      </c>
      <c r="J20" s="15">
        <f>ROUND(G20/4.9-1,2)</f>
        <v>5.94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413</v>
      </c>
      <c r="F21" s="10"/>
      <c r="G21" s="10">
        <f t="shared" si="0"/>
        <v>413</v>
      </c>
      <c r="H21" s="16">
        <f t="shared" si="1"/>
        <v>0.65</v>
      </c>
      <c r="I21" s="15">
        <f t="shared" si="2"/>
        <v>2E-3</v>
      </c>
      <c r="J21" s="15">
        <f>ROUND(G21/481.98-1,2)</f>
        <v>-0.14000000000000001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162</v>
      </c>
      <c r="F22" s="10"/>
      <c r="G22" s="10">
        <f t="shared" si="0"/>
        <v>162</v>
      </c>
      <c r="H22" s="16">
        <f t="shared" si="1"/>
        <v>0.25</v>
      </c>
      <c r="I22" s="15">
        <f t="shared" si="2"/>
        <v>1E-3</v>
      </c>
      <c r="J22" s="15">
        <f>ROUND(G22/164.03-1,2)</f>
        <v>-0.01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37</v>
      </c>
      <c r="F23" s="10"/>
      <c r="G23" s="10">
        <f t="shared" si="0"/>
        <v>37</v>
      </c>
      <c r="H23" s="16">
        <f t="shared" si="1"/>
        <v>0.06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32</v>
      </c>
      <c r="C24" s="10"/>
      <c r="D24" s="10"/>
      <c r="E24" s="10">
        <v>815</v>
      </c>
      <c r="F24" s="10"/>
      <c r="G24" s="10">
        <f t="shared" si="0"/>
        <v>815</v>
      </c>
      <c r="H24" s="16">
        <f t="shared" si="1"/>
        <v>1.27</v>
      </c>
      <c r="I24" s="15">
        <f t="shared" si="2"/>
        <v>4.0000000000000001E-3</v>
      </c>
      <c r="J24" s="15">
        <f>ROUND(G24/362.87-1,2)</f>
        <v>1.25</v>
      </c>
    </row>
    <row r="25" spans="1:10" x14ac:dyDescent="0.25">
      <c r="A25" s="1" t="s">
        <v>16</v>
      </c>
      <c r="B25" s="1" t="s">
        <v>33</v>
      </c>
      <c r="C25" s="10"/>
      <c r="D25" s="10"/>
      <c r="E25" s="10">
        <v>47</v>
      </c>
      <c r="F25" s="10"/>
      <c r="G25" s="10">
        <f t="shared" si="0"/>
        <v>47</v>
      </c>
      <c r="H25" s="16">
        <f t="shared" si="1"/>
        <v>7.0000000000000007E-2</v>
      </c>
      <c r="I25" s="15">
        <f t="shared" si="2"/>
        <v>0</v>
      </c>
      <c r="J25" s="15">
        <f>ROUND(G25/5.45-1,2)</f>
        <v>7.62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69</v>
      </c>
      <c r="F26" s="10"/>
      <c r="G26" s="10">
        <f t="shared" si="0"/>
        <v>69</v>
      </c>
      <c r="H26" s="16">
        <f t="shared" si="1"/>
        <v>0.11</v>
      </c>
      <c r="I26" s="15">
        <f t="shared" si="2"/>
        <v>0</v>
      </c>
      <c r="J26" s="15"/>
    </row>
    <row r="27" spans="1:10" x14ac:dyDescent="0.25">
      <c r="A27" s="1" t="s">
        <v>16</v>
      </c>
      <c r="B27" s="1" t="s">
        <v>35</v>
      </c>
      <c r="C27" s="10"/>
      <c r="D27" s="10"/>
      <c r="E27" s="10">
        <v>103</v>
      </c>
      <c r="F27" s="10"/>
      <c r="G27" s="10">
        <f t="shared" si="0"/>
        <v>103</v>
      </c>
      <c r="H27" s="16">
        <f t="shared" si="1"/>
        <v>0.16</v>
      </c>
      <c r="I27" s="15">
        <f t="shared" si="2"/>
        <v>0</v>
      </c>
      <c r="J27" s="15"/>
    </row>
    <row r="28" spans="1:10" x14ac:dyDescent="0.25">
      <c r="A28" s="1" t="s">
        <v>16</v>
      </c>
      <c r="B28" s="1" t="s">
        <v>37</v>
      </c>
      <c r="C28" s="10"/>
      <c r="D28" s="10"/>
      <c r="E28" s="10">
        <v>1286</v>
      </c>
      <c r="F28" s="10"/>
      <c r="G28" s="10">
        <f t="shared" si="0"/>
        <v>1286</v>
      </c>
      <c r="H28" s="16">
        <f t="shared" si="1"/>
        <v>2.0099999999999998</v>
      </c>
      <c r="I28" s="15">
        <f t="shared" si="2"/>
        <v>6.0000000000000001E-3</v>
      </c>
      <c r="J28" s="15">
        <f>ROUND(G28/694.63-1,2)</f>
        <v>0.85</v>
      </c>
    </row>
    <row r="29" spans="1:10" x14ac:dyDescent="0.25">
      <c r="A29" s="1" t="s">
        <v>16</v>
      </c>
      <c r="B29" s="1" t="s">
        <v>43</v>
      </c>
      <c r="C29" s="10"/>
      <c r="D29" s="10"/>
      <c r="E29" s="10">
        <v>721</v>
      </c>
      <c r="F29" s="10"/>
      <c r="G29" s="10">
        <f t="shared" si="0"/>
        <v>721</v>
      </c>
      <c r="H29" s="16">
        <f t="shared" si="1"/>
        <v>1.1299999999999999</v>
      </c>
      <c r="I29" s="15">
        <f t="shared" si="2"/>
        <v>3.0000000000000001E-3</v>
      </c>
      <c r="J29" s="15"/>
    </row>
    <row r="30" spans="1:10" x14ac:dyDescent="0.25">
      <c r="A30" s="1" t="s">
        <v>16</v>
      </c>
      <c r="B30" s="1" t="s">
        <v>38</v>
      </c>
      <c r="C30" s="10"/>
      <c r="D30" s="10"/>
      <c r="E30" s="10">
        <v>23577</v>
      </c>
      <c r="F30" s="10"/>
      <c r="G30" s="10">
        <f t="shared" si="0"/>
        <v>23577</v>
      </c>
      <c r="H30" s="16">
        <f t="shared" si="1"/>
        <v>36.840000000000003</v>
      </c>
      <c r="I30" s="15">
        <f t="shared" si="2"/>
        <v>0.109</v>
      </c>
      <c r="J30" s="15">
        <f>ROUND(G30/10144.31-1,2)</f>
        <v>1.32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1736</v>
      </c>
      <c r="F31" s="10"/>
      <c r="G31" s="10">
        <f t="shared" si="0"/>
        <v>1736</v>
      </c>
      <c r="H31" s="16">
        <f t="shared" si="1"/>
        <v>2.71</v>
      </c>
      <c r="I31" s="15">
        <f t="shared" si="2"/>
        <v>8.0000000000000002E-3</v>
      </c>
      <c r="J31" s="15">
        <f>ROUND(G31/550.29-1,2)</f>
        <v>2.15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5854</v>
      </c>
      <c r="F32" s="10"/>
      <c r="G32" s="10">
        <f t="shared" si="0"/>
        <v>5854</v>
      </c>
      <c r="H32" s="16">
        <f t="shared" si="1"/>
        <v>9.15</v>
      </c>
      <c r="I32" s="15">
        <f t="shared" si="2"/>
        <v>2.7E-2</v>
      </c>
      <c r="J32" s="15">
        <f>ROUND(G32/3150.74-1,2)</f>
        <v>0.86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7362</v>
      </c>
      <c r="F33" s="10"/>
      <c r="G33" s="10">
        <f t="shared" si="0"/>
        <v>7362</v>
      </c>
      <c r="H33" s="16">
        <f t="shared" si="1"/>
        <v>11.5</v>
      </c>
      <c r="I33" s="15">
        <f t="shared" si="2"/>
        <v>3.4000000000000002E-2</v>
      </c>
      <c r="J33" s="15">
        <f>ROUND(G33/2014.74-1,2)</f>
        <v>2.65</v>
      </c>
    </row>
    <row r="34" spans="1:10" x14ac:dyDescent="0.25">
      <c r="A34" s="1" t="s">
        <v>16</v>
      </c>
      <c r="B34" s="1" t="s">
        <v>36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ROUND(G34/464.09-1,2)</f>
        <v>-1</v>
      </c>
    </row>
    <row r="35" spans="1:10" x14ac:dyDescent="0.25">
      <c r="A35" s="1" t="s">
        <v>16</v>
      </c>
      <c r="B35" s="1" t="s">
        <v>120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44</v>
      </c>
      <c r="B36" s="1" t="s">
        <v>45</v>
      </c>
      <c r="C36" s="10">
        <v>60340</v>
      </c>
      <c r="D36" s="10"/>
      <c r="E36" s="10"/>
      <c r="F36" s="10"/>
      <c r="G36" s="10">
        <f t="shared" si="0"/>
        <v>60340</v>
      </c>
      <c r="H36" s="16">
        <f t="shared" si="1"/>
        <v>94.28</v>
      </c>
      <c r="I36" s="15">
        <f t="shared" si="2"/>
        <v>0.27900000000000003</v>
      </c>
      <c r="J36" s="15">
        <f>ROUND(G36/57150-1,2)</f>
        <v>0.06</v>
      </c>
    </row>
    <row r="37" spans="1:10" x14ac:dyDescent="0.25">
      <c r="A37" s="1" t="s">
        <v>44</v>
      </c>
      <c r="B37" s="1" t="s">
        <v>46</v>
      </c>
      <c r="C37" s="10"/>
      <c r="D37" s="10"/>
      <c r="E37" s="10">
        <v>12590</v>
      </c>
      <c r="F37" s="10"/>
      <c r="G37" s="10">
        <f t="shared" si="0"/>
        <v>12590</v>
      </c>
      <c r="H37" s="16">
        <f t="shared" si="1"/>
        <v>19.670000000000002</v>
      </c>
      <c r="I37" s="15">
        <f t="shared" si="2"/>
        <v>5.8000000000000003E-2</v>
      </c>
      <c r="J37" s="15">
        <f>ROUND(G37/5447.32-1,2)</f>
        <v>1.31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27" t="s">
        <v>12</v>
      </c>
      <c r="B40" s="27"/>
      <c r="C40" s="11">
        <f t="shared" ref="C40:H40" si="3">SUM(C8:C39)</f>
        <v>122495</v>
      </c>
      <c r="D40" s="11">
        <f t="shared" si="3"/>
        <v>0</v>
      </c>
      <c r="E40" s="11">
        <f t="shared" si="3"/>
        <v>93738</v>
      </c>
      <c r="F40" s="11">
        <f t="shared" si="3"/>
        <v>0</v>
      </c>
      <c r="G40" s="11">
        <f t="shared" si="3"/>
        <v>216233</v>
      </c>
      <c r="H40" s="14">
        <f t="shared" si="3"/>
        <v>337.86000000000007</v>
      </c>
      <c r="I40" s="17"/>
      <c r="J40" s="17"/>
    </row>
    <row r="41" spans="1:10" x14ac:dyDescent="0.25">
      <c r="A41" s="27" t="s">
        <v>14</v>
      </c>
      <c r="B41" s="27"/>
      <c r="C41" s="12">
        <f>ROUND(C40/G40,2)</f>
        <v>0.56999999999999995</v>
      </c>
      <c r="D41" s="12">
        <f>ROUND(D40/G40,2)</f>
        <v>0</v>
      </c>
      <c r="E41" s="12">
        <f>ROUND(E40/G40,2)</f>
        <v>0.43</v>
      </c>
      <c r="F41" s="12">
        <f>ROUND(F40/G40,2)</f>
        <v>0</v>
      </c>
      <c r="G41" s="13"/>
      <c r="H41" s="13"/>
      <c r="I41" s="17"/>
      <c r="J41" s="17"/>
    </row>
    <row r="42" spans="1:10" x14ac:dyDescent="0.25">
      <c r="A42" s="2" t="s">
        <v>52</v>
      </c>
      <c r="B42" s="2"/>
      <c r="C42" s="13"/>
      <c r="D42" s="13"/>
      <c r="E42" s="13"/>
      <c r="F42" s="13"/>
      <c r="G42" s="13"/>
      <c r="H42" s="13"/>
      <c r="I42" s="17"/>
      <c r="J42" s="17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7" t="s">
        <v>53</v>
      </c>
      <c r="B46" s="27"/>
      <c r="C46" s="11" t="s">
        <v>8</v>
      </c>
      <c r="D46" s="11" t="s">
        <v>9</v>
      </c>
      <c r="E46" s="11" t="s">
        <v>10</v>
      </c>
      <c r="F46" s="11" t="s">
        <v>11</v>
      </c>
      <c r="G46" s="11" t="s">
        <v>12</v>
      </c>
      <c r="H46" s="14" t="s">
        <v>13</v>
      </c>
      <c r="I46" s="17"/>
      <c r="J46" s="17"/>
    </row>
    <row r="47" spans="1:10" x14ac:dyDescent="0.25">
      <c r="A47" s="22" t="s">
        <v>54</v>
      </c>
      <c r="B47" s="22"/>
      <c r="C47" s="10">
        <v>62155</v>
      </c>
      <c r="D47" s="10">
        <v>0</v>
      </c>
      <c r="E47" s="10">
        <v>81148</v>
      </c>
      <c r="F47" s="10">
        <v>0</v>
      </c>
      <c r="G47" s="10">
        <f>SUM(C47:F47)</f>
        <v>143303</v>
      </c>
      <c r="H47" s="16">
        <f>ROUND(G47/640,2)</f>
        <v>223.91</v>
      </c>
      <c r="I47" s="9"/>
      <c r="J47" s="9"/>
    </row>
    <row r="48" spans="1:10" x14ac:dyDescent="0.25">
      <c r="A48" s="22" t="s">
        <v>55</v>
      </c>
      <c r="B48" s="22"/>
      <c r="C48" s="10">
        <v>60340</v>
      </c>
      <c r="D48" s="10">
        <v>0</v>
      </c>
      <c r="E48" s="10">
        <v>12590</v>
      </c>
      <c r="F48" s="10">
        <v>0</v>
      </c>
      <c r="G48" s="10">
        <f>SUM(C48:F48)</f>
        <v>72930</v>
      </c>
      <c r="H48" s="16">
        <f>ROUND(G48/640,2)</f>
        <v>113.95</v>
      </c>
      <c r="I48" s="9"/>
      <c r="J48" s="9"/>
    </row>
    <row r="49" spans="1:10" x14ac:dyDescent="0.25">
      <c r="A49" s="22" t="s">
        <v>56</v>
      </c>
      <c r="B49" s="22"/>
      <c r="C49" s="10">
        <v>0</v>
      </c>
      <c r="D49" s="10">
        <v>0</v>
      </c>
      <c r="E49" s="10">
        <v>0</v>
      </c>
      <c r="F49" s="10">
        <v>0</v>
      </c>
      <c r="G49" s="10">
        <f>SUM(C49:F49)</f>
        <v>0</v>
      </c>
      <c r="H49" s="16">
        <f>ROUND(G49/640,2)</f>
        <v>0</v>
      </c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57</v>
      </c>
      <c r="B54" s="27"/>
      <c r="C54" s="14" t="s">
        <v>2</v>
      </c>
      <c r="D54" s="14">
        <v>2023</v>
      </c>
      <c r="E54" s="14" t="s">
        <v>59</v>
      </c>
      <c r="F54" s="13"/>
      <c r="G54" s="14" t="s">
        <v>60</v>
      </c>
      <c r="H54" s="14" t="s">
        <v>2</v>
      </c>
      <c r="I54" s="12" t="s">
        <v>61</v>
      </c>
      <c r="J54" s="12" t="s">
        <v>59</v>
      </c>
    </row>
    <row r="55" spans="1:10" x14ac:dyDescent="0.25">
      <c r="A55" s="22" t="s">
        <v>58</v>
      </c>
      <c r="B55" s="22"/>
      <c r="C55" s="15">
        <f>ROUND(0.6837, 4)</f>
        <v>0.68369999999999997</v>
      </c>
      <c r="D55" s="15">
        <f>ROUND(0.6018, 4)</f>
        <v>0.6018</v>
      </c>
      <c r="E55" s="15">
        <f>ROUND(0.777, 4)</f>
        <v>0.77700000000000002</v>
      </c>
      <c r="F55" s="8"/>
      <c r="G55" s="14" t="s">
        <v>62</v>
      </c>
      <c r="H55" s="28" t="s">
        <v>63</v>
      </c>
      <c r="I55" s="25" t="s">
        <v>64</v>
      </c>
      <c r="J55" s="25" t="s">
        <v>65</v>
      </c>
    </row>
    <row r="56" spans="1:10" x14ac:dyDescent="0.25">
      <c r="A56" s="22" t="s">
        <v>66</v>
      </c>
      <c r="B56" s="22"/>
      <c r="C56" s="15">
        <f>ROUND(0.653, 4)</f>
        <v>0.65300000000000002</v>
      </c>
      <c r="D56" s="15">
        <f>ROUND(0.5671, 4)</f>
        <v>0.56710000000000005</v>
      </c>
      <c r="E56" s="15">
        <f>ROUND(0.7608, 4)</f>
        <v>0.76080000000000003</v>
      </c>
      <c r="F56" s="8"/>
      <c r="G56" s="14" t="s">
        <v>67</v>
      </c>
      <c r="H56" s="29"/>
      <c r="I56" s="26"/>
      <c r="J56" s="26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68</v>
      </c>
      <c r="B60" s="27"/>
      <c r="C60" s="14" t="s">
        <v>2</v>
      </c>
      <c r="D60" s="14" t="s">
        <v>124</v>
      </c>
      <c r="E60" s="14" t="s">
        <v>70</v>
      </c>
      <c r="F60" s="14" t="s">
        <v>71</v>
      </c>
      <c r="G60" s="14" t="s">
        <v>72</v>
      </c>
      <c r="H60" s="13"/>
      <c r="I60" s="17"/>
      <c r="J60" s="17"/>
    </row>
    <row r="61" spans="1:10" x14ac:dyDescent="0.25">
      <c r="A61" s="22" t="s">
        <v>73</v>
      </c>
      <c r="B61" s="22"/>
      <c r="C61" s="16">
        <v>94.28</v>
      </c>
      <c r="D61" s="16">
        <v>74.62</v>
      </c>
      <c r="E61" s="16">
        <v>92.53</v>
      </c>
      <c r="F61" s="16">
        <v>56.06</v>
      </c>
      <c r="G61" s="16">
        <f>12/11*C61</f>
        <v>102.85090909090908</v>
      </c>
      <c r="H61" s="8"/>
      <c r="I61" s="9"/>
      <c r="J61" s="9"/>
    </row>
    <row r="62" spans="1:10" x14ac:dyDescent="0.25">
      <c r="A62" s="22" t="s">
        <v>74</v>
      </c>
      <c r="B62" s="22"/>
      <c r="C62" s="16">
        <v>22.67</v>
      </c>
      <c r="D62" s="16">
        <v>33.979999999999997</v>
      </c>
      <c r="E62" s="16">
        <v>61.98</v>
      </c>
      <c r="F62" s="16">
        <v>64.09</v>
      </c>
      <c r="G62" s="16">
        <f>12/11*C62</f>
        <v>24.730909090909091</v>
      </c>
      <c r="H62" s="8"/>
      <c r="I62" s="9"/>
      <c r="J62" s="9"/>
    </row>
    <row r="63" spans="1:10" x14ac:dyDescent="0.25">
      <c r="A63" s="22" t="s">
        <v>75</v>
      </c>
      <c r="B63" s="22"/>
      <c r="C63" s="16">
        <v>223.91</v>
      </c>
      <c r="D63" s="16">
        <v>210.92</v>
      </c>
      <c r="E63" s="16">
        <v>291.51</v>
      </c>
      <c r="F63" s="16">
        <v>284.45</v>
      </c>
      <c r="G63" s="16">
        <f>12/11*C63</f>
        <v>244.26545454545453</v>
      </c>
      <c r="H63" s="8"/>
      <c r="I63" s="9"/>
      <c r="J63" s="9"/>
    </row>
    <row r="64" spans="1:10" x14ac:dyDescent="0.25">
      <c r="A64" s="22" t="s">
        <v>76</v>
      </c>
      <c r="B64" s="22"/>
      <c r="C64" s="16">
        <v>113.95</v>
      </c>
      <c r="D64" s="16">
        <v>92.5</v>
      </c>
      <c r="E64" s="16">
        <v>116.46</v>
      </c>
      <c r="F64" s="16">
        <v>79.959999999999994</v>
      </c>
      <c r="G64" s="16">
        <f>12/11*C64</f>
        <v>124.3090909090909</v>
      </c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3" t="s">
        <v>60</v>
      </c>
      <c r="B67" s="24"/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77</v>
      </c>
      <c r="B68" s="1" t="s">
        <v>125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70</v>
      </c>
      <c r="B69" s="1" t="s">
        <v>79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71</v>
      </c>
      <c r="B70" s="1" t="s">
        <v>80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72</v>
      </c>
      <c r="B71" s="1" t="s">
        <v>81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  <row r="78" spans="1:10" x14ac:dyDescent="0.25">
      <c r="C78" s="8"/>
      <c r="D78" s="8"/>
      <c r="E78" s="8"/>
      <c r="F78" s="8"/>
      <c r="G78" s="8"/>
      <c r="H78" s="8"/>
      <c r="I78" s="9"/>
      <c r="J78" s="9"/>
    </row>
    <row r="79" spans="1:10" x14ac:dyDescent="0.25">
      <c r="C79" s="8"/>
      <c r="D79" s="8"/>
      <c r="E79" s="8"/>
      <c r="F79" s="8"/>
      <c r="G79" s="8"/>
      <c r="H79" s="8"/>
      <c r="I79" s="9"/>
      <c r="J79" s="9"/>
    </row>
    <row r="80" spans="1:10" x14ac:dyDescent="0.25">
      <c r="C80" s="8"/>
      <c r="D80" s="8"/>
      <c r="E80" s="8"/>
      <c r="F80" s="8"/>
      <c r="G80" s="8"/>
      <c r="H80" s="8"/>
      <c r="I80" s="9"/>
      <c r="J80" s="9"/>
    </row>
  </sheetData>
  <mergeCells count="19">
    <mergeCell ref="C7:G7"/>
    <mergeCell ref="A40:B40"/>
    <mergeCell ref="A41:B41"/>
    <mergeCell ref="A46:B46"/>
    <mergeCell ref="A47:B47"/>
    <mergeCell ref="J55:J56"/>
    <mergeCell ref="A56:B56"/>
    <mergeCell ref="A60:B60"/>
    <mergeCell ref="A61:B61"/>
    <mergeCell ref="A48:B48"/>
    <mergeCell ref="A49:B49"/>
    <mergeCell ref="A54:B54"/>
    <mergeCell ref="A55:B55"/>
    <mergeCell ref="H55:H56"/>
    <mergeCell ref="A62:B62"/>
    <mergeCell ref="A63:B63"/>
    <mergeCell ref="A64:B64"/>
    <mergeCell ref="A67:B67"/>
    <mergeCell ref="I55:I5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80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4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126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15906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553</v>
      </c>
      <c r="F9" s="10"/>
      <c r="G9" s="10">
        <f t="shared" ref="G9:G48" si="0">SUM(C9:F9)</f>
        <v>553</v>
      </c>
      <c r="H9" s="16">
        <f t="shared" ref="H9:H48" si="1">ROUND(G9/15906,2)</f>
        <v>0.03</v>
      </c>
      <c r="I9" s="15">
        <f t="shared" ref="I9:I48" si="2">ROUND(G9/$G$49,3)</f>
        <v>0</v>
      </c>
      <c r="J9" s="15">
        <f>ROUND(G9/368-1,2)</f>
        <v>0.5</v>
      </c>
    </row>
    <row r="10" spans="1:10" x14ac:dyDescent="0.25">
      <c r="A10" s="1" t="s">
        <v>16</v>
      </c>
      <c r="B10" s="1" t="s">
        <v>19</v>
      </c>
      <c r="C10" s="10">
        <v>446820</v>
      </c>
      <c r="D10" s="10"/>
      <c r="E10" s="10">
        <v>31290</v>
      </c>
      <c r="F10" s="10">
        <v>4500</v>
      </c>
      <c r="G10" s="10">
        <f t="shared" si="0"/>
        <v>482610</v>
      </c>
      <c r="H10" s="16">
        <f t="shared" si="1"/>
        <v>30.34</v>
      </c>
      <c r="I10" s="15">
        <f t="shared" si="2"/>
        <v>7.0999999999999994E-2</v>
      </c>
      <c r="J10" s="15">
        <f>ROUND(G10/473400-1,2)</f>
        <v>0.02</v>
      </c>
    </row>
    <row r="11" spans="1:10" x14ac:dyDescent="0.25">
      <c r="A11" s="1" t="s">
        <v>16</v>
      </c>
      <c r="B11" s="1" t="s">
        <v>20</v>
      </c>
      <c r="C11" s="10">
        <v>599120</v>
      </c>
      <c r="D11" s="10"/>
      <c r="E11" s="10"/>
      <c r="F11" s="10"/>
      <c r="G11" s="10">
        <f t="shared" si="0"/>
        <v>599120</v>
      </c>
      <c r="H11" s="16">
        <f t="shared" si="1"/>
        <v>37.67</v>
      </c>
      <c r="I11" s="15">
        <f t="shared" si="2"/>
        <v>8.7999999999999995E-2</v>
      </c>
      <c r="J11" s="15">
        <f>ROUND(G11/615330-1,2)</f>
        <v>-0.03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406</v>
      </c>
      <c r="F12" s="10"/>
      <c r="G12" s="10">
        <f t="shared" si="0"/>
        <v>406</v>
      </c>
      <c r="H12" s="16">
        <f t="shared" si="1"/>
        <v>0.03</v>
      </c>
      <c r="I12" s="15">
        <f t="shared" si="2"/>
        <v>0</v>
      </c>
      <c r="J12" s="15">
        <f>ROUND(G12/448-1,2)</f>
        <v>-0.09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904</v>
      </c>
      <c r="F13" s="10"/>
      <c r="G13" s="10">
        <f t="shared" si="0"/>
        <v>904</v>
      </c>
      <c r="H13" s="16">
        <f t="shared" si="1"/>
        <v>0.06</v>
      </c>
      <c r="I13" s="15">
        <f t="shared" si="2"/>
        <v>0</v>
      </c>
      <c r="J13" s="15">
        <f>ROUND(G13/704-1,2)</f>
        <v>0.28000000000000003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3300</v>
      </c>
      <c r="F14" s="10"/>
      <c r="G14" s="10">
        <f t="shared" si="0"/>
        <v>3300</v>
      </c>
      <c r="H14" s="16">
        <f t="shared" si="1"/>
        <v>0.21</v>
      </c>
      <c r="I14" s="15">
        <f t="shared" si="2"/>
        <v>0</v>
      </c>
      <c r="J14" s="15">
        <f>ROUND(G14/4620-1,2)</f>
        <v>-0.28999999999999998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343560</v>
      </c>
      <c r="F15" s="10"/>
      <c r="G15" s="10">
        <f t="shared" si="0"/>
        <v>343560</v>
      </c>
      <c r="H15" s="16">
        <f t="shared" si="1"/>
        <v>21.6</v>
      </c>
      <c r="I15" s="15">
        <f t="shared" si="2"/>
        <v>0.05</v>
      </c>
      <c r="J15" s="15">
        <f>ROUND(G15/258500-1,2)</f>
        <v>0.33</v>
      </c>
    </row>
    <row r="16" spans="1:10" x14ac:dyDescent="0.25">
      <c r="A16" s="1" t="s">
        <v>16</v>
      </c>
      <c r="B16" s="1" t="s">
        <v>24</v>
      </c>
      <c r="C16" s="10">
        <v>706370</v>
      </c>
      <c r="D16" s="10"/>
      <c r="E16" s="10">
        <v>127420</v>
      </c>
      <c r="F16" s="10">
        <v>26120</v>
      </c>
      <c r="G16" s="10">
        <f t="shared" si="0"/>
        <v>859910</v>
      </c>
      <c r="H16" s="16">
        <f t="shared" si="1"/>
        <v>54.06</v>
      </c>
      <c r="I16" s="15">
        <f t="shared" si="2"/>
        <v>0.126</v>
      </c>
      <c r="J16" s="15">
        <f>ROUND(G16/829020-1,2)</f>
        <v>0.04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20095</v>
      </c>
      <c r="F17" s="10"/>
      <c r="G17" s="10">
        <f t="shared" si="0"/>
        <v>20095</v>
      </c>
      <c r="H17" s="16">
        <f t="shared" si="1"/>
        <v>1.26</v>
      </c>
      <c r="I17" s="15">
        <f t="shared" si="2"/>
        <v>3.0000000000000001E-3</v>
      </c>
      <c r="J17" s="15">
        <f>ROUND(G17/21480-1,2)</f>
        <v>-0.06</v>
      </c>
    </row>
    <row r="18" spans="1:10" x14ac:dyDescent="0.25">
      <c r="A18" s="1" t="s">
        <v>16</v>
      </c>
      <c r="B18" s="1" t="s">
        <v>26</v>
      </c>
      <c r="C18" s="10">
        <v>1033190</v>
      </c>
      <c r="D18" s="10"/>
      <c r="E18" s="10"/>
      <c r="F18" s="10">
        <v>4490</v>
      </c>
      <c r="G18" s="10">
        <f t="shared" si="0"/>
        <v>1037680</v>
      </c>
      <c r="H18" s="16">
        <f t="shared" si="1"/>
        <v>65.239999999999995</v>
      </c>
      <c r="I18" s="15">
        <f t="shared" si="2"/>
        <v>0.152</v>
      </c>
      <c r="J18" s="15">
        <f>ROUND(G18/1017090-1,2)</f>
        <v>0.02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4954</v>
      </c>
      <c r="F19" s="10"/>
      <c r="G19" s="10">
        <f t="shared" si="0"/>
        <v>4954</v>
      </c>
      <c r="H19" s="16">
        <f t="shared" si="1"/>
        <v>0.31</v>
      </c>
      <c r="I19" s="15">
        <f t="shared" si="2"/>
        <v>1E-3</v>
      </c>
      <c r="J19" s="15">
        <f>ROUND(G19/5136-1,2)</f>
        <v>-0.04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3369</v>
      </c>
      <c r="F20" s="10"/>
      <c r="G20" s="10">
        <f t="shared" si="0"/>
        <v>3369</v>
      </c>
      <c r="H20" s="16">
        <f t="shared" si="1"/>
        <v>0.21</v>
      </c>
      <c r="I20" s="15">
        <f t="shared" si="2"/>
        <v>0</v>
      </c>
      <c r="J20" s="15">
        <f>ROUND(G20/3678-1,2)</f>
        <v>-0.08</v>
      </c>
    </row>
    <row r="21" spans="1:10" x14ac:dyDescent="0.25">
      <c r="A21" s="1" t="s">
        <v>16</v>
      </c>
      <c r="B21" s="1" t="s">
        <v>42</v>
      </c>
      <c r="C21" s="10"/>
      <c r="D21" s="10"/>
      <c r="E21" s="10">
        <v>607</v>
      </c>
      <c r="F21" s="10"/>
      <c r="G21" s="10">
        <f t="shared" si="0"/>
        <v>607</v>
      </c>
      <c r="H21" s="16">
        <f t="shared" si="1"/>
        <v>0.04</v>
      </c>
      <c r="I21" s="15">
        <f t="shared" si="2"/>
        <v>0</v>
      </c>
      <c r="J21" s="15">
        <f>ROUND(G21/510-1,2)</f>
        <v>0.19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11120</v>
      </c>
      <c r="F22" s="10"/>
      <c r="G22" s="10">
        <f t="shared" si="0"/>
        <v>11120</v>
      </c>
      <c r="H22" s="16">
        <f t="shared" si="1"/>
        <v>0.7</v>
      </c>
      <c r="I22" s="15">
        <f t="shared" si="2"/>
        <v>2E-3</v>
      </c>
      <c r="J22" s="15">
        <f>ROUND(G22/21480-1,2)</f>
        <v>-0.48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5550</v>
      </c>
      <c r="F23" s="10"/>
      <c r="G23" s="10">
        <f t="shared" si="0"/>
        <v>5550</v>
      </c>
      <c r="H23" s="16">
        <f t="shared" si="1"/>
        <v>0.35</v>
      </c>
      <c r="I23" s="15">
        <f t="shared" si="2"/>
        <v>1E-3</v>
      </c>
      <c r="J23" s="15">
        <f>ROUND(G23/6280-1,2)</f>
        <v>-0.12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2490</v>
      </c>
      <c r="F24" s="10"/>
      <c r="G24" s="10">
        <f t="shared" si="0"/>
        <v>2490</v>
      </c>
      <c r="H24" s="16">
        <f t="shared" si="1"/>
        <v>0.16</v>
      </c>
      <c r="I24" s="15">
        <f t="shared" si="2"/>
        <v>0</v>
      </c>
      <c r="J24" s="15">
        <f>ROUND(G24/1860-1,2)</f>
        <v>0.34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8429</v>
      </c>
      <c r="F25" s="10"/>
      <c r="G25" s="10">
        <f t="shared" si="0"/>
        <v>8429</v>
      </c>
      <c r="H25" s="16">
        <f t="shared" si="1"/>
        <v>0.53</v>
      </c>
      <c r="I25" s="15">
        <f t="shared" si="2"/>
        <v>1E-3</v>
      </c>
      <c r="J25" s="15">
        <f>ROUND(G25/8625-1,2)</f>
        <v>-0.02</v>
      </c>
    </row>
    <row r="26" spans="1:10" x14ac:dyDescent="0.25">
      <c r="A26" s="1" t="s">
        <v>16</v>
      </c>
      <c r="B26" s="1" t="s">
        <v>33</v>
      </c>
      <c r="C26" s="10"/>
      <c r="D26" s="10">
        <v>1351</v>
      </c>
      <c r="E26" s="10">
        <v>182</v>
      </c>
      <c r="F26" s="10"/>
      <c r="G26" s="10">
        <f t="shared" si="0"/>
        <v>1533</v>
      </c>
      <c r="H26" s="16">
        <f t="shared" si="1"/>
        <v>0.1</v>
      </c>
      <c r="I26" s="15">
        <f t="shared" si="2"/>
        <v>0</v>
      </c>
      <c r="J26" s="15">
        <f>ROUND(G26/1482-1,2)</f>
        <v>0.03</v>
      </c>
    </row>
    <row r="27" spans="1:10" x14ac:dyDescent="0.25">
      <c r="A27" s="1" t="s">
        <v>16</v>
      </c>
      <c r="B27" s="1" t="s">
        <v>34</v>
      </c>
      <c r="C27" s="10"/>
      <c r="D27" s="10"/>
      <c r="E27" s="10">
        <v>3530</v>
      </c>
      <c r="F27" s="10"/>
      <c r="G27" s="10">
        <f t="shared" si="0"/>
        <v>3530</v>
      </c>
      <c r="H27" s="16">
        <f t="shared" si="1"/>
        <v>0.22</v>
      </c>
      <c r="I27" s="15">
        <f t="shared" si="2"/>
        <v>1E-3</v>
      </c>
      <c r="J27" s="15">
        <f>ROUND(G27/3110-1,2)</f>
        <v>0.14000000000000001</v>
      </c>
    </row>
    <row r="28" spans="1:10" x14ac:dyDescent="0.25">
      <c r="A28" s="1" t="s">
        <v>16</v>
      </c>
      <c r="B28" s="1" t="s">
        <v>35</v>
      </c>
      <c r="C28" s="10"/>
      <c r="D28" s="10"/>
      <c r="E28" s="10">
        <v>1530</v>
      </c>
      <c r="F28" s="10"/>
      <c r="G28" s="10">
        <f t="shared" si="0"/>
        <v>1530</v>
      </c>
      <c r="H28" s="16">
        <f t="shared" si="1"/>
        <v>0.1</v>
      </c>
      <c r="I28" s="15">
        <f t="shared" si="2"/>
        <v>0</v>
      </c>
      <c r="J28" s="15">
        <f>ROUND(G28/2174-1,2)</f>
        <v>-0.3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19240</v>
      </c>
      <c r="F29" s="10"/>
      <c r="G29" s="10">
        <f t="shared" si="0"/>
        <v>19240</v>
      </c>
      <c r="H29" s="16">
        <f t="shared" si="1"/>
        <v>1.21</v>
      </c>
      <c r="I29" s="15">
        <f t="shared" si="2"/>
        <v>3.0000000000000001E-3</v>
      </c>
      <c r="J29" s="15">
        <f>ROUND(G29/20900-1,2)</f>
        <v>-0.08</v>
      </c>
    </row>
    <row r="30" spans="1:10" x14ac:dyDescent="0.25">
      <c r="A30" s="1" t="s">
        <v>16</v>
      </c>
      <c r="B30" s="1" t="s">
        <v>43</v>
      </c>
      <c r="C30" s="10"/>
      <c r="D30" s="10"/>
      <c r="E30" s="10">
        <v>2700</v>
      </c>
      <c r="F30" s="10"/>
      <c r="G30" s="10">
        <f t="shared" si="0"/>
        <v>2700</v>
      </c>
      <c r="H30" s="16">
        <f t="shared" si="1"/>
        <v>0.17</v>
      </c>
      <c r="I30" s="15">
        <f t="shared" si="2"/>
        <v>0</v>
      </c>
      <c r="J30" s="15">
        <f>ROUND(G30/39690-1,2)</f>
        <v>-0.93</v>
      </c>
    </row>
    <row r="31" spans="1:10" x14ac:dyDescent="0.25">
      <c r="A31" s="1" t="s">
        <v>16</v>
      </c>
      <c r="B31" s="1" t="s">
        <v>38</v>
      </c>
      <c r="C31" s="10"/>
      <c r="D31" s="10"/>
      <c r="E31" s="10">
        <v>445565</v>
      </c>
      <c r="F31" s="10"/>
      <c r="G31" s="10">
        <f t="shared" si="0"/>
        <v>445565</v>
      </c>
      <c r="H31" s="16">
        <f t="shared" si="1"/>
        <v>28.01</v>
      </c>
      <c r="I31" s="15">
        <f t="shared" si="2"/>
        <v>6.5000000000000002E-2</v>
      </c>
      <c r="J31" s="15">
        <f>ROUND(G31/393640-1,2)</f>
        <v>0.13</v>
      </c>
    </row>
    <row r="32" spans="1:10" x14ac:dyDescent="0.25">
      <c r="A32" s="1" t="s">
        <v>16</v>
      </c>
      <c r="B32" s="1" t="s">
        <v>39</v>
      </c>
      <c r="C32" s="10"/>
      <c r="D32" s="10"/>
      <c r="E32" s="10">
        <v>29105</v>
      </c>
      <c r="F32" s="10"/>
      <c r="G32" s="10">
        <f t="shared" si="0"/>
        <v>29105</v>
      </c>
      <c r="H32" s="16">
        <f t="shared" si="1"/>
        <v>1.83</v>
      </c>
      <c r="I32" s="15">
        <f t="shared" si="2"/>
        <v>4.0000000000000001E-3</v>
      </c>
      <c r="J32" s="15">
        <f>ROUND(G32/27965-1,2)</f>
        <v>0.04</v>
      </c>
    </row>
    <row r="33" spans="1:10" x14ac:dyDescent="0.25">
      <c r="A33" s="1" t="s">
        <v>16</v>
      </c>
      <c r="B33" s="1" t="s">
        <v>40</v>
      </c>
      <c r="C33" s="10"/>
      <c r="D33" s="10"/>
      <c r="E33" s="10">
        <v>99510</v>
      </c>
      <c r="F33" s="10"/>
      <c r="G33" s="10">
        <f t="shared" si="0"/>
        <v>99510</v>
      </c>
      <c r="H33" s="16">
        <f t="shared" si="1"/>
        <v>6.26</v>
      </c>
      <c r="I33" s="15">
        <f t="shared" si="2"/>
        <v>1.4999999999999999E-2</v>
      </c>
      <c r="J33" s="15">
        <f>ROUND(G33/90420-1,2)</f>
        <v>0.1</v>
      </c>
    </row>
    <row r="34" spans="1:10" x14ac:dyDescent="0.25">
      <c r="A34" s="1" t="s">
        <v>16</v>
      </c>
      <c r="B34" s="1" t="s">
        <v>41</v>
      </c>
      <c r="C34" s="10"/>
      <c r="D34" s="10"/>
      <c r="E34" s="10">
        <v>1075150</v>
      </c>
      <c r="F34" s="10"/>
      <c r="G34" s="10">
        <f t="shared" si="0"/>
        <v>1075150</v>
      </c>
      <c r="H34" s="16">
        <f t="shared" si="1"/>
        <v>67.59</v>
      </c>
      <c r="I34" s="15">
        <f t="shared" si="2"/>
        <v>0.157</v>
      </c>
      <c r="J34" s="15">
        <f>ROUND(G34/864100-1,2)</f>
        <v>0.24</v>
      </c>
    </row>
    <row r="35" spans="1:10" x14ac:dyDescent="0.25">
      <c r="A35" s="1" t="s">
        <v>16</v>
      </c>
      <c r="B35" s="1" t="s">
        <v>36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ROUND(G35/11430-1,2)</f>
        <v>-1</v>
      </c>
    </row>
    <row r="36" spans="1:10" x14ac:dyDescent="0.25">
      <c r="A36" s="1" t="s">
        <v>16</v>
      </c>
      <c r="B36" s="1" t="s">
        <v>127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ROUND(G36/2292-1,2)</f>
        <v>-1</v>
      </c>
    </row>
    <row r="37" spans="1:10" x14ac:dyDescent="0.25">
      <c r="A37" s="1" t="s">
        <v>16</v>
      </c>
      <c r="B37" s="1" t="s">
        <v>115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16</v>
      </c>
      <c r="B38" s="1" t="s">
        <v>128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ROUND(G38/216-1,2)</f>
        <v>-1</v>
      </c>
    </row>
    <row r="39" spans="1:10" x14ac:dyDescent="0.25">
      <c r="A39" s="1" t="s">
        <v>16</v>
      </c>
      <c r="B39" s="1" t="s">
        <v>98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ROUND(G39/45-1,2)</f>
        <v>-1</v>
      </c>
    </row>
    <row r="40" spans="1:10" x14ac:dyDescent="0.25">
      <c r="A40" s="1" t="s">
        <v>16</v>
      </c>
      <c r="B40" s="1" t="s">
        <v>129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44</v>
      </c>
      <c r="B41" s="1" t="s">
        <v>45</v>
      </c>
      <c r="C41" s="10">
        <v>1355940</v>
      </c>
      <c r="D41" s="10"/>
      <c r="E41" s="10"/>
      <c r="F41" s="10">
        <v>22850</v>
      </c>
      <c r="G41" s="10">
        <f t="shared" si="0"/>
        <v>1378790</v>
      </c>
      <c r="H41" s="16">
        <f t="shared" si="1"/>
        <v>86.68</v>
      </c>
      <c r="I41" s="15">
        <f t="shared" si="2"/>
        <v>0.20200000000000001</v>
      </c>
      <c r="J41" s="15">
        <f>ROUND(G41/1355450-1,2)</f>
        <v>0.02</v>
      </c>
    </row>
    <row r="42" spans="1:10" x14ac:dyDescent="0.25">
      <c r="A42" s="1" t="s">
        <v>44</v>
      </c>
      <c r="B42" s="1" t="s">
        <v>47</v>
      </c>
      <c r="C42" s="10"/>
      <c r="D42" s="10"/>
      <c r="E42" s="10"/>
      <c r="F42" s="10">
        <v>145400</v>
      </c>
      <c r="G42" s="10">
        <f t="shared" si="0"/>
        <v>145400</v>
      </c>
      <c r="H42" s="16">
        <f t="shared" si="1"/>
        <v>9.14</v>
      </c>
      <c r="I42" s="15">
        <f t="shared" si="2"/>
        <v>2.1000000000000001E-2</v>
      </c>
      <c r="J42" s="15">
        <f>ROUND(G42/246885-1,2)</f>
        <v>-0.41</v>
      </c>
    </row>
    <row r="43" spans="1:10" x14ac:dyDescent="0.25">
      <c r="A43" s="1" t="s">
        <v>44</v>
      </c>
      <c r="B43" s="1" t="s">
        <v>46</v>
      </c>
      <c r="C43" s="10"/>
      <c r="D43" s="10"/>
      <c r="E43" s="10">
        <v>244320</v>
      </c>
      <c r="F43" s="10"/>
      <c r="G43" s="10">
        <f t="shared" si="0"/>
        <v>244320</v>
      </c>
      <c r="H43" s="16">
        <f t="shared" si="1"/>
        <v>15.36</v>
      </c>
      <c r="I43" s="15">
        <f t="shared" si="2"/>
        <v>3.5999999999999997E-2</v>
      </c>
      <c r="J43" s="15">
        <f>ROUND(G43/201160-1,2)</f>
        <v>0.21</v>
      </c>
    </row>
    <row r="44" spans="1:10" x14ac:dyDescent="0.25">
      <c r="A44" s="1" t="s">
        <v>48</v>
      </c>
      <c r="B44" s="1" t="s">
        <v>51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1" t="s">
        <v>48</v>
      </c>
      <c r="B45" s="1" t="s">
        <v>94</v>
      </c>
      <c r="C45" s="10"/>
      <c r="D45" s="10"/>
      <c r="E45" s="10"/>
      <c r="F45" s="10"/>
      <c r="G45" s="10">
        <f t="shared" si="0"/>
        <v>0</v>
      </c>
      <c r="H45" s="16">
        <f t="shared" si="1"/>
        <v>0</v>
      </c>
      <c r="I45" s="15">
        <f t="shared" si="2"/>
        <v>0</v>
      </c>
      <c r="J45" s="15"/>
    </row>
    <row r="46" spans="1:10" x14ac:dyDescent="0.25">
      <c r="A46" s="1" t="s">
        <v>48</v>
      </c>
      <c r="B46" s="1" t="s">
        <v>50</v>
      </c>
      <c r="C46" s="10"/>
      <c r="D46" s="10"/>
      <c r="E46" s="10"/>
      <c r="F46" s="10"/>
      <c r="G46" s="10">
        <f t="shared" si="0"/>
        <v>0</v>
      </c>
      <c r="H46" s="16">
        <f t="shared" si="1"/>
        <v>0</v>
      </c>
      <c r="I46" s="15">
        <f t="shared" si="2"/>
        <v>0</v>
      </c>
      <c r="J46" s="15">
        <f>ROUND(G46/1140-1,2)</f>
        <v>-1</v>
      </c>
    </row>
    <row r="47" spans="1:10" x14ac:dyDescent="0.25">
      <c r="A47" s="1" t="s">
        <v>48</v>
      </c>
      <c r="B47" s="1" t="s">
        <v>49</v>
      </c>
      <c r="C47" s="10"/>
      <c r="D47" s="10"/>
      <c r="E47" s="10"/>
      <c r="F47" s="10"/>
      <c r="G47" s="10">
        <f t="shared" si="0"/>
        <v>0</v>
      </c>
      <c r="H47" s="16">
        <f t="shared" si="1"/>
        <v>0</v>
      </c>
      <c r="I47" s="15">
        <f t="shared" si="2"/>
        <v>0</v>
      </c>
      <c r="J47" s="15"/>
    </row>
    <row r="48" spans="1:10" x14ac:dyDescent="0.25">
      <c r="A48" s="1" t="s">
        <v>48</v>
      </c>
      <c r="B48" s="1" t="s">
        <v>86</v>
      </c>
      <c r="C48" s="10"/>
      <c r="D48" s="10"/>
      <c r="E48" s="10"/>
      <c r="F48" s="10"/>
      <c r="G48" s="10">
        <f t="shared" si="0"/>
        <v>0</v>
      </c>
      <c r="H48" s="16">
        <f t="shared" si="1"/>
        <v>0</v>
      </c>
      <c r="I48" s="15">
        <f t="shared" si="2"/>
        <v>0</v>
      </c>
      <c r="J48" s="15"/>
    </row>
    <row r="49" spans="1:10" x14ac:dyDescent="0.25">
      <c r="A49" s="27" t="s">
        <v>12</v>
      </c>
      <c r="B49" s="27"/>
      <c r="C49" s="11">
        <f t="shared" ref="C49:H49" si="3">SUM(C8:C48)</f>
        <v>4141440</v>
      </c>
      <c r="D49" s="11">
        <f t="shared" si="3"/>
        <v>1351</v>
      </c>
      <c r="E49" s="11">
        <f t="shared" si="3"/>
        <v>2484879</v>
      </c>
      <c r="F49" s="11">
        <f t="shared" si="3"/>
        <v>203360</v>
      </c>
      <c r="G49" s="11">
        <f t="shared" si="3"/>
        <v>6831030</v>
      </c>
      <c r="H49" s="14">
        <f t="shared" si="3"/>
        <v>429.46999999999997</v>
      </c>
      <c r="I49" s="17"/>
      <c r="J49" s="17"/>
    </row>
    <row r="50" spans="1:10" x14ac:dyDescent="0.25">
      <c r="A50" s="27" t="s">
        <v>14</v>
      </c>
      <c r="B50" s="27"/>
      <c r="C50" s="12">
        <f>ROUND(C49/G49,2)</f>
        <v>0.61</v>
      </c>
      <c r="D50" s="12">
        <f>ROUND(D49/G49,2)</f>
        <v>0</v>
      </c>
      <c r="E50" s="12">
        <f>ROUND(E49/G49,2)</f>
        <v>0.36</v>
      </c>
      <c r="F50" s="12">
        <f>ROUND(F49/G49,2)</f>
        <v>0.03</v>
      </c>
      <c r="G50" s="13"/>
      <c r="H50" s="13"/>
      <c r="I50" s="17"/>
      <c r="J50" s="17"/>
    </row>
    <row r="51" spans="1:10" x14ac:dyDescent="0.25">
      <c r="A51" s="2" t="s">
        <v>52</v>
      </c>
      <c r="B51" s="2"/>
      <c r="C51" s="13"/>
      <c r="D51" s="13"/>
      <c r="E51" s="13"/>
      <c r="F51" s="13"/>
      <c r="G51" s="13"/>
      <c r="H51" s="13"/>
      <c r="I51" s="17"/>
      <c r="J51" s="17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53</v>
      </c>
      <c r="B55" s="27"/>
      <c r="C55" s="11" t="s">
        <v>8</v>
      </c>
      <c r="D55" s="11" t="s">
        <v>9</v>
      </c>
      <c r="E55" s="11" t="s">
        <v>10</v>
      </c>
      <c r="F55" s="11" t="s">
        <v>11</v>
      </c>
      <c r="G55" s="11" t="s">
        <v>12</v>
      </c>
      <c r="H55" s="14" t="s">
        <v>13</v>
      </c>
      <c r="I55" s="17"/>
      <c r="J55" s="17"/>
    </row>
    <row r="56" spans="1:10" x14ac:dyDescent="0.25">
      <c r="A56" s="22" t="s">
        <v>54</v>
      </c>
      <c r="B56" s="22"/>
      <c r="C56" s="10">
        <v>2785500</v>
      </c>
      <c r="D56" s="10">
        <v>1351</v>
      </c>
      <c r="E56" s="10">
        <v>2240559</v>
      </c>
      <c r="F56" s="10">
        <v>35110</v>
      </c>
      <c r="G56" s="10">
        <f>SUM(C56:F56)</f>
        <v>5062520</v>
      </c>
      <c r="H56" s="16">
        <f>ROUND(G56/15906,2)</f>
        <v>318.27999999999997</v>
      </c>
      <c r="I56" s="9"/>
      <c r="J56" s="9"/>
    </row>
    <row r="57" spans="1:10" x14ac:dyDescent="0.25">
      <c r="A57" s="22" t="s">
        <v>55</v>
      </c>
      <c r="B57" s="22"/>
      <c r="C57" s="10">
        <v>1355940</v>
      </c>
      <c r="D57" s="10">
        <v>0</v>
      </c>
      <c r="E57" s="10">
        <v>244320</v>
      </c>
      <c r="F57" s="10">
        <v>168250</v>
      </c>
      <c r="G57" s="10">
        <f>SUM(C57:F57)</f>
        <v>1768510</v>
      </c>
      <c r="H57" s="16">
        <f>ROUND(G57/15906,2)</f>
        <v>111.19</v>
      </c>
      <c r="I57" s="9"/>
      <c r="J57" s="9"/>
    </row>
    <row r="58" spans="1:10" x14ac:dyDescent="0.25">
      <c r="A58" s="22" t="s">
        <v>56</v>
      </c>
      <c r="B58" s="22"/>
      <c r="C58" s="10">
        <v>0</v>
      </c>
      <c r="D58" s="10">
        <v>0</v>
      </c>
      <c r="E58" s="10">
        <v>0</v>
      </c>
      <c r="F58" s="10">
        <v>0</v>
      </c>
      <c r="G58" s="10">
        <f>SUM(C58:F58)</f>
        <v>0</v>
      </c>
      <c r="H58" s="16">
        <f>ROUND(G58/15906,2)</f>
        <v>0</v>
      </c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27" t="s">
        <v>57</v>
      </c>
      <c r="B63" s="27"/>
      <c r="C63" s="14" t="s">
        <v>2</v>
      </c>
      <c r="D63" s="14">
        <v>2023</v>
      </c>
      <c r="E63" s="14" t="s">
        <v>59</v>
      </c>
      <c r="F63" s="13"/>
      <c r="G63" s="14" t="s">
        <v>60</v>
      </c>
      <c r="H63" s="14" t="s">
        <v>2</v>
      </c>
      <c r="I63" s="12" t="s">
        <v>61</v>
      </c>
      <c r="J63" s="12" t="s">
        <v>59</v>
      </c>
    </row>
    <row r="64" spans="1:10" x14ac:dyDescent="0.25">
      <c r="A64" s="22" t="s">
        <v>58</v>
      </c>
      <c r="B64" s="22"/>
      <c r="C64" s="15">
        <f>ROUND(0.7837, 4)</f>
        <v>0.78369999999999995</v>
      </c>
      <c r="D64" s="15">
        <f>ROUND(0.7813, 4)</f>
        <v>0.78129999999999999</v>
      </c>
      <c r="E64" s="15">
        <f>ROUND(0.777, 4)</f>
        <v>0.77700000000000002</v>
      </c>
      <c r="F64" s="8"/>
      <c r="G64" s="14" t="s">
        <v>62</v>
      </c>
      <c r="H64" s="28" t="s">
        <v>63</v>
      </c>
      <c r="I64" s="25" t="s">
        <v>64</v>
      </c>
      <c r="J64" s="25" t="s">
        <v>65</v>
      </c>
    </row>
    <row r="65" spans="1:10" x14ac:dyDescent="0.25">
      <c r="A65" s="22" t="s">
        <v>66</v>
      </c>
      <c r="B65" s="22"/>
      <c r="C65" s="15">
        <f>ROUND(0.7742, 4)</f>
        <v>0.7742</v>
      </c>
      <c r="D65" s="15">
        <f>ROUND(0.7721, 4)</f>
        <v>0.77210000000000001</v>
      </c>
      <c r="E65" s="15">
        <f>ROUND(0.7608, 4)</f>
        <v>0.76080000000000003</v>
      </c>
      <c r="F65" s="8"/>
      <c r="G65" s="14" t="s">
        <v>67</v>
      </c>
      <c r="H65" s="29"/>
      <c r="I65" s="26"/>
      <c r="J65" s="26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9" spans="1:10" x14ac:dyDescent="0.25">
      <c r="A69" s="27" t="s">
        <v>68</v>
      </c>
      <c r="B69" s="27"/>
      <c r="C69" s="3" t="s">
        <v>2</v>
      </c>
      <c r="D69" s="3" t="s">
        <v>130</v>
      </c>
      <c r="E69" s="3" t="s">
        <v>70</v>
      </c>
      <c r="F69" s="3" t="s">
        <v>71</v>
      </c>
      <c r="G69" s="3" t="s">
        <v>72</v>
      </c>
      <c r="H69" s="2"/>
      <c r="I69" s="2"/>
      <c r="J69" s="2"/>
    </row>
    <row r="70" spans="1:10" x14ac:dyDescent="0.25">
      <c r="A70" s="22" t="s">
        <v>73</v>
      </c>
      <c r="B70" s="22"/>
      <c r="C70" s="1">
        <v>86.68</v>
      </c>
      <c r="D70" s="1">
        <v>91.59</v>
      </c>
      <c r="E70" s="1">
        <v>92.53</v>
      </c>
      <c r="F70" s="1">
        <v>56.06</v>
      </c>
      <c r="G70" s="1">
        <f>12/11*C70</f>
        <v>94.56</v>
      </c>
    </row>
    <row r="71" spans="1:10" x14ac:dyDescent="0.25">
      <c r="A71" s="22" t="s">
        <v>74</v>
      </c>
      <c r="B71" s="22"/>
      <c r="C71" s="1">
        <v>65.239999999999995</v>
      </c>
      <c r="D71" s="1">
        <v>73.84</v>
      </c>
      <c r="E71" s="1">
        <v>61.98</v>
      </c>
      <c r="F71" s="1">
        <v>64.09</v>
      </c>
      <c r="G71" s="1">
        <f>12/11*C71</f>
        <v>71.170909090909078</v>
      </c>
    </row>
    <row r="72" spans="1:10" x14ac:dyDescent="0.25">
      <c r="A72" s="22" t="s">
        <v>75</v>
      </c>
      <c r="B72" s="22"/>
      <c r="C72" s="1">
        <v>318.27999999999997</v>
      </c>
      <c r="D72" s="1">
        <v>325.58999999999997</v>
      </c>
      <c r="E72" s="1">
        <v>291.51</v>
      </c>
      <c r="F72" s="1">
        <v>284.45</v>
      </c>
      <c r="G72" s="1">
        <f>12/11*C72</f>
        <v>347.21454545454537</v>
      </c>
    </row>
    <row r="73" spans="1:10" x14ac:dyDescent="0.25">
      <c r="A73" s="22" t="s">
        <v>76</v>
      </c>
      <c r="B73" s="22"/>
      <c r="C73" s="1">
        <v>111.19</v>
      </c>
      <c r="D73" s="1">
        <v>118.75</v>
      </c>
      <c r="E73" s="1">
        <v>116.46</v>
      </c>
      <c r="F73" s="1">
        <v>79.959999999999994</v>
      </c>
      <c r="G73" s="1">
        <f>12/11*C73</f>
        <v>121.2981818181818</v>
      </c>
    </row>
    <row r="76" spans="1:10" x14ac:dyDescent="0.25">
      <c r="A76" s="23" t="s">
        <v>60</v>
      </c>
      <c r="B76" s="24"/>
    </row>
    <row r="77" spans="1:10" x14ac:dyDescent="0.25">
      <c r="A77" s="3" t="s">
        <v>77</v>
      </c>
      <c r="B77" s="1" t="s">
        <v>131</v>
      </c>
    </row>
    <row r="78" spans="1:10" x14ac:dyDescent="0.25">
      <c r="A78" s="3" t="s">
        <v>70</v>
      </c>
      <c r="B78" s="1" t="s">
        <v>79</v>
      </c>
    </row>
    <row r="79" spans="1:10" x14ac:dyDescent="0.25">
      <c r="A79" s="3" t="s">
        <v>71</v>
      </c>
      <c r="B79" s="1" t="s">
        <v>80</v>
      </c>
    </row>
    <row r="80" spans="1:10" x14ac:dyDescent="0.25">
      <c r="A80" s="3" t="s">
        <v>72</v>
      </c>
      <c r="B80" s="1" t="s">
        <v>81</v>
      </c>
    </row>
  </sheetData>
  <mergeCells count="19">
    <mergeCell ref="C7:G7"/>
    <mergeCell ref="A49:B49"/>
    <mergeCell ref="A50:B50"/>
    <mergeCell ref="A55:B55"/>
    <mergeCell ref="A56:B56"/>
    <mergeCell ref="J64:J65"/>
    <mergeCell ref="A65:B65"/>
    <mergeCell ref="A69:B69"/>
    <mergeCell ref="A70:B70"/>
    <mergeCell ref="A57:B57"/>
    <mergeCell ref="A58:B58"/>
    <mergeCell ref="A63:B63"/>
    <mergeCell ref="A64:B64"/>
    <mergeCell ref="H64:H65"/>
    <mergeCell ref="A71:B71"/>
    <mergeCell ref="A72:B72"/>
    <mergeCell ref="A73:B73"/>
    <mergeCell ref="A76:B76"/>
    <mergeCell ref="I64:I6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70"/>
  <sheetViews>
    <sheetView workbookViewId="0"/>
  </sheetViews>
  <sheetFormatPr defaultRowHeight="15" x14ac:dyDescent="0.25"/>
  <cols>
    <col min="1" max="1" width="28.42578125" bestFit="1" customWidth="1"/>
    <col min="2" max="2" width="65.7109375" bestFit="1" customWidth="1"/>
    <col min="3" max="3" width="12.7109375" bestFit="1" customWidth="1"/>
    <col min="4" max="4" width="43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132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2177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51</v>
      </c>
      <c r="F9" s="10"/>
      <c r="G9" s="10">
        <f t="shared" ref="G9:G34" si="0">SUM(C9:F9)</f>
        <v>51</v>
      </c>
      <c r="H9" s="16">
        <f t="shared" ref="H9:H34" si="1">ROUND(G9/2177,2)</f>
        <v>0.02</v>
      </c>
      <c r="I9" s="15">
        <f t="shared" ref="I9:I34" si="2">ROUND(G9/$G$35,3)</f>
        <v>0</v>
      </c>
      <c r="J9" s="15"/>
    </row>
    <row r="10" spans="1:10" x14ac:dyDescent="0.25">
      <c r="A10" s="1" t="s">
        <v>16</v>
      </c>
      <c r="B10" s="1" t="s">
        <v>90</v>
      </c>
      <c r="C10" s="10"/>
      <c r="D10" s="10">
        <v>98520</v>
      </c>
      <c r="E10" s="10"/>
      <c r="F10" s="10"/>
      <c r="G10" s="10">
        <f t="shared" si="0"/>
        <v>98520</v>
      </c>
      <c r="H10" s="16">
        <f t="shared" si="1"/>
        <v>45.25</v>
      </c>
      <c r="I10" s="15">
        <f t="shared" si="2"/>
        <v>0.13400000000000001</v>
      </c>
      <c r="J10" s="15">
        <f>ROUND(G10/93100-1,2)</f>
        <v>0.06</v>
      </c>
    </row>
    <row r="11" spans="1:10" x14ac:dyDescent="0.25">
      <c r="A11" s="1" t="s">
        <v>16</v>
      </c>
      <c r="B11" s="1" t="s">
        <v>133</v>
      </c>
      <c r="C11" s="10"/>
      <c r="D11" s="10">
        <v>5490</v>
      </c>
      <c r="E11" s="10">
        <v>1960</v>
      </c>
      <c r="F11" s="10"/>
      <c r="G11" s="10">
        <f t="shared" si="0"/>
        <v>7450</v>
      </c>
      <c r="H11" s="16">
        <f t="shared" si="1"/>
        <v>3.42</v>
      </c>
      <c r="I11" s="15">
        <f t="shared" si="2"/>
        <v>0.01</v>
      </c>
      <c r="J11" s="15">
        <f>ROUND(G11/7440-1,2)</f>
        <v>0</v>
      </c>
    </row>
    <row r="12" spans="1:10" x14ac:dyDescent="0.25">
      <c r="A12" s="1" t="s">
        <v>16</v>
      </c>
      <c r="B12" s="1" t="s">
        <v>20</v>
      </c>
      <c r="C12" s="10"/>
      <c r="D12" s="10">
        <v>86360</v>
      </c>
      <c r="E12" s="10"/>
      <c r="F12" s="10"/>
      <c r="G12" s="10">
        <f t="shared" si="0"/>
        <v>86360</v>
      </c>
      <c r="H12" s="16">
        <f t="shared" si="1"/>
        <v>39.67</v>
      </c>
      <c r="I12" s="15">
        <f t="shared" si="2"/>
        <v>0.11700000000000001</v>
      </c>
      <c r="J12" s="15">
        <f>ROUND(G12/89030-1,2)</f>
        <v>-0.03</v>
      </c>
    </row>
    <row r="13" spans="1:10" x14ac:dyDescent="0.25">
      <c r="A13" s="1" t="s">
        <v>16</v>
      </c>
      <c r="B13" s="1" t="s">
        <v>24</v>
      </c>
      <c r="C13" s="10"/>
      <c r="D13" s="10">
        <v>97560</v>
      </c>
      <c r="E13" s="10"/>
      <c r="F13" s="10"/>
      <c r="G13" s="10">
        <f t="shared" si="0"/>
        <v>97560</v>
      </c>
      <c r="H13" s="16">
        <f t="shared" si="1"/>
        <v>44.81</v>
      </c>
      <c r="I13" s="15">
        <f t="shared" si="2"/>
        <v>0.13300000000000001</v>
      </c>
      <c r="J13" s="15">
        <f>ROUND(G13/97840-1,2)</f>
        <v>0</v>
      </c>
    </row>
    <row r="14" spans="1:10" x14ac:dyDescent="0.25">
      <c r="A14" s="1" t="s">
        <v>16</v>
      </c>
      <c r="B14" s="1" t="s">
        <v>25</v>
      </c>
      <c r="C14" s="10"/>
      <c r="D14" s="10"/>
      <c r="E14" s="10">
        <v>2495</v>
      </c>
      <c r="F14" s="10"/>
      <c r="G14" s="10">
        <f t="shared" si="0"/>
        <v>2495</v>
      </c>
      <c r="H14" s="16">
        <f t="shared" si="1"/>
        <v>1.1499999999999999</v>
      </c>
      <c r="I14" s="15">
        <f t="shared" si="2"/>
        <v>3.0000000000000001E-3</v>
      </c>
      <c r="J14" s="15">
        <f>ROUND(G14/940-1,2)</f>
        <v>1.65</v>
      </c>
    </row>
    <row r="15" spans="1:10" x14ac:dyDescent="0.25">
      <c r="A15" s="1" t="s">
        <v>16</v>
      </c>
      <c r="B15" s="1" t="s">
        <v>26</v>
      </c>
      <c r="C15" s="10"/>
      <c r="D15" s="10">
        <v>191820</v>
      </c>
      <c r="E15" s="10"/>
      <c r="F15" s="10"/>
      <c r="G15" s="10">
        <f t="shared" si="0"/>
        <v>191820</v>
      </c>
      <c r="H15" s="16">
        <f t="shared" si="1"/>
        <v>88.11</v>
      </c>
      <c r="I15" s="15">
        <f t="shared" si="2"/>
        <v>0.26100000000000001</v>
      </c>
      <c r="J15" s="15">
        <f>ROUND(G15/143100-1,2)</f>
        <v>0.34</v>
      </c>
    </row>
    <row r="16" spans="1:10" x14ac:dyDescent="0.25">
      <c r="A16" s="1" t="s">
        <v>16</v>
      </c>
      <c r="B16" s="1" t="s">
        <v>29</v>
      </c>
      <c r="C16" s="10"/>
      <c r="D16" s="10"/>
      <c r="E16" s="10">
        <v>1270</v>
      </c>
      <c r="F16" s="10"/>
      <c r="G16" s="10">
        <f t="shared" si="0"/>
        <v>1270</v>
      </c>
      <c r="H16" s="16">
        <f t="shared" si="1"/>
        <v>0.57999999999999996</v>
      </c>
      <c r="I16" s="15">
        <f t="shared" si="2"/>
        <v>2E-3</v>
      </c>
      <c r="J16" s="15">
        <f>ROUND(G16/2580-1,2)</f>
        <v>-0.51</v>
      </c>
    </row>
    <row r="17" spans="1:10" x14ac:dyDescent="0.25">
      <c r="A17" s="1" t="s">
        <v>16</v>
      </c>
      <c r="B17" s="1" t="s">
        <v>33</v>
      </c>
      <c r="C17" s="10"/>
      <c r="D17" s="10">
        <v>147</v>
      </c>
      <c r="E17" s="10">
        <v>11</v>
      </c>
      <c r="F17" s="10"/>
      <c r="G17" s="10">
        <f t="shared" si="0"/>
        <v>158</v>
      </c>
      <c r="H17" s="16">
        <f t="shared" si="1"/>
        <v>7.0000000000000007E-2</v>
      </c>
      <c r="I17" s="15">
        <f t="shared" si="2"/>
        <v>0</v>
      </c>
      <c r="J17" s="15">
        <f>ROUND(G17/135-1,2)</f>
        <v>0.17</v>
      </c>
    </row>
    <row r="18" spans="1:10" x14ac:dyDescent="0.25">
      <c r="A18" s="1" t="s">
        <v>16</v>
      </c>
      <c r="B18" s="1" t="s">
        <v>35</v>
      </c>
      <c r="C18" s="10"/>
      <c r="D18" s="10">
        <v>50</v>
      </c>
      <c r="E18" s="10"/>
      <c r="F18" s="10"/>
      <c r="G18" s="10">
        <f t="shared" si="0"/>
        <v>50</v>
      </c>
      <c r="H18" s="16">
        <f t="shared" si="1"/>
        <v>0.02</v>
      </c>
      <c r="I18" s="15">
        <f t="shared" si="2"/>
        <v>0</v>
      </c>
      <c r="J18" s="15">
        <f>ROUND(G18/250-1,2)</f>
        <v>-0.8</v>
      </c>
    </row>
    <row r="19" spans="1:10" x14ac:dyDescent="0.25">
      <c r="A19" s="1" t="s">
        <v>16</v>
      </c>
      <c r="B19" s="1" t="s">
        <v>36</v>
      </c>
      <c r="C19" s="10"/>
      <c r="D19" s="10"/>
      <c r="E19" s="10">
        <v>900</v>
      </c>
      <c r="F19" s="10"/>
      <c r="G19" s="10">
        <f t="shared" si="0"/>
        <v>900</v>
      </c>
      <c r="H19" s="16">
        <f t="shared" si="1"/>
        <v>0.41</v>
      </c>
      <c r="I19" s="15">
        <f t="shared" si="2"/>
        <v>1E-3</v>
      </c>
      <c r="J19" s="15">
        <f>ROUND(G19/1340-1,2)</f>
        <v>-0.33</v>
      </c>
    </row>
    <row r="20" spans="1:10" x14ac:dyDescent="0.25">
      <c r="A20" s="1" t="s">
        <v>16</v>
      </c>
      <c r="B20" s="1" t="s">
        <v>37</v>
      </c>
      <c r="C20" s="10"/>
      <c r="D20" s="10"/>
      <c r="E20" s="10">
        <v>1260</v>
      </c>
      <c r="F20" s="10"/>
      <c r="G20" s="10">
        <f t="shared" si="0"/>
        <v>1260</v>
      </c>
      <c r="H20" s="16">
        <f t="shared" si="1"/>
        <v>0.57999999999999996</v>
      </c>
      <c r="I20" s="15">
        <f t="shared" si="2"/>
        <v>2E-3</v>
      </c>
      <c r="J20" s="15">
        <f>ROUND(G20/1170-1,2)</f>
        <v>0.08</v>
      </c>
    </row>
    <row r="21" spans="1:10" x14ac:dyDescent="0.25">
      <c r="A21" s="1" t="s">
        <v>16</v>
      </c>
      <c r="B21" s="1" t="s">
        <v>43</v>
      </c>
      <c r="C21" s="10"/>
      <c r="D21" s="10"/>
      <c r="E21" s="10">
        <v>2080</v>
      </c>
      <c r="F21" s="10"/>
      <c r="G21" s="10">
        <f t="shared" si="0"/>
        <v>2080</v>
      </c>
      <c r="H21" s="16">
        <f t="shared" si="1"/>
        <v>0.96</v>
      </c>
      <c r="I21" s="15">
        <f t="shared" si="2"/>
        <v>3.0000000000000001E-3</v>
      </c>
      <c r="J21" s="15">
        <f>ROUND(G21/4032-1,2)</f>
        <v>-0.48</v>
      </c>
    </row>
    <row r="22" spans="1:10" x14ac:dyDescent="0.25">
      <c r="A22" s="1" t="s">
        <v>16</v>
      </c>
      <c r="B22" s="1" t="s">
        <v>38</v>
      </c>
      <c r="C22" s="10"/>
      <c r="D22" s="10"/>
      <c r="E22" s="10">
        <v>38150</v>
      </c>
      <c r="F22" s="10"/>
      <c r="G22" s="10">
        <f t="shared" si="0"/>
        <v>38150</v>
      </c>
      <c r="H22" s="16">
        <f t="shared" si="1"/>
        <v>17.52</v>
      </c>
      <c r="I22" s="15">
        <f t="shared" si="2"/>
        <v>5.1999999999999998E-2</v>
      </c>
      <c r="J22" s="15">
        <f>ROUND(G22/18730-1,2)</f>
        <v>1.04</v>
      </c>
    </row>
    <row r="23" spans="1:10" x14ac:dyDescent="0.25">
      <c r="A23" s="1" t="s">
        <v>16</v>
      </c>
      <c r="B23" s="1" t="s">
        <v>40</v>
      </c>
      <c r="C23" s="10"/>
      <c r="D23" s="10"/>
      <c r="E23" s="10">
        <v>5400</v>
      </c>
      <c r="F23" s="10"/>
      <c r="G23" s="10">
        <f t="shared" si="0"/>
        <v>5400</v>
      </c>
      <c r="H23" s="16">
        <f t="shared" si="1"/>
        <v>2.48</v>
      </c>
      <c r="I23" s="15">
        <f t="shared" si="2"/>
        <v>7.0000000000000001E-3</v>
      </c>
      <c r="J23" s="15"/>
    </row>
    <row r="24" spans="1:10" x14ac:dyDescent="0.25">
      <c r="A24" s="1" t="s">
        <v>16</v>
      </c>
      <c r="B24" s="1" t="s">
        <v>41</v>
      </c>
      <c r="C24" s="10"/>
      <c r="D24" s="10"/>
      <c r="E24" s="10">
        <v>30420</v>
      </c>
      <c r="F24" s="10"/>
      <c r="G24" s="10">
        <f t="shared" si="0"/>
        <v>30420</v>
      </c>
      <c r="H24" s="16">
        <f t="shared" si="1"/>
        <v>13.97</v>
      </c>
      <c r="I24" s="15">
        <f t="shared" si="2"/>
        <v>4.1000000000000002E-2</v>
      </c>
      <c r="J24" s="15">
        <f>ROUND(G24/25390-1,2)</f>
        <v>0.2</v>
      </c>
    </row>
    <row r="25" spans="1:10" x14ac:dyDescent="0.25">
      <c r="A25" s="1" t="s">
        <v>16</v>
      </c>
      <c r="B25" s="1" t="s">
        <v>22</v>
      </c>
      <c r="C25" s="10"/>
      <c r="D25" s="10"/>
      <c r="E25" s="10"/>
      <c r="F25" s="10"/>
      <c r="G25" s="10">
        <f t="shared" si="0"/>
        <v>0</v>
      </c>
      <c r="H25" s="16">
        <f t="shared" si="1"/>
        <v>0</v>
      </c>
      <c r="I25" s="15">
        <f t="shared" si="2"/>
        <v>0</v>
      </c>
      <c r="J25" s="15">
        <f>ROUND(G25/630-1,2)</f>
        <v>-1</v>
      </c>
    </row>
    <row r="26" spans="1:10" x14ac:dyDescent="0.25">
      <c r="A26" s="1" t="s">
        <v>16</v>
      </c>
      <c r="B26" s="1" t="s">
        <v>42</v>
      </c>
      <c r="C26" s="10"/>
      <c r="D26" s="10"/>
      <c r="E26" s="10"/>
      <c r="F26" s="10"/>
      <c r="G26" s="10">
        <f t="shared" si="0"/>
        <v>0</v>
      </c>
      <c r="H26" s="16">
        <f t="shared" si="1"/>
        <v>0</v>
      </c>
      <c r="I26" s="15">
        <f t="shared" si="2"/>
        <v>0</v>
      </c>
      <c r="J26" s="15">
        <f>ROUND(G26/227-1,2)</f>
        <v>-1</v>
      </c>
    </row>
    <row r="27" spans="1:10" x14ac:dyDescent="0.25">
      <c r="A27" s="1" t="s">
        <v>16</v>
      </c>
      <c r="B27" s="1" t="s">
        <v>98</v>
      </c>
      <c r="C27" s="10"/>
      <c r="D27" s="10"/>
      <c r="E27" s="10"/>
      <c r="F27" s="10"/>
      <c r="G27" s="10">
        <f t="shared" si="0"/>
        <v>0</v>
      </c>
      <c r="H27" s="16">
        <f t="shared" si="1"/>
        <v>0</v>
      </c>
      <c r="I27" s="15">
        <f t="shared" si="2"/>
        <v>0</v>
      </c>
      <c r="J27" s="15">
        <f>ROUND(G27/400-1,2)</f>
        <v>-1</v>
      </c>
    </row>
    <row r="28" spans="1:10" x14ac:dyDescent="0.25">
      <c r="A28" s="1" t="s">
        <v>16</v>
      </c>
      <c r="B28" s="1" t="s">
        <v>30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ROUND(G28/180-1,2)</f>
        <v>-1</v>
      </c>
    </row>
    <row r="29" spans="1:10" x14ac:dyDescent="0.25">
      <c r="A29" s="1" t="s">
        <v>16</v>
      </c>
      <c r="B29" s="1" t="s">
        <v>34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ROUND(G29/580-1,2)</f>
        <v>-1</v>
      </c>
    </row>
    <row r="30" spans="1:10" x14ac:dyDescent="0.25">
      <c r="A30" s="1" t="s">
        <v>44</v>
      </c>
      <c r="B30" s="1" t="s">
        <v>45</v>
      </c>
      <c r="C30" s="10">
        <v>137830</v>
      </c>
      <c r="D30" s="10"/>
      <c r="E30" s="10"/>
      <c r="F30" s="10"/>
      <c r="G30" s="10">
        <f t="shared" si="0"/>
        <v>137830</v>
      </c>
      <c r="H30" s="16">
        <f t="shared" si="1"/>
        <v>63.31</v>
      </c>
      <c r="I30" s="15">
        <f t="shared" si="2"/>
        <v>0.187</v>
      </c>
      <c r="J30" s="15">
        <f>ROUND(G30/134370-1,2)</f>
        <v>0.03</v>
      </c>
    </row>
    <row r="31" spans="1:10" x14ac:dyDescent="0.25">
      <c r="A31" s="1" t="s">
        <v>44</v>
      </c>
      <c r="B31" s="1" t="s">
        <v>46</v>
      </c>
      <c r="C31" s="10"/>
      <c r="D31" s="10"/>
      <c r="E31" s="10">
        <v>34430</v>
      </c>
      <c r="F31" s="10"/>
      <c r="G31" s="10">
        <f t="shared" si="0"/>
        <v>34430</v>
      </c>
      <c r="H31" s="16">
        <f t="shared" si="1"/>
        <v>15.82</v>
      </c>
      <c r="I31" s="15">
        <f t="shared" si="2"/>
        <v>4.7E-2</v>
      </c>
      <c r="J31" s="15">
        <f>ROUND(G31/5860-1,2)</f>
        <v>4.88</v>
      </c>
    </row>
    <row r="32" spans="1:10" x14ac:dyDescent="0.25">
      <c r="A32" s="1" t="s">
        <v>48</v>
      </c>
      <c r="B32" s="1" t="s">
        <v>49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ROUND(G32/425-1,2)</f>
        <v>-1</v>
      </c>
    </row>
    <row r="33" spans="1:10" x14ac:dyDescent="0.25">
      <c r="A33" s="1" t="s">
        <v>48</v>
      </c>
      <c r="B33" s="1" t="s">
        <v>50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ROUND(G33/450-1,2)</f>
        <v>-1</v>
      </c>
    </row>
    <row r="34" spans="1:10" x14ac:dyDescent="0.25">
      <c r="A34" s="1" t="s">
        <v>48</v>
      </c>
      <c r="B34" s="1" t="s">
        <v>51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27" t="s">
        <v>12</v>
      </c>
      <c r="B35" s="27"/>
      <c r="C35" s="11">
        <f t="shared" ref="C35:H35" si="3">SUM(C8:C34)</f>
        <v>137830</v>
      </c>
      <c r="D35" s="11">
        <f t="shared" si="3"/>
        <v>479947</v>
      </c>
      <c r="E35" s="11">
        <f t="shared" si="3"/>
        <v>118427</v>
      </c>
      <c r="F35" s="11">
        <f t="shared" si="3"/>
        <v>0</v>
      </c>
      <c r="G35" s="11">
        <f t="shared" si="3"/>
        <v>736204</v>
      </c>
      <c r="H35" s="14">
        <f t="shared" si="3"/>
        <v>338.15000000000003</v>
      </c>
      <c r="I35" s="17"/>
      <c r="J35" s="17"/>
    </row>
    <row r="36" spans="1:10" x14ac:dyDescent="0.25">
      <c r="A36" s="27" t="s">
        <v>14</v>
      </c>
      <c r="B36" s="27"/>
      <c r="C36" s="12">
        <f>ROUND(C35/G35,2)</f>
        <v>0.19</v>
      </c>
      <c r="D36" s="12">
        <f>ROUND(D35/G35,2)</f>
        <v>0.65</v>
      </c>
      <c r="E36" s="12">
        <f>ROUND(E35/G35,2)</f>
        <v>0.16</v>
      </c>
      <c r="F36" s="12">
        <f>ROUND(F35/G35,2)</f>
        <v>0</v>
      </c>
      <c r="G36" s="13"/>
      <c r="H36" s="13"/>
      <c r="I36" s="17"/>
      <c r="J36" s="17"/>
    </row>
    <row r="37" spans="1:10" x14ac:dyDescent="0.25">
      <c r="A37" s="2" t="s">
        <v>52</v>
      </c>
      <c r="B37" s="2"/>
      <c r="C37" s="13"/>
      <c r="D37" s="13"/>
      <c r="E37" s="13"/>
      <c r="F37" s="13"/>
      <c r="G37" s="13"/>
      <c r="H37" s="13"/>
      <c r="I37" s="17"/>
      <c r="J37" s="17"/>
    </row>
    <row r="38" spans="1:10" x14ac:dyDescent="0.25">
      <c r="C38" s="8"/>
      <c r="D38" s="8"/>
      <c r="E38" s="8"/>
      <c r="F38" s="8"/>
      <c r="G38" s="8"/>
      <c r="H38" s="8"/>
      <c r="I38" s="9"/>
      <c r="J38" s="9"/>
    </row>
    <row r="39" spans="1:10" x14ac:dyDescent="0.25">
      <c r="C39" s="8"/>
      <c r="D39" s="8"/>
      <c r="E39" s="8"/>
      <c r="F39" s="8"/>
      <c r="G39" s="8"/>
      <c r="H39" s="8"/>
      <c r="I39" s="9"/>
      <c r="J39" s="9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A41" s="27" t="s">
        <v>53</v>
      </c>
      <c r="B41" s="27"/>
      <c r="C41" s="11" t="s">
        <v>8</v>
      </c>
      <c r="D41" s="11" t="s">
        <v>9</v>
      </c>
      <c r="E41" s="11" t="s">
        <v>10</v>
      </c>
      <c r="F41" s="11" t="s">
        <v>11</v>
      </c>
      <c r="G41" s="11" t="s">
        <v>12</v>
      </c>
      <c r="H41" s="14" t="s">
        <v>13</v>
      </c>
      <c r="I41" s="17"/>
      <c r="J41" s="17"/>
    </row>
    <row r="42" spans="1:10" x14ac:dyDescent="0.25">
      <c r="A42" s="22" t="s">
        <v>54</v>
      </c>
      <c r="B42" s="22"/>
      <c r="C42" s="10">
        <v>0</v>
      </c>
      <c r="D42" s="10">
        <v>479947</v>
      </c>
      <c r="E42" s="10">
        <v>83997</v>
      </c>
      <c r="F42" s="10">
        <v>0</v>
      </c>
      <c r="G42" s="10">
        <f>SUM(C42:F42)</f>
        <v>563944</v>
      </c>
      <c r="H42" s="16">
        <f>ROUND(G42/2177,2)</f>
        <v>259.05</v>
      </c>
      <c r="I42" s="9"/>
      <c r="J42" s="9"/>
    </row>
    <row r="43" spans="1:10" x14ac:dyDescent="0.25">
      <c r="A43" s="22" t="s">
        <v>55</v>
      </c>
      <c r="B43" s="22"/>
      <c r="C43" s="10">
        <v>137830</v>
      </c>
      <c r="D43" s="10">
        <v>0</v>
      </c>
      <c r="E43" s="10">
        <v>34430</v>
      </c>
      <c r="F43" s="10">
        <v>0</v>
      </c>
      <c r="G43" s="10">
        <f>SUM(C43:F43)</f>
        <v>172260</v>
      </c>
      <c r="H43" s="16">
        <f>ROUND(G43/2177,2)</f>
        <v>79.13</v>
      </c>
      <c r="I43" s="9"/>
      <c r="J43" s="9"/>
    </row>
    <row r="44" spans="1:10" x14ac:dyDescent="0.25">
      <c r="A44" s="22" t="s">
        <v>56</v>
      </c>
      <c r="B44" s="22"/>
      <c r="C44" s="10">
        <v>0</v>
      </c>
      <c r="D44" s="10">
        <v>0</v>
      </c>
      <c r="E44" s="10">
        <v>0</v>
      </c>
      <c r="F44" s="10">
        <v>0</v>
      </c>
      <c r="G44" s="10">
        <f>SUM(C44:F44)</f>
        <v>0</v>
      </c>
      <c r="H44" s="16">
        <f>ROUND(G44/2177,2)</f>
        <v>0</v>
      </c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A49" s="27" t="s">
        <v>57</v>
      </c>
      <c r="B49" s="27"/>
      <c r="C49" s="14" t="s">
        <v>2</v>
      </c>
      <c r="D49" s="14">
        <v>2023</v>
      </c>
      <c r="E49" s="14" t="s">
        <v>59</v>
      </c>
      <c r="F49" s="13"/>
      <c r="G49" s="14" t="s">
        <v>60</v>
      </c>
      <c r="H49" s="14" t="s">
        <v>2</v>
      </c>
      <c r="I49" s="12" t="s">
        <v>61</v>
      </c>
      <c r="J49" s="12" t="s">
        <v>59</v>
      </c>
    </row>
    <row r="50" spans="1:10" x14ac:dyDescent="0.25">
      <c r="A50" s="22" t="s">
        <v>58</v>
      </c>
      <c r="B50" s="22"/>
      <c r="C50" s="15">
        <f>ROUND(0.8117, 4)</f>
        <v>0.81169999999999998</v>
      </c>
      <c r="D50" s="15">
        <f>ROUND(0.7849, 4)</f>
        <v>0.78490000000000004</v>
      </c>
      <c r="E50" s="15">
        <f>ROUND(0.777, 4)</f>
        <v>0.77700000000000002</v>
      </c>
      <c r="F50" s="8"/>
      <c r="G50" s="14" t="s">
        <v>62</v>
      </c>
      <c r="H50" s="28" t="s">
        <v>63</v>
      </c>
      <c r="I50" s="25" t="s">
        <v>64</v>
      </c>
      <c r="J50" s="25" t="s">
        <v>65</v>
      </c>
    </row>
    <row r="51" spans="1:10" x14ac:dyDescent="0.25">
      <c r="A51" s="22" t="s">
        <v>66</v>
      </c>
      <c r="B51" s="22"/>
      <c r="C51" s="15">
        <f>ROUND(0.7477, 4)</f>
        <v>0.74770000000000003</v>
      </c>
      <c r="D51" s="15">
        <f>ROUND(0.7148, 4)</f>
        <v>0.71479999999999999</v>
      </c>
      <c r="E51" s="15">
        <f>ROUND(0.7608, 4)</f>
        <v>0.76080000000000003</v>
      </c>
      <c r="F51" s="8"/>
      <c r="G51" s="14" t="s">
        <v>67</v>
      </c>
      <c r="H51" s="29"/>
      <c r="I51" s="26"/>
      <c r="J51" s="26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68</v>
      </c>
      <c r="B55" s="27"/>
      <c r="C55" s="14" t="s">
        <v>2</v>
      </c>
      <c r="D55" s="14" t="s">
        <v>134</v>
      </c>
      <c r="E55" s="14" t="s">
        <v>70</v>
      </c>
      <c r="F55" s="14" t="s">
        <v>71</v>
      </c>
      <c r="G55" s="14" t="s">
        <v>72</v>
      </c>
      <c r="H55" s="13"/>
      <c r="I55" s="17"/>
      <c r="J55" s="17"/>
    </row>
    <row r="56" spans="1:10" x14ac:dyDescent="0.25">
      <c r="A56" s="22" t="s">
        <v>73</v>
      </c>
      <c r="B56" s="22"/>
      <c r="C56" s="16">
        <v>63.31</v>
      </c>
      <c r="D56" s="16">
        <v>63.85</v>
      </c>
      <c r="E56" s="16">
        <v>92.53</v>
      </c>
      <c r="F56" s="16">
        <v>56.06</v>
      </c>
      <c r="G56" s="16">
        <f>12/11*C56</f>
        <v>69.065454545454543</v>
      </c>
      <c r="H56" s="8"/>
      <c r="I56" s="9"/>
      <c r="J56" s="9"/>
    </row>
    <row r="57" spans="1:10" x14ac:dyDescent="0.25">
      <c r="A57" s="22" t="s">
        <v>74</v>
      </c>
      <c r="B57" s="22"/>
      <c r="C57" s="16">
        <v>88.11</v>
      </c>
      <c r="D57" s="16">
        <v>74.099999999999994</v>
      </c>
      <c r="E57" s="16">
        <v>61.98</v>
      </c>
      <c r="F57" s="16">
        <v>64.09</v>
      </c>
      <c r="G57" s="16">
        <f>12/11*C57</f>
        <v>96.11999999999999</v>
      </c>
      <c r="H57" s="8"/>
      <c r="I57" s="9"/>
      <c r="J57" s="9"/>
    </row>
    <row r="58" spans="1:10" x14ac:dyDescent="0.25">
      <c r="A58" s="22" t="s">
        <v>75</v>
      </c>
      <c r="B58" s="22"/>
      <c r="C58" s="16">
        <v>259.05</v>
      </c>
      <c r="D58" s="16">
        <v>249.66</v>
      </c>
      <c r="E58" s="16">
        <v>291.51</v>
      </c>
      <c r="F58" s="16">
        <v>284.45</v>
      </c>
      <c r="G58" s="16">
        <f>12/11*C58</f>
        <v>282.59999999999997</v>
      </c>
      <c r="H58" s="8"/>
      <c r="I58" s="9"/>
      <c r="J58" s="9"/>
    </row>
    <row r="59" spans="1:10" x14ac:dyDescent="0.25">
      <c r="A59" s="22" t="s">
        <v>76</v>
      </c>
      <c r="B59" s="22"/>
      <c r="C59" s="16">
        <v>79.13</v>
      </c>
      <c r="D59" s="16">
        <v>74.47</v>
      </c>
      <c r="E59" s="16">
        <v>116.46</v>
      </c>
      <c r="F59" s="16">
        <v>79.959999999999994</v>
      </c>
      <c r="G59" s="16">
        <f>12/11*C59</f>
        <v>86.323636363636354</v>
      </c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3" t="s">
        <v>60</v>
      </c>
      <c r="B62" s="24"/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3" t="s">
        <v>77</v>
      </c>
      <c r="B63" s="1" t="s">
        <v>135</v>
      </c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3" t="s">
        <v>70</v>
      </c>
      <c r="B64" s="1" t="s">
        <v>79</v>
      </c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3" t="s">
        <v>71</v>
      </c>
      <c r="B65" s="1" t="s">
        <v>80</v>
      </c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72</v>
      </c>
      <c r="B66" s="1" t="s">
        <v>81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</sheetData>
  <mergeCells count="19">
    <mergeCell ref="C7:G7"/>
    <mergeCell ref="A35:B35"/>
    <mergeCell ref="A36:B36"/>
    <mergeCell ref="A41:B41"/>
    <mergeCell ref="A42:B42"/>
    <mergeCell ref="J50:J51"/>
    <mergeCell ref="A51:B51"/>
    <mergeCell ref="A55:B55"/>
    <mergeCell ref="A56:B56"/>
    <mergeCell ref="A43:B43"/>
    <mergeCell ref="A44:B44"/>
    <mergeCell ref="A49:B49"/>
    <mergeCell ref="A50:B50"/>
    <mergeCell ref="H50:H51"/>
    <mergeCell ref="A57:B57"/>
    <mergeCell ref="A58:B58"/>
    <mergeCell ref="A59:B59"/>
    <mergeCell ref="A62:B62"/>
    <mergeCell ref="I50:I5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70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6.5703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136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426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9</v>
      </c>
      <c r="F9" s="10"/>
      <c r="G9" s="10">
        <f t="shared" ref="G9:G38" si="0">SUM(C9:F9)</f>
        <v>9</v>
      </c>
      <c r="H9" s="16">
        <f t="shared" ref="H9:H38" si="1">ROUND(G9/426,2)</f>
        <v>0.02</v>
      </c>
      <c r="I9" s="15">
        <f t="shared" ref="I9:I38" si="2">ROUND(G9/$G$39,3)</f>
        <v>0</v>
      </c>
      <c r="J9" s="15"/>
    </row>
    <row r="10" spans="1:10" x14ac:dyDescent="0.25">
      <c r="A10" s="1" t="s">
        <v>16</v>
      </c>
      <c r="B10" s="1" t="s">
        <v>19</v>
      </c>
      <c r="C10" s="10">
        <v>15870</v>
      </c>
      <c r="D10" s="10"/>
      <c r="E10" s="10">
        <v>1226</v>
      </c>
      <c r="F10" s="10"/>
      <c r="G10" s="10">
        <f t="shared" si="0"/>
        <v>17096</v>
      </c>
      <c r="H10" s="16">
        <f t="shared" si="1"/>
        <v>40.130000000000003</v>
      </c>
      <c r="I10" s="15">
        <f t="shared" si="2"/>
        <v>8.5000000000000006E-2</v>
      </c>
      <c r="J10" s="15">
        <f>ROUND(G10/18487.66-1,2)</f>
        <v>-0.08</v>
      </c>
    </row>
    <row r="11" spans="1:10" x14ac:dyDescent="0.25">
      <c r="A11" s="1" t="s">
        <v>16</v>
      </c>
      <c r="B11" s="1" t="s">
        <v>20</v>
      </c>
      <c r="C11" s="10">
        <v>33225</v>
      </c>
      <c r="D11" s="10"/>
      <c r="E11" s="10"/>
      <c r="F11" s="10"/>
      <c r="G11" s="10">
        <f t="shared" si="0"/>
        <v>33225</v>
      </c>
      <c r="H11" s="16">
        <f t="shared" si="1"/>
        <v>77.989999999999995</v>
      </c>
      <c r="I11" s="15">
        <f t="shared" si="2"/>
        <v>0.16600000000000001</v>
      </c>
      <c r="J11" s="15">
        <f>ROUND(G11/30220-1,2)</f>
        <v>0.1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46</v>
      </c>
      <c r="F12" s="10"/>
      <c r="G12" s="10">
        <f t="shared" si="0"/>
        <v>46</v>
      </c>
      <c r="H12" s="16">
        <f t="shared" si="1"/>
        <v>0.11</v>
      </c>
      <c r="I12" s="15">
        <f t="shared" si="2"/>
        <v>0</v>
      </c>
      <c r="J12" s="15">
        <f>ROUND(G12/34.29-1,2)</f>
        <v>0.34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155</v>
      </c>
      <c r="F13" s="10"/>
      <c r="G13" s="10">
        <f t="shared" si="0"/>
        <v>155</v>
      </c>
      <c r="H13" s="16">
        <f t="shared" si="1"/>
        <v>0.36</v>
      </c>
      <c r="I13" s="15">
        <f t="shared" si="2"/>
        <v>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24438</v>
      </c>
      <c r="F14" s="10"/>
      <c r="G14" s="10">
        <f t="shared" si="0"/>
        <v>24438</v>
      </c>
      <c r="H14" s="16">
        <f t="shared" si="1"/>
        <v>57.37</v>
      </c>
      <c r="I14" s="15">
        <f t="shared" si="2"/>
        <v>0.122</v>
      </c>
      <c r="J14" s="15">
        <f>ROUND(G14/4286.17-1,2)</f>
        <v>4.7</v>
      </c>
    </row>
    <row r="15" spans="1:10" x14ac:dyDescent="0.25">
      <c r="A15" s="1" t="s">
        <v>16</v>
      </c>
      <c r="B15" s="1" t="s">
        <v>24</v>
      </c>
      <c r="C15" s="10">
        <v>23570</v>
      </c>
      <c r="D15" s="10"/>
      <c r="E15" s="10">
        <v>4045</v>
      </c>
      <c r="F15" s="10"/>
      <c r="G15" s="10">
        <f t="shared" si="0"/>
        <v>27615</v>
      </c>
      <c r="H15" s="16">
        <f t="shared" si="1"/>
        <v>64.819999999999993</v>
      </c>
      <c r="I15" s="15">
        <f t="shared" si="2"/>
        <v>0.13800000000000001</v>
      </c>
      <c r="J15" s="15">
        <f>ROUND(G15/25171.06-1,2)</f>
        <v>0.1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766</v>
      </c>
      <c r="F16" s="10"/>
      <c r="G16" s="10">
        <f t="shared" si="0"/>
        <v>766</v>
      </c>
      <c r="H16" s="16">
        <f t="shared" si="1"/>
        <v>1.8</v>
      </c>
      <c r="I16" s="15">
        <f t="shared" si="2"/>
        <v>4.0000000000000001E-3</v>
      </c>
      <c r="J16" s="15"/>
    </row>
    <row r="17" spans="1:10" x14ac:dyDescent="0.25">
      <c r="A17" s="1" t="s">
        <v>16</v>
      </c>
      <c r="B17" s="1" t="s">
        <v>26</v>
      </c>
      <c r="C17" s="10">
        <v>17240</v>
      </c>
      <c r="D17" s="10"/>
      <c r="E17" s="10"/>
      <c r="F17" s="10"/>
      <c r="G17" s="10">
        <f t="shared" si="0"/>
        <v>17240</v>
      </c>
      <c r="H17" s="16">
        <f t="shared" si="1"/>
        <v>40.47</v>
      </c>
      <c r="I17" s="15">
        <f t="shared" si="2"/>
        <v>8.5999999999999993E-2</v>
      </c>
      <c r="J17" s="15">
        <f>ROUND(G17/17150-1,2)</f>
        <v>0.01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228</v>
      </c>
      <c r="F18" s="10"/>
      <c r="G18" s="10">
        <f t="shared" si="0"/>
        <v>228</v>
      </c>
      <c r="H18" s="16">
        <f t="shared" si="1"/>
        <v>0.54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119</v>
      </c>
      <c r="F19" s="10"/>
      <c r="G19" s="10">
        <f t="shared" si="0"/>
        <v>119</v>
      </c>
      <c r="H19" s="16">
        <f t="shared" si="1"/>
        <v>0.28000000000000003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29</v>
      </c>
      <c r="C20" s="10"/>
      <c r="D20" s="10"/>
      <c r="E20" s="10">
        <v>442</v>
      </c>
      <c r="F20" s="10"/>
      <c r="G20" s="10">
        <f t="shared" si="0"/>
        <v>442</v>
      </c>
      <c r="H20" s="16">
        <f t="shared" si="1"/>
        <v>1.04</v>
      </c>
      <c r="I20" s="15">
        <f t="shared" si="2"/>
        <v>2E-3</v>
      </c>
      <c r="J20" s="15">
        <f>ROUND(G20/208.89-1,2)</f>
        <v>1.1200000000000001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109</v>
      </c>
      <c r="F21" s="10"/>
      <c r="G21" s="10">
        <f t="shared" si="0"/>
        <v>109</v>
      </c>
      <c r="H21" s="16">
        <f t="shared" si="1"/>
        <v>0.26</v>
      </c>
      <c r="I21" s="15">
        <f t="shared" si="2"/>
        <v>1E-3</v>
      </c>
      <c r="J21" s="15">
        <f>ROUND(G21/76.13-1,2)</f>
        <v>0.43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465</v>
      </c>
      <c r="F22" s="10"/>
      <c r="G22" s="10">
        <f t="shared" si="0"/>
        <v>465</v>
      </c>
      <c r="H22" s="16">
        <f t="shared" si="1"/>
        <v>1.0900000000000001</v>
      </c>
      <c r="I22" s="15">
        <f t="shared" si="2"/>
        <v>2E-3</v>
      </c>
      <c r="J22" s="15">
        <f>ROUND(G22/520-1,2)</f>
        <v>-0.11</v>
      </c>
    </row>
    <row r="23" spans="1:10" x14ac:dyDescent="0.25">
      <c r="A23" s="1" t="s">
        <v>16</v>
      </c>
      <c r="B23" s="1" t="s">
        <v>33</v>
      </c>
      <c r="C23" s="10"/>
      <c r="D23" s="10"/>
      <c r="E23" s="10">
        <v>53</v>
      </c>
      <c r="F23" s="10"/>
      <c r="G23" s="10">
        <f t="shared" si="0"/>
        <v>53</v>
      </c>
      <c r="H23" s="16">
        <f t="shared" si="1"/>
        <v>0.12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34</v>
      </c>
      <c r="C24" s="10"/>
      <c r="D24" s="10"/>
      <c r="E24" s="10">
        <v>62</v>
      </c>
      <c r="F24" s="10"/>
      <c r="G24" s="10">
        <f t="shared" si="0"/>
        <v>62</v>
      </c>
      <c r="H24" s="16">
        <f t="shared" si="1"/>
        <v>0.15</v>
      </c>
      <c r="I24" s="15">
        <f t="shared" si="2"/>
        <v>0</v>
      </c>
      <c r="J24" s="15"/>
    </row>
    <row r="25" spans="1:10" x14ac:dyDescent="0.25">
      <c r="A25" s="1" t="s">
        <v>16</v>
      </c>
      <c r="B25" s="1" t="s">
        <v>43</v>
      </c>
      <c r="C25" s="10"/>
      <c r="D25" s="10"/>
      <c r="E25" s="10">
        <v>564</v>
      </c>
      <c r="F25" s="10"/>
      <c r="G25" s="10">
        <f t="shared" si="0"/>
        <v>564</v>
      </c>
      <c r="H25" s="16">
        <f t="shared" si="1"/>
        <v>1.32</v>
      </c>
      <c r="I25" s="15">
        <f t="shared" si="2"/>
        <v>3.0000000000000001E-3</v>
      </c>
      <c r="J25" s="15"/>
    </row>
    <row r="26" spans="1:10" x14ac:dyDescent="0.25">
      <c r="A26" s="1" t="s">
        <v>16</v>
      </c>
      <c r="B26" s="1" t="s">
        <v>37</v>
      </c>
      <c r="C26" s="10"/>
      <c r="D26" s="10"/>
      <c r="E26" s="10">
        <v>676</v>
      </c>
      <c r="F26" s="10"/>
      <c r="G26" s="10">
        <f t="shared" si="0"/>
        <v>676</v>
      </c>
      <c r="H26" s="16">
        <f t="shared" si="1"/>
        <v>1.59</v>
      </c>
      <c r="I26" s="15">
        <f t="shared" si="2"/>
        <v>3.0000000000000001E-3</v>
      </c>
      <c r="J26" s="15">
        <f>ROUND(G26/162.22-1,2)</f>
        <v>3.17</v>
      </c>
    </row>
    <row r="27" spans="1:10" x14ac:dyDescent="0.25">
      <c r="A27" s="1" t="s">
        <v>16</v>
      </c>
      <c r="B27" s="1" t="s">
        <v>38</v>
      </c>
      <c r="C27" s="10"/>
      <c r="D27" s="10"/>
      <c r="E27" s="10">
        <v>14705</v>
      </c>
      <c r="F27" s="10"/>
      <c r="G27" s="10">
        <f t="shared" si="0"/>
        <v>14705</v>
      </c>
      <c r="H27" s="16">
        <f t="shared" si="1"/>
        <v>34.520000000000003</v>
      </c>
      <c r="I27" s="15">
        <f t="shared" si="2"/>
        <v>7.2999999999999995E-2</v>
      </c>
      <c r="J27" s="15">
        <f>ROUND(G27/6641.66-1,2)</f>
        <v>1.21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5380</v>
      </c>
      <c r="F28" s="10"/>
      <c r="G28" s="10">
        <f t="shared" si="0"/>
        <v>5380</v>
      </c>
      <c r="H28" s="16">
        <f t="shared" si="1"/>
        <v>12.63</v>
      </c>
      <c r="I28" s="15">
        <f t="shared" si="2"/>
        <v>2.7E-2</v>
      </c>
      <c r="J28" s="15">
        <f>ROUND(G28/2472.19-1,2)</f>
        <v>1.18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2464</v>
      </c>
      <c r="F29" s="10"/>
      <c r="G29" s="10">
        <f t="shared" si="0"/>
        <v>2464</v>
      </c>
      <c r="H29" s="16">
        <f t="shared" si="1"/>
        <v>5.78</v>
      </c>
      <c r="I29" s="15">
        <f t="shared" si="2"/>
        <v>1.2E-2</v>
      </c>
      <c r="J29" s="15">
        <f>ROUND(G29/1039.82-1,2)</f>
        <v>1.37</v>
      </c>
    </row>
    <row r="30" spans="1:10" x14ac:dyDescent="0.25">
      <c r="A30" s="1" t="s">
        <v>16</v>
      </c>
      <c r="B30" s="1" t="s">
        <v>36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ROUND(G30/541.9-1,2)</f>
        <v>-1</v>
      </c>
    </row>
    <row r="31" spans="1:10" x14ac:dyDescent="0.25">
      <c r="A31" s="1" t="s">
        <v>16</v>
      </c>
      <c r="B31" s="1" t="s">
        <v>35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ROUND(G31/188.33-1,2)</f>
        <v>-1</v>
      </c>
    </row>
    <row r="32" spans="1:10" x14ac:dyDescent="0.25">
      <c r="A32" s="1" t="s">
        <v>16</v>
      </c>
      <c r="B32" s="1" t="s">
        <v>42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31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39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44</v>
      </c>
      <c r="B35" s="1" t="s">
        <v>45</v>
      </c>
      <c r="C35" s="10">
        <v>46470</v>
      </c>
      <c r="D35" s="10"/>
      <c r="E35" s="10"/>
      <c r="F35" s="10"/>
      <c r="G35" s="10">
        <f t="shared" si="0"/>
        <v>46470</v>
      </c>
      <c r="H35" s="16">
        <f t="shared" si="1"/>
        <v>109.08</v>
      </c>
      <c r="I35" s="15">
        <f t="shared" si="2"/>
        <v>0.23200000000000001</v>
      </c>
      <c r="J35" s="15">
        <f>ROUND(G35/59250-1,2)</f>
        <v>-0.22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8090</v>
      </c>
      <c r="F36" s="10"/>
      <c r="G36" s="10">
        <f t="shared" si="0"/>
        <v>8090</v>
      </c>
      <c r="H36" s="16">
        <f t="shared" si="1"/>
        <v>18.989999999999998</v>
      </c>
      <c r="I36" s="15">
        <f t="shared" si="2"/>
        <v>0.04</v>
      </c>
      <c r="J36" s="15">
        <f>ROUND(G36/4301.25-1,2)</f>
        <v>0.88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48</v>
      </c>
      <c r="B38" s="1" t="s">
        <v>51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27" t="s">
        <v>12</v>
      </c>
      <c r="B39" s="27"/>
      <c r="C39" s="11">
        <f t="shared" ref="C39:H39" si="3">SUM(C8:C38)</f>
        <v>136375</v>
      </c>
      <c r="D39" s="11">
        <f t="shared" si="3"/>
        <v>0</v>
      </c>
      <c r="E39" s="11">
        <f t="shared" si="3"/>
        <v>64042</v>
      </c>
      <c r="F39" s="11">
        <f t="shared" si="3"/>
        <v>0</v>
      </c>
      <c r="G39" s="11">
        <f t="shared" si="3"/>
        <v>200417</v>
      </c>
      <c r="H39" s="14">
        <f t="shared" si="3"/>
        <v>470.45999999999987</v>
      </c>
      <c r="I39" s="17"/>
      <c r="J39" s="17"/>
    </row>
    <row r="40" spans="1:10" x14ac:dyDescent="0.25">
      <c r="A40" s="27" t="s">
        <v>14</v>
      </c>
      <c r="B40" s="27"/>
      <c r="C40" s="12">
        <f>ROUND(C39/G39,2)</f>
        <v>0.68</v>
      </c>
      <c r="D40" s="12">
        <f>ROUND(D39/G39,2)</f>
        <v>0</v>
      </c>
      <c r="E40" s="12">
        <f>ROUND(E39/G39,2)</f>
        <v>0.32</v>
      </c>
      <c r="F40" s="12">
        <f>ROUND(F39/G39,2)</f>
        <v>0</v>
      </c>
      <c r="G40" s="13"/>
      <c r="H40" s="13"/>
      <c r="I40" s="17"/>
      <c r="J40" s="17"/>
    </row>
    <row r="41" spans="1:10" x14ac:dyDescent="0.25">
      <c r="A41" s="2" t="s">
        <v>52</v>
      </c>
      <c r="B41" s="2"/>
      <c r="C41" s="13"/>
      <c r="D41" s="13"/>
      <c r="E41" s="13"/>
      <c r="F41" s="13"/>
      <c r="G41" s="13"/>
      <c r="H41" s="13"/>
      <c r="I41" s="17"/>
      <c r="J41" s="17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A45" s="27" t="s">
        <v>53</v>
      </c>
      <c r="B45" s="27"/>
      <c r="C45" s="11" t="s">
        <v>8</v>
      </c>
      <c r="D45" s="11" t="s">
        <v>9</v>
      </c>
      <c r="E45" s="11" t="s">
        <v>10</v>
      </c>
      <c r="F45" s="11" t="s">
        <v>11</v>
      </c>
      <c r="G45" s="11" t="s">
        <v>12</v>
      </c>
      <c r="H45" s="14" t="s">
        <v>13</v>
      </c>
      <c r="I45" s="17"/>
      <c r="J45" s="17"/>
    </row>
    <row r="46" spans="1:10" x14ac:dyDescent="0.25">
      <c r="A46" s="22" t="s">
        <v>54</v>
      </c>
      <c r="B46" s="22"/>
      <c r="C46" s="10">
        <v>89905</v>
      </c>
      <c r="D46" s="10">
        <v>0</v>
      </c>
      <c r="E46" s="10">
        <v>55952</v>
      </c>
      <c r="F46" s="10">
        <v>0</v>
      </c>
      <c r="G46" s="10">
        <f>SUM(C46:F46)</f>
        <v>145857</v>
      </c>
      <c r="H46" s="16">
        <f>ROUND(G46/426,2)</f>
        <v>342.39</v>
      </c>
      <c r="I46" s="9"/>
      <c r="J46" s="9"/>
    </row>
    <row r="47" spans="1:10" x14ac:dyDescent="0.25">
      <c r="A47" s="22" t="s">
        <v>55</v>
      </c>
      <c r="B47" s="22"/>
      <c r="C47" s="10">
        <v>46470</v>
      </c>
      <c r="D47" s="10">
        <v>0</v>
      </c>
      <c r="E47" s="10">
        <v>8090</v>
      </c>
      <c r="F47" s="10">
        <v>0</v>
      </c>
      <c r="G47" s="10">
        <f>SUM(C47:F47)</f>
        <v>54560</v>
      </c>
      <c r="H47" s="16">
        <f>ROUND(G47/426,2)</f>
        <v>128.08000000000001</v>
      </c>
      <c r="I47" s="9"/>
      <c r="J47" s="9"/>
    </row>
    <row r="48" spans="1:10" x14ac:dyDescent="0.25">
      <c r="A48" s="22" t="s">
        <v>56</v>
      </c>
      <c r="B48" s="22"/>
      <c r="C48" s="10">
        <v>0</v>
      </c>
      <c r="D48" s="10">
        <v>0</v>
      </c>
      <c r="E48" s="10">
        <v>0</v>
      </c>
      <c r="F48" s="10">
        <v>0</v>
      </c>
      <c r="G48" s="10">
        <f>SUM(C48:F48)</f>
        <v>0</v>
      </c>
      <c r="H48" s="16">
        <f>ROUND(G48/426,2)</f>
        <v>0</v>
      </c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A53" s="27" t="s">
        <v>57</v>
      </c>
      <c r="B53" s="27"/>
      <c r="C53" s="14" t="s">
        <v>2</v>
      </c>
      <c r="D53" s="14">
        <v>2023</v>
      </c>
      <c r="E53" s="14" t="s">
        <v>59</v>
      </c>
      <c r="F53" s="13"/>
      <c r="G53" s="14" t="s">
        <v>60</v>
      </c>
      <c r="H53" s="14" t="s">
        <v>2</v>
      </c>
      <c r="I53" s="12" t="s">
        <v>61</v>
      </c>
      <c r="J53" s="12" t="s">
        <v>59</v>
      </c>
    </row>
    <row r="54" spans="1:10" x14ac:dyDescent="0.25">
      <c r="A54" s="22" t="s">
        <v>58</v>
      </c>
      <c r="B54" s="22"/>
      <c r="C54" s="15">
        <f>ROUND(0.7347, 4)</f>
        <v>0.73470000000000002</v>
      </c>
      <c r="D54" s="15">
        <f>ROUND(0.6353, 4)</f>
        <v>0.63529999999999998</v>
      </c>
      <c r="E54" s="15">
        <f>ROUND(0.777, 4)</f>
        <v>0.77700000000000002</v>
      </c>
      <c r="F54" s="8"/>
      <c r="G54" s="14" t="s">
        <v>62</v>
      </c>
      <c r="H54" s="28" t="s">
        <v>63</v>
      </c>
      <c r="I54" s="25" t="s">
        <v>64</v>
      </c>
      <c r="J54" s="25" t="s">
        <v>65</v>
      </c>
    </row>
    <row r="55" spans="1:10" x14ac:dyDescent="0.25">
      <c r="A55" s="22" t="s">
        <v>66</v>
      </c>
      <c r="B55" s="22"/>
      <c r="C55" s="15">
        <f>ROUND(0.6986, 4)</f>
        <v>0.6986</v>
      </c>
      <c r="D55" s="15">
        <f>ROUND(0.5952, 4)</f>
        <v>0.59519999999999995</v>
      </c>
      <c r="E55" s="15">
        <f>ROUND(0.7608, 4)</f>
        <v>0.76080000000000003</v>
      </c>
      <c r="F55" s="8"/>
      <c r="G55" s="14" t="s">
        <v>67</v>
      </c>
      <c r="H55" s="29"/>
      <c r="I55" s="26"/>
      <c r="J55" s="26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68</v>
      </c>
      <c r="B59" s="27"/>
      <c r="C59" s="14" t="s">
        <v>2</v>
      </c>
      <c r="D59" s="14" t="s">
        <v>137</v>
      </c>
      <c r="E59" s="14" t="s">
        <v>70</v>
      </c>
      <c r="F59" s="14" t="s">
        <v>71</v>
      </c>
      <c r="G59" s="14" t="s">
        <v>72</v>
      </c>
      <c r="H59" s="13"/>
      <c r="I59" s="17"/>
      <c r="J59" s="17"/>
    </row>
    <row r="60" spans="1:10" x14ac:dyDescent="0.25">
      <c r="A60" s="22" t="s">
        <v>73</v>
      </c>
      <c r="B60" s="22"/>
      <c r="C60" s="16">
        <v>109.08</v>
      </c>
      <c r="D60" s="16">
        <v>121.74</v>
      </c>
      <c r="E60" s="16">
        <v>92.53</v>
      </c>
      <c r="F60" s="16">
        <v>56.06</v>
      </c>
      <c r="G60" s="16">
        <f>12/11*C60</f>
        <v>118.99636363636363</v>
      </c>
      <c r="H60" s="8"/>
      <c r="I60" s="9"/>
      <c r="J60" s="9"/>
    </row>
    <row r="61" spans="1:10" x14ac:dyDescent="0.25">
      <c r="A61" s="22" t="s">
        <v>74</v>
      </c>
      <c r="B61" s="22"/>
      <c r="C61" s="16">
        <v>40.47</v>
      </c>
      <c r="D61" s="16">
        <v>51.71</v>
      </c>
      <c r="E61" s="16">
        <v>61.98</v>
      </c>
      <c r="F61" s="16">
        <v>64.09</v>
      </c>
      <c r="G61" s="16">
        <f>12/11*C61</f>
        <v>44.149090909090901</v>
      </c>
      <c r="H61" s="8"/>
      <c r="I61" s="9"/>
      <c r="J61" s="9"/>
    </row>
    <row r="62" spans="1:10" x14ac:dyDescent="0.25">
      <c r="A62" s="22" t="s">
        <v>75</v>
      </c>
      <c r="B62" s="22"/>
      <c r="C62" s="16">
        <v>342.39</v>
      </c>
      <c r="D62" s="16">
        <v>321.55</v>
      </c>
      <c r="E62" s="16">
        <v>291.51</v>
      </c>
      <c r="F62" s="16">
        <v>284.45</v>
      </c>
      <c r="G62" s="16">
        <f>12/11*C62</f>
        <v>373.51636363636362</v>
      </c>
      <c r="H62" s="8"/>
      <c r="I62" s="9"/>
      <c r="J62" s="9"/>
    </row>
    <row r="63" spans="1:10" x14ac:dyDescent="0.25">
      <c r="A63" s="22" t="s">
        <v>76</v>
      </c>
      <c r="B63" s="22"/>
      <c r="C63" s="16">
        <v>128.08000000000001</v>
      </c>
      <c r="D63" s="16">
        <v>156.21</v>
      </c>
      <c r="E63" s="16">
        <v>116.46</v>
      </c>
      <c r="F63" s="16">
        <v>79.959999999999994</v>
      </c>
      <c r="G63" s="16">
        <f>12/11*C63</f>
        <v>139.72363636363636</v>
      </c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3" t="s">
        <v>60</v>
      </c>
      <c r="B66" s="24"/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77</v>
      </c>
      <c r="B67" s="1" t="s">
        <v>138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70</v>
      </c>
      <c r="B68" s="1" t="s">
        <v>79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71</v>
      </c>
      <c r="B69" s="1" t="s">
        <v>80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72</v>
      </c>
      <c r="B70" s="1" t="s">
        <v>81</v>
      </c>
      <c r="C70" s="8"/>
      <c r="D70" s="8"/>
      <c r="E70" s="8"/>
      <c r="F70" s="8"/>
      <c r="G70" s="8"/>
      <c r="H70" s="8"/>
      <c r="I70" s="9"/>
      <c r="J70" s="9"/>
    </row>
  </sheetData>
  <mergeCells count="19">
    <mergeCell ref="C7:G7"/>
    <mergeCell ref="A39:B39"/>
    <mergeCell ref="A40:B40"/>
    <mergeCell ref="A45:B45"/>
    <mergeCell ref="A46:B46"/>
    <mergeCell ref="J54:J55"/>
    <mergeCell ref="A55:B55"/>
    <mergeCell ref="A59:B59"/>
    <mergeCell ref="A60:B60"/>
    <mergeCell ref="A47:B47"/>
    <mergeCell ref="A48:B48"/>
    <mergeCell ref="A53:B53"/>
    <mergeCell ref="A54:B54"/>
    <mergeCell ref="H54:H55"/>
    <mergeCell ref="A61:B61"/>
    <mergeCell ref="A62:B62"/>
    <mergeCell ref="A63:B63"/>
    <mergeCell ref="A66:B66"/>
    <mergeCell ref="I54:I5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2.28515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139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3143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42</v>
      </c>
      <c r="F9" s="10"/>
      <c r="G9" s="10">
        <f t="shared" ref="G9:G38" si="0">SUM(C9:F9)</f>
        <v>42</v>
      </c>
      <c r="H9" s="16">
        <f t="shared" ref="H9:H38" si="1">ROUND(G9/3143,2)</f>
        <v>0.01</v>
      </c>
      <c r="I9" s="15">
        <f t="shared" ref="I9:I38" si="2">ROUND(G9/$G$39,3)</f>
        <v>0</v>
      </c>
      <c r="J9" s="15">
        <f>ROUND(G9/80-1,2)</f>
        <v>-0.48</v>
      </c>
    </row>
    <row r="10" spans="1:10" x14ac:dyDescent="0.25">
      <c r="A10" s="1" t="s">
        <v>16</v>
      </c>
      <c r="B10" s="1" t="s">
        <v>19</v>
      </c>
      <c r="C10" s="10">
        <v>92450</v>
      </c>
      <c r="D10" s="10"/>
      <c r="E10" s="10"/>
      <c r="F10" s="10">
        <v>420</v>
      </c>
      <c r="G10" s="10">
        <f t="shared" si="0"/>
        <v>92870</v>
      </c>
      <c r="H10" s="16">
        <f t="shared" si="1"/>
        <v>29.55</v>
      </c>
      <c r="I10" s="15">
        <f t="shared" si="2"/>
        <v>0.10100000000000001</v>
      </c>
      <c r="J10" s="15">
        <f>ROUND(G10/93540-1,2)</f>
        <v>-0.01</v>
      </c>
    </row>
    <row r="11" spans="1:10" x14ac:dyDescent="0.25">
      <c r="A11" s="1" t="s">
        <v>16</v>
      </c>
      <c r="B11" s="1" t="s">
        <v>20</v>
      </c>
      <c r="C11" s="10">
        <v>116410</v>
      </c>
      <c r="D11" s="10"/>
      <c r="E11" s="10"/>
      <c r="F11" s="10"/>
      <c r="G11" s="10">
        <f t="shared" si="0"/>
        <v>116410</v>
      </c>
      <c r="H11" s="16">
        <f t="shared" si="1"/>
        <v>37.04</v>
      </c>
      <c r="I11" s="15">
        <f t="shared" si="2"/>
        <v>0.126</v>
      </c>
      <c r="J11" s="15">
        <f>ROUND(G11/135120-1,2)</f>
        <v>-0.14000000000000001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118</v>
      </c>
      <c r="F12" s="10"/>
      <c r="G12" s="10">
        <f t="shared" si="0"/>
        <v>118</v>
      </c>
      <c r="H12" s="16">
        <f t="shared" si="1"/>
        <v>0.04</v>
      </c>
      <c r="I12" s="15">
        <f t="shared" si="2"/>
        <v>0</v>
      </c>
      <c r="J12" s="15">
        <f>ROUND(G12/81-1,2)</f>
        <v>0.46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273</v>
      </c>
      <c r="F13" s="10"/>
      <c r="G13" s="10">
        <f t="shared" si="0"/>
        <v>273</v>
      </c>
      <c r="H13" s="16">
        <f t="shared" si="1"/>
        <v>0.09</v>
      </c>
      <c r="I13" s="15">
        <f t="shared" si="2"/>
        <v>0</v>
      </c>
      <c r="J13" s="15">
        <f>ROUND(G13/204-1,2)</f>
        <v>0.34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53580</v>
      </c>
      <c r="F14" s="10"/>
      <c r="G14" s="10">
        <f t="shared" si="0"/>
        <v>53580</v>
      </c>
      <c r="H14" s="16">
        <f t="shared" si="1"/>
        <v>17.05</v>
      </c>
      <c r="I14" s="15">
        <f t="shared" si="2"/>
        <v>5.8000000000000003E-2</v>
      </c>
      <c r="J14" s="15">
        <f>ROUND(G14/20300-1,2)</f>
        <v>1.64</v>
      </c>
    </row>
    <row r="15" spans="1:10" x14ac:dyDescent="0.25">
      <c r="A15" s="1" t="s">
        <v>16</v>
      </c>
      <c r="B15" s="1" t="s">
        <v>24</v>
      </c>
      <c r="C15" s="10">
        <v>133540</v>
      </c>
      <c r="D15" s="10"/>
      <c r="E15" s="10"/>
      <c r="F15" s="10">
        <v>300</v>
      </c>
      <c r="G15" s="10">
        <f t="shared" si="0"/>
        <v>133840</v>
      </c>
      <c r="H15" s="16">
        <f t="shared" si="1"/>
        <v>42.58</v>
      </c>
      <c r="I15" s="15">
        <f t="shared" si="2"/>
        <v>0.14499999999999999</v>
      </c>
      <c r="J15" s="15">
        <f>ROUND(G15/129100-1,2)</f>
        <v>0.04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2955</v>
      </c>
      <c r="F16" s="10"/>
      <c r="G16" s="10">
        <f t="shared" si="0"/>
        <v>2955</v>
      </c>
      <c r="H16" s="16">
        <f t="shared" si="1"/>
        <v>0.94</v>
      </c>
      <c r="I16" s="15">
        <f t="shared" si="2"/>
        <v>3.0000000000000001E-3</v>
      </c>
      <c r="J16" s="15">
        <f>ROUND(G16/3880-1,2)</f>
        <v>-0.24</v>
      </c>
    </row>
    <row r="17" spans="1:10" x14ac:dyDescent="0.25">
      <c r="A17" s="1" t="s">
        <v>16</v>
      </c>
      <c r="B17" s="1" t="s">
        <v>26</v>
      </c>
      <c r="C17" s="10">
        <v>171110</v>
      </c>
      <c r="D17" s="10"/>
      <c r="E17" s="10"/>
      <c r="F17" s="10">
        <v>1090</v>
      </c>
      <c r="G17" s="10">
        <f t="shared" si="0"/>
        <v>172200</v>
      </c>
      <c r="H17" s="16">
        <f t="shared" si="1"/>
        <v>54.79</v>
      </c>
      <c r="I17" s="15">
        <f t="shared" si="2"/>
        <v>0.186</v>
      </c>
      <c r="J17" s="15">
        <f>ROUND(G17/172020-1,2)</f>
        <v>0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539</v>
      </c>
      <c r="F18" s="10"/>
      <c r="G18" s="10">
        <f t="shared" si="0"/>
        <v>539</v>
      </c>
      <c r="H18" s="16">
        <f t="shared" si="1"/>
        <v>0.17</v>
      </c>
      <c r="I18" s="15">
        <f t="shared" si="2"/>
        <v>1E-3</v>
      </c>
      <c r="J18" s="15">
        <f>ROUND(G18/152-1,2)</f>
        <v>2.5499999999999998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329</v>
      </c>
      <c r="F19" s="10"/>
      <c r="G19" s="10">
        <f t="shared" si="0"/>
        <v>329</v>
      </c>
      <c r="H19" s="16">
        <f t="shared" si="1"/>
        <v>0.1</v>
      </c>
      <c r="I19" s="15">
        <f t="shared" si="2"/>
        <v>0</v>
      </c>
      <c r="J19" s="15">
        <f>ROUND(G19/100-1,2)</f>
        <v>2.29</v>
      </c>
    </row>
    <row r="20" spans="1:10" x14ac:dyDescent="0.25">
      <c r="A20" s="1" t="s">
        <v>16</v>
      </c>
      <c r="B20" s="1" t="s">
        <v>29</v>
      </c>
      <c r="C20" s="10"/>
      <c r="D20" s="10"/>
      <c r="E20" s="10">
        <v>1200</v>
      </c>
      <c r="F20" s="10"/>
      <c r="G20" s="10">
        <f t="shared" si="0"/>
        <v>1200</v>
      </c>
      <c r="H20" s="16">
        <f t="shared" si="1"/>
        <v>0.38</v>
      </c>
      <c r="I20" s="15">
        <f t="shared" si="2"/>
        <v>1E-3</v>
      </c>
      <c r="J20" s="15">
        <f>ROUND(G20/5648-1,2)</f>
        <v>-0.79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610</v>
      </c>
      <c r="F21" s="10"/>
      <c r="G21" s="10">
        <f t="shared" si="0"/>
        <v>610</v>
      </c>
      <c r="H21" s="16">
        <f t="shared" si="1"/>
        <v>0.19</v>
      </c>
      <c r="I21" s="15">
        <f t="shared" si="2"/>
        <v>1E-3</v>
      </c>
      <c r="J21" s="15">
        <f>ROUND(G21/640-1,2)</f>
        <v>-0.05</v>
      </c>
    </row>
    <row r="22" spans="1:10" x14ac:dyDescent="0.25">
      <c r="A22" s="1" t="s">
        <v>16</v>
      </c>
      <c r="B22" s="1" t="s">
        <v>31</v>
      </c>
      <c r="C22" s="10"/>
      <c r="D22" s="10"/>
      <c r="E22" s="10">
        <v>600</v>
      </c>
      <c r="F22" s="10"/>
      <c r="G22" s="10">
        <f t="shared" si="0"/>
        <v>600</v>
      </c>
      <c r="H22" s="16">
        <f t="shared" si="1"/>
        <v>0.19</v>
      </c>
      <c r="I22" s="15">
        <f t="shared" si="2"/>
        <v>1E-3</v>
      </c>
      <c r="J22" s="15">
        <f>ROUND(G22/350-1,2)</f>
        <v>0.71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890</v>
      </c>
      <c r="F23" s="10"/>
      <c r="G23" s="10">
        <f t="shared" si="0"/>
        <v>890</v>
      </c>
      <c r="H23" s="16">
        <f t="shared" si="1"/>
        <v>0.28000000000000003</v>
      </c>
      <c r="I23" s="15">
        <f t="shared" si="2"/>
        <v>1E-3</v>
      </c>
      <c r="J23" s="15">
        <f>ROUND(G23/665-1,2)</f>
        <v>0.34</v>
      </c>
    </row>
    <row r="24" spans="1:10" x14ac:dyDescent="0.25">
      <c r="A24" s="1" t="s">
        <v>16</v>
      </c>
      <c r="B24" s="1" t="s">
        <v>33</v>
      </c>
      <c r="C24" s="10"/>
      <c r="D24" s="10">
        <v>326</v>
      </c>
      <c r="E24" s="10">
        <v>87</v>
      </c>
      <c r="F24" s="10"/>
      <c r="G24" s="10">
        <f t="shared" si="0"/>
        <v>413</v>
      </c>
      <c r="H24" s="16">
        <f t="shared" si="1"/>
        <v>0.13</v>
      </c>
      <c r="I24" s="15">
        <f t="shared" si="2"/>
        <v>0</v>
      </c>
      <c r="J24" s="15">
        <f>ROUND(G24/316-1,2)</f>
        <v>0.31</v>
      </c>
    </row>
    <row r="25" spans="1:10" x14ac:dyDescent="0.25">
      <c r="A25" s="1" t="s">
        <v>16</v>
      </c>
      <c r="B25" s="1" t="s">
        <v>34</v>
      </c>
      <c r="C25" s="10"/>
      <c r="D25" s="10"/>
      <c r="E25" s="10">
        <v>710</v>
      </c>
      <c r="F25" s="10"/>
      <c r="G25" s="10">
        <f t="shared" si="0"/>
        <v>710</v>
      </c>
      <c r="H25" s="16">
        <f t="shared" si="1"/>
        <v>0.23</v>
      </c>
      <c r="I25" s="15">
        <f t="shared" si="2"/>
        <v>1E-3</v>
      </c>
      <c r="J25" s="15">
        <f>ROUND(G25/570-1,2)</f>
        <v>0.25</v>
      </c>
    </row>
    <row r="26" spans="1:10" x14ac:dyDescent="0.25">
      <c r="A26" s="1" t="s">
        <v>16</v>
      </c>
      <c r="B26" s="1" t="s">
        <v>35</v>
      </c>
      <c r="C26" s="10"/>
      <c r="D26" s="10"/>
      <c r="E26" s="10">
        <v>580</v>
      </c>
      <c r="F26" s="10"/>
      <c r="G26" s="10">
        <f t="shared" si="0"/>
        <v>580</v>
      </c>
      <c r="H26" s="16">
        <f t="shared" si="1"/>
        <v>0.18</v>
      </c>
      <c r="I26" s="15">
        <f t="shared" si="2"/>
        <v>1E-3</v>
      </c>
      <c r="J26" s="15"/>
    </row>
    <row r="27" spans="1:10" x14ac:dyDescent="0.25">
      <c r="A27" s="1" t="s">
        <v>16</v>
      </c>
      <c r="B27" s="1" t="s">
        <v>36</v>
      </c>
      <c r="C27" s="10"/>
      <c r="D27" s="10"/>
      <c r="E27" s="10">
        <v>752</v>
      </c>
      <c r="F27" s="10"/>
      <c r="G27" s="10">
        <f t="shared" si="0"/>
        <v>752</v>
      </c>
      <c r="H27" s="16">
        <f t="shared" si="1"/>
        <v>0.24</v>
      </c>
      <c r="I27" s="15">
        <f t="shared" si="2"/>
        <v>1E-3</v>
      </c>
      <c r="J27" s="15">
        <f>ROUND(G27/4167-1,2)</f>
        <v>-0.82</v>
      </c>
    </row>
    <row r="28" spans="1:10" x14ac:dyDescent="0.25">
      <c r="A28" s="1" t="s">
        <v>16</v>
      </c>
      <c r="B28" s="1" t="s">
        <v>37</v>
      </c>
      <c r="C28" s="10"/>
      <c r="D28" s="10"/>
      <c r="E28" s="10">
        <v>1176</v>
      </c>
      <c r="F28" s="10"/>
      <c r="G28" s="10">
        <f t="shared" si="0"/>
        <v>1176</v>
      </c>
      <c r="H28" s="16">
        <f t="shared" si="1"/>
        <v>0.37</v>
      </c>
      <c r="I28" s="15">
        <f t="shared" si="2"/>
        <v>1E-3</v>
      </c>
      <c r="J28" s="15">
        <f>ROUND(G28/3743-1,2)</f>
        <v>-0.69</v>
      </c>
    </row>
    <row r="29" spans="1:10" x14ac:dyDescent="0.25">
      <c r="A29" s="1" t="s">
        <v>16</v>
      </c>
      <c r="B29" s="1" t="s">
        <v>43</v>
      </c>
      <c r="C29" s="10"/>
      <c r="D29" s="10"/>
      <c r="E29" s="10">
        <v>3827</v>
      </c>
      <c r="F29" s="10"/>
      <c r="G29" s="10">
        <f t="shared" si="0"/>
        <v>3827</v>
      </c>
      <c r="H29" s="16">
        <f t="shared" si="1"/>
        <v>1.22</v>
      </c>
      <c r="I29" s="15">
        <f t="shared" si="2"/>
        <v>4.0000000000000001E-3</v>
      </c>
      <c r="J29" s="15">
        <f>ROUND(G29/6564-1,2)</f>
        <v>-0.42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53700</v>
      </c>
      <c r="F30" s="10"/>
      <c r="G30" s="10">
        <f t="shared" si="0"/>
        <v>53700</v>
      </c>
      <c r="H30" s="16">
        <f t="shared" si="1"/>
        <v>17.09</v>
      </c>
      <c r="I30" s="15">
        <f t="shared" si="2"/>
        <v>5.8000000000000003E-2</v>
      </c>
      <c r="J30" s="15">
        <f>ROUND(G30/38700-1,2)</f>
        <v>0.39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3790</v>
      </c>
      <c r="F31" s="10"/>
      <c r="G31" s="10">
        <f t="shared" si="0"/>
        <v>3790</v>
      </c>
      <c r="H31" s="16">
        <f t="shared" si="1"/>
        <v>1.21</v>
      </c>
      <c r="I31" s="15">
        <f t="shared" si="2"/>
        <v>4.0000000000000001E-3</v>
      </c>
      <c r="J31" s="15">
        <f>ROUND(G31/3475-1,2)</f>
        <v>0.09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15310</v>
      </c>
      <c r="F32" s="10"/>
      <c r="G32" s="10">
        <f t="shared" si="0"/>
        <v>15310</v>
      </c>
      <c r="H32" s="16">
        <f t="shared" si="1"/>
        <v>4.87</v>
      </c>
      <c r="I32" s="15">
        <f t="shared" si="2"/>
        <v>1.7000000000000001E-2</v>
      </c>
      <c r="J32" s="15">
        <f>ROUND(G32/13240-1,2)</f>
        <v>0.16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63760</v>
      </c>
      <c r="F33" s="10">
        <v>1060</v>
      </c>
      <c r="G33" s="10">
        <f t="shared" si="0"/>
        <v>64820</v>
      </c>
      <c r="H33" s="16">
        <f t="shared" si="1"/>
        <v>20.62</v>
      </c>
      <c r="I33" s="15">
        <f t="shared" si="2"/>
        <v>7.0000000000000007E-2</v>
      </c>
      <c r="J33" s="15">
        <f>ROUND(G33/44080-1,2)</f>
        <v>0.47</v>
      </c>
    </row>
    <row r="34" spans="1:10" x14ac:dyDescent="0.25">
      <c r="A34" s="1" t="s">
        <v>16</v>
      </c>
      <c r="B34" s="1" t="s">
        <v>42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ROUND(G34/234-1,2)</f>
        <v>-1</v>
      </c>
    </row>
    <row r="35" spans="1:10" x14ac:dyDescent="0.25">
      <c r="A35" s="1" t="s">
        <v>44</v>
      </c>
      <c r="B35" s="1" t="s">
        <v>45</v>
      </c>
      <c r="C35" s="10">
        <v>138030</v>
      </c>
      <c r="D35" s="10"/>
      <c r="E35" s="10"/>
      <c r="F35" s="10"/>
      <c r="G35" s="10">
        <f t="shared" si="0"/>
        <v>138030</v>
      </c>
      <c r="H35" s="16">
        <f t="shared" si="1"/>
        <v>43.92</v>
      </c>
      <c r="I35" s="15">
        <f t="shared" si="2"/>
        <v>0.14899999999999999</v>
      </c>
      <c r="J35" s="15">
        <f>ROUND(G35/126010-1,2)</f>
        <v>0.1</v>
      </c>
    </row>
    <row r="36" spans="1:10" x14ac:dyDescent="0.25">
      <c r="A36" s="1" t="s">
        <v>44</v>
      </c>
      <c r="B36" s="1" t="s">
        <v>47</v>
      </c>
      <c r="C36" s="10"/>
      <c r="D36" s="10"/>
      <c r="E36" s="10"/>
      <c r="F36" s="10">
        <v>21260</v>
      </c>
      <c r="G36" s="10">
        <f t="shared" si="0"/>
        <v>21260</v>
      </c>
      <c r="H36" s="16">
        <f t="shared" si="1"/>
        <v>6.76</v>
      </c>
      <c r="I36" s="15">
        <f t="shared" si="2"/>
        <v>2.3E-2</v>
      </c>
      <c r="J36" s="15">
        <f>ROUND(G36/23940-1,2)</f>
        <v>-0.11</v>
      </c>
    </row>
    <row r="37" spans="1:10" x14ac:dyDescent="0.25">
      <c r="A37" s="1" t="s">
        <v>44</v>
      </c>
      <c r="B37" s="1" t="s">
        <v>46</v>
      </c>
      <c r="C37" s="10"/>
      <c r="D37" s="10"/>
      <c r="E37" s="10">
        <v>42920</v>
      </c>
      <c r="F37" s="10"/>
      <c r="G37" s="10">
        <f t="shared" si="0"/>
        <v>42920</v>
      </c>
      <c r="H37" s="16">
        <f t="shared" si="1"/>
        <v>13.66</v>
      </c>
      <c r="I37" s="15">
        <f t="shared" si="2"/>
        <v>4.5999999999999999E-2</v>
      </c>
      <c r="J37" s="15">
        <f>ROUND(G37/33490-1,2)</f>
        <v>0.28000000000000003</v>
      </c>
    </row>
    <row r="38" spans="1:10" x14ac:dyDescent="0.25">
      <c r="A38" s="1" t="s">
        <v>48</v>
      </c>
      <c r="B38" s="1" t="s">
        <v>51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ROUND(G38/10-1,2)</f>
        <v>-1</v>
      </c>
    </row>
    <row r="39" spans="1:10" x14ac:dyDescent="0.25">
      <c r="A39" s="27" t="s">
        <v>12</v>
      </c>
      <c r="B39" s="27"/>
      <c r="C39" s="11">
        <f t="shared" ref="C39:H39" si="3">SUM(C8:C38)</f>
        <v>651540</v>
      </c>
      <c r="D39" s="11">
        <f t="shared" si="3"/>
        <v>326</v>
      </c>
      <c r="E39" s="11">
        <f t="shared" si="3"/>
        <v>247748</v>
      </c>
      <c r="F39" s="11">
        <f t="shared" si="3"/>
        <v>24130</v>
      </c>
      <c r="G39" s="11">
        <f t="shared" si="3"/>
        <v>923744</v>
      </c>
      <c r="H39" s="14">
        <f t="shared" si="3"/>
        <v>293.90000000000003</v>
      </c>
      <c r="I39" s="17"/>
      <c r="J39" s="17"/>
    </row>
    <row r="40" spans="1:10" x14ac:dyDescent="0.25">
      <c r="A40" s="27" t="s">
        <v>14</v>
      </c>
      <c r="B40" s="27"/>
      <c r="C40" s="12">
        <f>ROUND(C39/G39,2)</f>
        <v>0.71</v>
      </c>
      <c r="D40" s="12">
        <f>ROUND(D39/G39,2)</f>
        <v>0</v>
      </c>
      <c r="E40" s="12">
        <f>ROUND(E39/G39,2)</f>
        <v>0.27</v>
      </c>
      <c r="F40" s="12">
        <f>ROUND(F39/G39,2)</f>
        <v>0.03</v>
      </c>
      <c r="G40" s="13"/>
      <c r="H40" s="13"/>
      <c r="I40" s="17"/>
      <c r="J40" s="17"/>
    </row>
    <row r="41" spans="1:10" x14ac:dyDescent="0.25">
      <c r="A41" s="2" t="s">
        <v>52</v>
      </c>
      <c r="B41" s="2"/>
      <c r="C41" s="13"/>
      <c r="D41" s="13"/>
      <c r="E41" s="13"/>
      <c r="F41" s="13"/>
      <c r="G41" s="13"/>
      <c r="H41" s="13"/>
      <c r="I41" s="17"/>
      <c r="J41" s="17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A45" s="27" t="s">
        <v>53</v>
      </c>
      <c r="B45" s="27"/>
      <c r="C45" s="11" t="s">
        <v>8</v>
      </c>
      <c r="D45" s="11" t="s">
        <v>9</v>
      </c>
      <c r="E45" s="11" t="s">
        <v>10</v>
      </c>
      <c r="F45" s="11" t="s">
        <v>11</v>
      </c>
      <c r="G45" s="11" t="s">
        <v>12</v>
      </c>
      <c r="H45" s="14" t="s">
        <v>13</v>
      </c>
      <c r="I45" s="17"/>
      <c r="J45" s="17"/>
    </row>
    <row r="46" spans="1:10" x14ac:dyDescent="0.25">
      <c r="A46" s="22" t="s">
        <v>54</v>
      </c>
      <c r="B46" s="22"/>
      <c r="C46" s="10">
        <v>513510</v>
      </c>
      <c r="D46" s="10">
        <v>326</v>
      </c>
      <c r="E46" s="10">
        <v>204828</v>
      </c>
      <c r="F46" s="10">
        <v>2870</v>
      </c>
      <c r="G46" s="10">
        <f>SUM(C46:F46)</f>
        <v>721534</v>
      </c>
      <c r="H46" s="16">
        <f>ROUND(G46/3143,2)</f>
        <v>229.57</v>
      </c>
      <c r="I46" s="9"/>
      <c r="J46" s="9"/>
    </row>
    <row r="47" spans="1:10" x14ac:dyDescent="0.25">
      <c r="A47" s="22" t="s">
        <v>55</v>
      </c>
      <c r="B47" s="22"/>
      <c r="C47" s="10">
        <v>138030</v>
      </c>
      <c r="D47" s="10">
        <v>0</v>
      </c>
      <c r="E47" s="10">
        <v>42920</v>
      </c>
      <c r="F47" s="10">
        <v>21260</v>
      </c>
      <c r="G47" s="10">
        <f>SUM(C47:F47)</f>
        <v>202210</v>
      </c>
      <c r="H47" s="16">
        <f>ROUND(G47/3143,2)</f>
        <v>64.34</v>
      </c>
      <c r="I47" s="9"/>
      <c r="J47" s="9"/>
    </row>
    <row r="48" spans="1:10" x14ac:dyDescent="0.25">
      <c r="A48" s="22" t="s">
        <v>56</v>
      </c>
      <c r="B48" s="22"/>
      <c r="C48" s="10">
        <v>0</v>
      </c>
      <c r="D48" s="10">
        <v>0</v>
      </c>
      <c r="E48" s="10">
        <v>0</v>
      </c>
      <c r="F48" s="10">
        <v>0</v>
      </c>
      <c r="G48" s="10">
        <f>SUM(C48:F48)</f>
        <v>0</v>
      </c>
      <c r="H48" s="16">
        <f>ROUND(G48/3143,2)</f>
        <v>0</v>
      </c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A53" s="27" t="s">
        <v>57</v>
      </c>
      <c r="B53" s="27"/>
      <c r="C53" s="14" t="s">
        <v>2</v>
      </c>
      <c r="D53" s="14">
        <v>2023</v>
      </c>
      <c r="E53" s="14" t="s">
        <v>59</v>
      </c>
      <c r="F53" s="13"/>
      <c r="G53" s="14" t="s">
        <v>60</v>
      </c>
      <c r="H53" s="14" t="s">
        <v>2</v>
      </c>
      <c r="I53" s="12" t="s">
        <v>61</v>
      </c>
      <c r="J53" s="12" t="s">
        <v>59</v>
      </c>
    </row>
    <row r="54" spans="1:10" x14ac:dyDescent="0.25">
      <c r="A54" s="22" t="s">
        <v>58</v>
      </c>
      <c r="B54" s="22"/>
      <c r="C54" s="15">
        <f>ROUND(0.8334, 4)</f>
        <v>0.83340000000000003</v>
      </c>
      <c r="D54" s="15">
        <f>ROUND(0.8432, 4)</f>
        <v>0.84319999999999995</v>
      </c>
      <c r="E54" s="15">
        <f>ROUND(0.777, 4)</f>
        <v>0.77700000000000002</v>
      </c>
      <c r="F54" s="8"/>
      <c r="G54" s="14" t="s">
        <v>62</v>
      </c>
      <c r="H54" s="28" t="s">
        <v>63</v>
      </c>
      <c r="I54" s="25" t="s">
        <v>64</v>
      </c>
      <c r="J54" s="25" t="s">
        <v>65</v>
      </c>
    </row>
    <row r="55" spans="1:10" x14ac:dyDescent="0.25">
      <c r="A55" s="22" t="s">
        <v>66</v>
      </c>
      <c r="B55" s="22"/>
      <c r="C55" s="15">
        <f>ROUND(0.8196, 4)</f>
        <v>0.8196</v>
      </c>
      <c r="D55" s="15">
        <f>ROUND(0.8294, 4)</f>
        <v>0.82940000000000003</v>
      </c>
      <c r="E55" s="15">
        <f>ROUND(0.7608, 4)</f>
        <v>0.76080000000000003</v>
      </c>
      <c r="F55" s="8"/>
      <c r="G55" s="14" t="s">
        <v>67</v>
      </c>
      <c r="H55" s="29"/>
      <c r="I55" s="26"/>
      <c r="J55" s="26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68</v>
      </c>
      <c r="B59" s="27"/>
      <c r="C59" s="14" t="s">
        <v>2</v>
      </c>
      <c r="D59" s="14" t="s">
        <v>140</v>
      </c>
      <c r="E59" s="14" t="s">
        <v>70</v>
      </c>
      <c r="F59" s="14" t="s">
        <v>71</v>
      </c>
      <c r="G59" s="14" t="s">
        <v>72</v>
      </c>
      <c r="H59" s="13"/>
      <c r="I59" s="17"/>
      <c r="J59" s="17"/>
    </row>
    <row r="60" spans="1:10" x14ac:dyDescent="0.25">
      <c r="A60" s="22" t="s">
        <v>73</v>
      </c>
      <c r="B60" s="22"/>
      <c r="C60" s="16">
        <v>43.92</v>
      </c>
      <c r="D60" s="16">
        <v>49.79</v>
      </c>
      <c r="E60" s="16">
        <v>92.53</v>
      </c>
      <c r="F60" s="16">
        <v>56.06</v>
      </c>
      <c r="G60" s="16">
        <f>12/11*C60</f>
        <v>47.912727272727274</v>
      </c>
      <c r="H60" s="8"/>
      <c r="I60" s="9"/>
      <c r="J60" s="9"/>
    </row>
    <row r="61" spans="1:10" x14ac:dyDescent="0.25">
      <c r="A61" s="22" t="s">
        <v>74</v>
      </c>
      <c r="B61" s="22"/>
      <c r="C61" s="16">
        <v>54.79</v>
      </c>
      <c r="D61" s="16">
        <v>56.61</v>
      </c>
      <c r="E61" s="16">
        <v>61.98</v>
      </c>
      <c r="F61" s="16">
        <v>64.09</v>
      </c>
      <c r="G61" s="16">
        <f>12/11*C61</f>
        <v>59.770909090909086</v>
      </c>
      <c r="H61" s="8"/>
      <c r="I61" s="9"/>
      <c r="J61" s="9"/>
    </row>
    <row r="62" spans="1:10" x14ac:dyDescent="0.25">
      <c r="A62" s="22" t="s">
        <v>75</v>
      </c>
      <c r="B62" s="22"/>
      <c r="C62" s="16">
        <v>229.57</v>
      </c>
      <c r="D62" s="16">
        <v>239.37</v>
      </c>
      <c r="E62" s="16">
        <v>291.51</v>
      </c>
      <c r="F62" s="16">
        <v>284.45</v>
      </c>
      <c r="G62" s="16">
        <f>12/11*C62</f>
        <v>250.43999999999997</v>
      </c>
      <c r="H62" s="8"/>
      <c r="I62" s="9"/>
      <c r="J62" s="9"/>
    </row>
    <row r="63" spans="1:10" x14ac:dyDescent="0.25">
      <c r="A63" s="22" t="s">
        <v>76</v>
      </c>
      <c r="B63" s="22"/>
      <c r="C63" s="16">
        <v>64.34</v>
      </c>
      <c r="D63" s="16">
        <v>68.099999999999994</v>
      </c>
      <c r="E63" s="16">
        <v>116.46</v>
      </c>
      <c r="F63" s="16">
        <v>79.959999999999994</v>
      </c>
      <c r="G63" s="16">
        <f>12/11*C63</f>
        <v>70.189090909090908</v>
      </c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3" t="s">
        <v>60</v>
      </c>
      <c r="B66" s="24"/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77</v>
      </c>
      <c r="B67" s="1" t="s">
        <v>141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70</v>
      </c>
      <c r="B68" s="1" t="s">
        <v>79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71</v>
      </c>
      <c r="B69" s="1" t="s">
        <v>80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72</v>
      </c>
      <c r="B70" s="1" t="s">
        <v>81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</sheetData>
  <mergeCells count="19">
    <mergeCell ref="C7:G7"/>
    <mergeCell ref="A39:B39"/>
    <mergeCell ref="A40:B40"/>
    <mergeCell ref="A45:B45"/>
    <mergeCell ref="A46:B46"/>
    <mergeCell ref="J54:J55"/>
    <mergeCell ref="A55:B55"/>
    <mergeCell ref="A59:B59"/>
    <mergeCell ref="A60:B60"/>
    <mergeCell ref="A47:B47"/>
    <mergeCell ref="A48:B48"/>
    <mergeCell ref="A53:B53"/>
    <mergeCell ref="A54:B54"/>
    <mergeCell ref="H54:H55"/>
    <mergeCell ref="A61:B61"/>
    <mergeCell ref="A62:B62"/>
    <mergeCell ref="A63:B63"/>
    <mergeCell ref="A66:B66"/>
    <mergeCell ref="I54:I5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142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2014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54</v>
      </c>
      <c r="F9" s="10"/>
      <c r="G9" s="10">
        <f t="shared" ref="G9:G43" si="0">SUM(C9:F9)</f>
        <v>54</v>
      </c>
      <c r="H9" s="16">
        <f t="shared" ref="H9:H43" si="1">ROUND(G9/2014,2)</f>
        <v>0.03</v>
      </c>
      <c r="I9" s="15">
        <f t="shared" ref="I9:I43" si="2">ROUND(G9/$G$44,3)</f>
        <v>0</v>
      </c>
      <c r="J9" s="15">
        <f>ROUND(G9/132-1,2)</f>
        <v>-0.59</v>
      </c>
    </row>
    <row r="10" spans="1:10" x14ac:dyDescent="0.25">
      <c r="A10" s="1" t="s">
        <v>16</v>
      </c>
      <c r="B10" s="1" t="s">
        <v>19</v>
      </c>
      <c r="C10" s="10">
        <v>64350</v>
      </c>
      <c r="D10" s="10"/>
      <c r="E10" s="10"/>
      <c r="F10" s="10"/>
      <c r="G10" s="10">
        <f t="shared" si="0"/>
        <v>64350</v>
      </c>
      <c r="H10" s="16">
        <f t="shared" si="1"/>
        <v>31.95</v>
      </c>
      <c r="I10" s="15">
        <f t="shared" si="2"/>
        <v>8.1000000000000003E-2</v>
      </c>
      <c r="J10" s="15">
        <f>ROUND(G10/62020-1,2)</f>
        <v>0.04</v>
      </c>
    </row>
    <row r="11" spans="1:10" x14ac:dyDescent="0.25">
      <c r="A11" s="1" t="s">
        <v>16</v>
      </c>
      <c r="B11" s="1" t="s">
        <v>20</v>
      </c>
      <c r="C11" s="10">
        <v>66060</v>
      </c>
      <c r="D11" s="10"/>
      <c r="E11" s="10"/>
      <c r="F11" s="10">
        <v>100</v>
      </c>
      <c r="G11" s="10">
        <f t="shared" si="0"/>
        <v>66160</v>
      </c>
      <c r="H11" s="16">
        <f t="shared" si="1"/>
        <v>32.85</v>
      </c>
      <c r="I11" s="15">
        <f t="shared" si="2"/>
        <v>8.4000000000000005E-2</v>
      </c>
      <c r="J11" s="15">
        <f>ROUND(G11/68300-1,2)</f>
        <v>-0.03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96</v>
      </c>
      <c r="F12" s="10"/>
      <c r="G12" s="10">
        <f t="shared" si="0"/>
        <v>96</v>
      </c>
      <c r="H12" s="16">
        <f t="shared" si="1"/>
        <v>0.05</v>
      </c>
      <c r="I12" s="15">
        <f t="shared" si="2"/>
        <v>0</v>
      </c>
      <c r="J12" s="15">
        <f>ROUND(G12/32-1,2)</f>
        <v>2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57</v>
      </c>
      <c r="F13" s="10"/>
      <c r="G13" s="10">
        <f t="shared" si="0"/>
        <v>57</v>
      </c>
      <c r="H13" s="16">
        <f t="shared" si="1"/>
        <v>0.03</v>
      </c>
      <c r="I13" s="15">
        <f t="shared" si="2"/>
        <v>0</v>
      </c>
      <c r="J13" s="15">
        <f>ROUND(G13/81-1,2)</f>
        <v>-0.3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3180</v>
      </c>
      <c r="F14" s="10"/>
      <c r="G14" s="10">
        <f t="shared" si="0"/>
        <v>3180</v>
      </c>
      <c r="H14" s="16">
        <f t="shared" si="1"/>
        <v>1.58</v>
      </c>
      <c r="I14" s="15">
        <f t="shared" si="2"/>
        <v>4.0000000000000001E-3</v>
      </c>
      <c r="J14" s="15">
        <f>ROUND(G14/1810-1,2)</f>
        <v>0.76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61080</v>
      </c>
      <c r="F15" s="10"/>
      <c r="G15" s="10">
        <f t="shared" si="0"/>
        <v>61080</v>
      </c>
      <c r="H15" s="16">
        <f t="shared" si="1"/>
        <v>30.33</v>
      </c>
      <c r="I15" s="15">
        <f t="shared" si="2"/>
        <v>7.6999999999999999E-2</v>
      </c>
      <c r="J15" s="15">
        <f>ROUND(G15/70550-1,2)</f>
        <v>-0.13</v>
      </c>
    </row>
    <row r="16" spans="1:10" x14ac:dyDescent="0.25">
      <c r="A16" s="1" t="s">
        <v>16</v>
      </c>
      <c r="B16" s="1" t="s">
        <v>24</v>
      </c>
      <c r="C16" s="10">
        <v>77240</v>
      </c>
      <c r="D16" s="10"/>
      <c r="E16" s="10">
        <v>8685</v>
      </c>
      <c r="F16" s="10"/>
      <c r="G16" s="10">
        <f t="shared" si="0"/>
        <v>85925</v>
      </c>
      <c r="H16" s="16">
        <f t="shared" si="1"/>
        <v>42.66</v>
      </c>
      <c r="I16" s="15">
        <f t="shared" si="2"/>
        <v>0.109</v>
      </c>
      <c r="J16" s="15">
        <f>ROUND(G16/91005-1,2)</f>
        <v>-0.06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3790</v>
      </c>
      <c r="F17" s="10"/>
      <c r="G17" s="10">
        <f t="shared" si="0"/>
        <v>3790</v>
      </c>
      <c r="H17" s="16">
        <f t="shared" si="1"/>
        <v>1.88</v>
      </c>
      <c r="I17" s="15">
        <f t="shared" si="2"/>
        <v>5.0000000000000001E-3</v>
      </c>
      <c r="J17" s="15">
        <f>ROUND(G17/3905-1,2)</f>
        <v>-0.03</v>
      </c>
    </row>
    <row r="18" spans="1:10" x14ac:dyDescent="0.25">
      <c r="A18" s="1" t="s">
        <v>16</v>
      </c>
      <c r="B18" s="1" t="s">
        <v>26</v>
      </c>
      <c r="C18" s="10">
        <v>123810</v>
      </c>
      <c r="D18" s="10"/>
      <c r="E18" s="10"/>
      <c r="F18" s="10">
        <v>140</v>
      </c>
      <c r="G18" s="10">
        <f t="shared" si="0"/>
        <v>123950</v>
      </c>
      <c r="H18" s="16">
        <f t="shared" si="1"/>
        <v>61.54</v>
      </c>
      <c r="I18" s="15">
        <f t="shared" si="2"/>
        <v>0.157</v>
      </c>
      <c r="J18" s="15">
        <f>ROUND(G18/132340-1,2)</f>
        <v>-0.06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375</v>
      </c>
      <c r="F19" s="10"/>
      <c r="G19" s="10">
        <f t="shared" si="0"/>
        <v>375</v>
      </c>
      <c r="H19" s="16">
        <f t="shared" si="1"/>
        <v>0.19</v>
      </c>
      <c r="I19" s="15">
        <f t="shared" si="2"/>
        <v>0</v>
      </c>
      <c r="J19" s="15">
        <f>ROUND(G19/522-1,2)</f>
        <v>-0.28000000000000003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180</v>
      </c>
      <c r="F20" s="10"/>
      <c r="G20" s="10">
        <f t="shared" si="0"/>
        <v>180</v>
      </c>
      <c r="H20" s="16">
        <f t="shared" si="1"/>
        <v>0.09</v>
      </c>
      <c r="I20" s="15">
        <f t="shared" si="2"/>
        <v>0</v>
      </c>
      <c r="J20" s="15">
        <f>ROUND(G20/311-1,2)</f>
        <v>-0.42</v>
      </c>
    </row>
    <row r="21" spans="1:10" x14ac:dyDescent="0.25">
      <c r="A21" s="1" t="s">
        <v>16</v>
      </c>
      <c r="B21" s="1" t="s">
        <v>42</v>
      </c>
      <c r="C21" s="10"/>
      <c r="D21" s="10"/>
      <c r="E21" s="10">
        <v>89</v>
      </c>
      <c r="F21" s="10"/>
      <c r="G21" s="10">
        <f t="shared" si="0"/>
        <v>89</v>
      </c>
      <c r="H21" s="16">
        <f t="shared" si="1"/>
        <v>0.04</v>
      </c>
      <c r="I21" s="15">
        <f t="shared" si="2"/>
        <v>0</v>
      </c>
      <c r="J21" s="15">
        <f>ROUND(G21/219-1,2)</f>
        <v>-0.59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2330</v>
      </c>
      <c r="F22" s="10"/>
      <c r="G22" s="10">
        <f t="shared" si="0"/>
        <v>2330</v>
      </c>
      <c r="H22" s="16">
        <f t="shared" si="1"/>
        <v>1.1599999999999999</v>
      </c>
      <c r="I22" s="15">
        <f t="shared" si="2"/>
        <v>3.0000000000000001E-3</v>
      </c>
      <c r="J22" s="15">
        <f>ROUND(G22/4480-1,2)</f>
        <v>-0.48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230</v>
      </c>
      <c r="F23" s="10"/>
      <c r="G23" s="10">
        <f t="shared" si="0"/>
        <v>230</v>
      </c>
      <c r="H23" s="16">
        <f t="shared" si="1"/>
        <v>0.11</v>
      </c>
      <c r="I23" s="15">
        <f t="shared" si="2"/>
        <v>0</v>
      </c>
      <c r="J23" s="15">
        <f>ROUND(G23/370-1,2)</f>
        <v>-0.38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650</v>
      </c>
      <c r="F24" s="10"/>
      <c r="G24" s="10">
        <f t="shared" si="0"/>
        <v>650</v>
      </c>
      <c r="H24" s="16">
        <f t="shared" si="1"/>
        <v>0.32</v>
      </c>
      <c r="I24" s="15">
        <f t="shared" si="2"/>
        <v>1E-3</v>
      </c>
      <c r="J24" s="15">
        <f>ROUND(G24/500-1,2)</f>
        <v>0.3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1152</v>
      </c>
      <c r="F25" s="10"/>
      <c r="G25" s="10">
        <f t="shared" si="0"/>
        <v>1152</v>
      </c>
      <c r="H25" s="16">
        <f t="shared" si="1"/>
        <v>0.56999999999999995</v>
      </c>
      <c r="I25" s="15">
        <f t="shared" si="2"/>
        <v>1E-3</v>
      </c>
      <c r="J25" s="15">
        <f>ROUND(G25/1075-1,2)</f>
        <v>7.0000000000000007E-2</v>
      </c>
    </row>
    <row r="26" spans="1:10" x14ac:dyDescent="0.25">
      <c r="A26" s="1" t="s">
        <v>16</v>
      </c>
      <c r="B26" s="1" t="s">
        <v>33</v>
      </c>
      <c r="C26" s="10"/>
      <c r="D26" s="10">
        <v>98</v>
      </c>
      <c r="E26" s="10">
        <v>41</v>
      </c>
      <c r="F26" s="10"/>
      <c r="G26" s="10">
        <f t="shared" si="0"/>
        <v>139</v>
      </c>
      <c r="H26" s="16">
        <f t="shared" si="1"/>
        <v>7.0000000000000007E-2</v>
      </c>
      <c r="I26" s="15">
        <f t="shared" si="2"/>
        <v>0</v>
      </c>
      <c r="J26" s="15">
        <f>ROUND(G26/183-1,2)</f>
        <v>-0.24</v>
      </c>
    </row>
    <row r="27" spans="1:10" x14ac:dyDescent="0.25">
      <c r="A27" s="1" t="s">
        <v>16</v>
      </c>
      <c r="B27" s="1" t="s">
        <v>34</v>
      </c>
      <c r="C27" s="10"/>
      <c r="D27" s="10"/>
      <c r="E27" s="10">
        <v>280</v>
      </c>
      <c r="F27" s="10"/>
      <c r="G27" s="10">
        <f t="shared" si="0"/>
        <v>280</v>
      </c>
      <c r="H27" s="16">
        <f t="shared" si="1"/>
        <v>0.14000000000000001</v>
      </c>
      <c r="I27" s="15">
        <f t="shared" si="2"/>
        <v>0</v>
      </c>
      <c r="J27" s="15">
        <f>ROUND(G27/730-1,2)</f>
        <v>-0.62</v>
      </c>
    </row>
    <row r="28" spans="1:10" x14ac:dyDescent="0.25">
      <c r="A28" s="1" t="s">
        <v>16</v>
      </c>
      <c r="B28" s="1" t="s">
        <v>35</v>
      </c>
      <c r="C28" s="10"/>
      <c r="D28" s="10">
        <v>55</v>
      </c>
      <c r="E28" s="10">
        <v>200</v>
      </c>
      <c r="F28" s="10"/>
      <c r="G28" s="10">
        <f t="shared" si="0"/>
        <v>255</v>
      </c>
      <c r="H28" s="16">
        <f t="shared" si="1"/>
        <v>0.13</v>
      </c>
      <c r="I28" s="15">
        <f t="shared" si="2"/>
        <v>0</v>
      </c>
      <c r="J28" s="15">
        <f>ROUND(G28/330-1,2)</f>
        <v>-0.23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3130</v>
      </c>
      <c r="F29" s="10"/>
      <c r="G29" s="10">
        <f t="shared" si="0"/>
        <v>3130</v>
      </c>
      <c r="H29" s="16">
        <f t="shared" si="1"/>
        <v>1.55</v>
      </c>
      <c r="I29" s="15">
        <f t="shared" si="2"/>
        <v>4.0000000000000001E-3</v>
      </c>
      <c r="J29" s="15">
        <f>ROUND(G29/5280-1,2)</f>
        <v>-0.41</v>
      </c>
    </row>
    <row r="30" spans="1:10" x14ac:dyDescent="0.25">
      <c r="A30" s="1" t="s">
        <v>16</v>
      </c>
      <c r="B30" s="1" t="s">
        <v>43</v>
      </c>
      <c r="C30" s="10"/>
      <c r="D30" s="10"/>
      <c r="E30" s="10">
        <v>2740</v>
      </c>
      <c r="F30" s="10"/>
      <c r="G30" s="10">
        <f t="shared" si="0"/>
        <v>2740</v>
      </c>
      <c r="H30" s="16">
        <f t="shared" si="1"/>
        <v>1.36</v>
      </c>
      <c r="I30" s="15">
        <f t="shared" si="2"/>
        <v>3.0000000000000001E-3</v>
      </c>
      <c r="J30" s="15">
        <f>ROUND(G30/7048-1,2)</f>
        <v>-0.61</v>
      </c>
    </row>
    <row r="31" spans="1:10" x14ac:dyDescent="0.25">
      <c r="A31" s="1" t="s">
        <v>16</v>
      </c>
      <c r="B31" s="1" t="s">
        <v>38</v>
      </c>
      <c r="C31" s="10"/>
      <c r="D31" s="10"/>
      <c r="E31" s="10">
        <v>57800</v>
      </c>
      <c r="F31" s="10"/>
      <c r="G31" s="10">
        <f t="shared" si="0"/>
        <v>57800</v>
      </c>
      <c r="H31" s="16">
        <f t="shared" si="1"/>
        <v>28.7</v>
      </c>
      <c r="I31" s="15">
        <f t="shared" si="2"/>
        <v>7.2999999999999995E-2</v>
      </c>
      <c r="J31" s="15">
        <f>ROUND(G31/56190-1,2)</f>
        <v>0.03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17200</v>
      </c>
      <c r="F32" s="10"/>
      <c r="G32" s="10">
        <f t="shared" si="0"/>
        <v>17200</v>
      </c>
      <c r="H32" s="16">
        <f t="shared" si="1"/>
        <v>8.5399999999999991</v>
      </c>
      <c r="I32" s="15">
        <f t="shared" si="2"/>
        <v>2.1999999999999999E-2</v>
      </c>
      <c r="J32" s="15">
        <f>ROUND(G32/15520-1,2)</f>
        <v>0.11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84220</v>
      </c>
      <c r="F33" s="10"/>
      <c r="G33" s="10">
        <f t="shared" si="0"/>
        <v>84220</v>
      </c>
      <c r="H33" s="16">
        <f t="shared" si="1"/>
        <v>41.82</v>
      </c>
      <c r="I33" s="15">
        <f t="shared" si="2"/>
        <v>0.107</v>
      </c>
      <c r="J33" s="15">
        <f>ROUND(G33/68440-1,2)</f>
        <v>0.23</v>
      </c>
    </row>
    <row r="34" spans="1:10" x14ac:dyDescent="0.25">
      <c r="A34" s="1" t="s">
        <v>16</v>
      </c>
      <c r="B34" s="1" t="s">
        <v>36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ROUND(G34/3300-1,2)</f>
        <v>-1</v>
      </c>
    </row>
    <row r="35" spans="1:10" x14ac:dyDescent="0.25">
      <c r="A35" s="1" t="s">
        <v>16</v>
      </c>
      <c r="B35" s="1" t="s">
        <v>143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16</v>
      </c>
      <c r="B36" s="1" t="s">
        <v>144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16</v>
      </c>
      <c r="B37" s="1" t="s">
        <v>120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16</v>
      </c>
      <c r="B38" s="1" t="s">
        <v>145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44</v>
      </c>
      <c r="B39" s="1" t="s">
        <v>45</v>
      </c>
      <c r="C39" s="10">
        <v>146450</v>
      </c>
      <c r="D39" s="10"/>
      <c r="E39" s="10"/>
      <c r="F39" s="10"/>
      <c r="G39" s="10">
        <f t="shared" si="0"/>
        <v>146450</v>
      </c>
      <c r="H39" s="16">
        <f t="shared" si="1"/>
        <v>72.72</v>
      </c>
      <c r="I39" s="15">
        <f t="shared" si="2"/>
        <v>0.185</v>
      </c>
      <c r="J39" s="15">
        <f>ROUND(G39/136230-1,2)</f>
        <v>0.08</v>
      </c>
    </row>
    <row r="40" spans="1:10" x14ac:dyDescent="0.25">
      <c r="A40" s="1" t="s">
        <v>44</v>
      </c>
      <c r="B40" s="1" t="s">
        <v>46</v>
      </c>
      <c r="C40" s="10"/>
      <c r="D40" s="10"/>
      <c r="E40" s="10">
        <v>64090</v>
      </c>
      <c r="F40" s="10"/>
      <c r="G40" s="10">
        <f t="shared" si="0"/>
        <v>64090</v>
      </c>
      <c r="H40" s="16">
        <f t="shared" si="1"/>
        <v>31.82</v>
      </c>
      <c r="I40" s="15">
        <f t="shared" si="2"/>
        <v>8.1000000000000003E-2</v>
      </c>
      <c r="J40" s="15">
        <f>ROUND(G40/57260-1,2)</f>
        <v>0.12</v>
      </c>
    </row>
    <row r="41" spans="1:10" x14ac:dyDescent="0.25">
      <c r="A41" s="1" t="s">
        <v>44</v>
      </c>
      <c r="B41" s="1" t="s">
        <v>47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1" t="s">
        <v>48</v>
      </c>
      <c r="B42" s="1" t="s">
        <v>51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1" t="s">
        <v>48</v>
      </c>
      <c r="B43" s="1" t="s">
        <v>50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/>
    </row>
    <row r="44" spans="1:10" x14ac:dyDescent="0.25">
      <c r="A44" s="27" t="s">
        <v>12</v>
      </c>
      <c r="B44" s="27"/>
      <c r="C44" s="11">
        <f t="shared" ref="C44:H44" si="3">SUM(C8:C43)</f>
        <v>477910</v>
      </c>
      <c r="D44" s="11">
        <f t="shared" si="3"/>
        <v>153</v>
      </c>
      <c r="E44" s="11">
        <f t="shared" si="3"/>
        <v>311649</v>
      </c>
      <c r="F44" s="11">
        <f t="shared" si="3"/>
        <v>240</v>
      </c>
      <c r="G44" s="11">
        <f t="shared" si="3"/>
        <v>789952</v>
      </c>
      <c r="H44" s="14">
        <f t="shared" si="3"/>
        <v>392.22999999999996</v>
      </c>
      <c r="I44" s="17"/>
      <c r="J44" s="17"/>
    </row>
    <row r="45" spans="1:10" x14ac:dyDescent="0.25">
      <c r="A45" s="27" t="s">
        <v>14</v>
      </c>
      <c r="B45" s="27"/>
      <c r="C45" s="12">
        <f>ROUND(C44/G44,2)</f>
        <v>0.6</v>
      </c>
      <c r="D45" s="12">
        <f>ROUND(D44/G44,2)</f>
        <v>0</v>
      </c>
      <c r="E45" s="12">
        <f>ROUND(E44/G44,2)</f>
        <v>0.39</v>
      </c>
      <c r="F45" s="12">
        <f>ROUND(F44/G44,2)</f>
        <v>0</v>
      </c>
      <c r="G45" s="13"/>
      <c r="H45" s="13"/>
      <c r="I45" s="17"/>
      <c r="J45" s="17"/>
    </row>
    <row r="46" spans="1:10" x14ac:dyDescent="0.25">
      <c r="A46" s="2" t="s">
        <v>52</v>
      </c>
      <c r="B46" s="2"/>
      <c r="C46" s="13"/>
      <c r="D46" s="13"/>
      <c r="E46" s="13"/>
      <c r="F46" s="13"/>
      <c r="G46" s="13"/>
      <c r="H46" s="13"/>
      <c r="I46" s="17"/>
      <c r="J46" s="17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53</v>
      </c>
      <c r="B50" s="27"/>
      <c r="C50" s="11" t="s">
        <v>8</v>
      </c>
      <c r="D50" s="11" t="s">
        <v>9</v>
      </c>
      <c r="E50" s="11" t="s">
        <v>10</v>
      </c>
      <c r="F50" s="11" t="s">
        <v>11</v>
      </c>
      <c r="G50" s="11" t="s">
        <v>12</v>
      </c>
      <c r="H50" s="14" t="s">
        <v>13</v>
      </c>
      <c r="I50" s="17"/>
      <c r="J50" s="17"/>
    </row>
    <row r="51" spans="1:10" x14ac:dyDescent="0.25">
      <c r="A51" s="22" t="s">
        <v>54</v>
      </c>
      <c r="B51" s="22"/>
      <c r="C51" s="10">
        <v>331460</v>
      </c>
      <c r="D51" s="10">
        <v>153</v>
      </c>
      <c r="E51" s="10">
        <v>247559</v>
      </c>
      <c r="F51" s="10">
        <v>240</v>
      </c>
      <c r="G51" s="10">
        <f>SUM(C51:F51)</f>
        <v>579412</v>
      </c>
      <c r="H51" s="16">
        <f>ROUND(G51/2014,2)</f>
        <v>287.69</v>
      </c>
      <c r="I51" s="9"/>
      <c r="J51" s="9"/>
    </row>
    <row r="52" spans="1:10" x14ac:dyDescent="0.25">
      <c r="A52" s="22" t="s">
        <v>55</v>
      </c>
      <c r="B52" s="22"/>
      <c r="C52" s="10">
        <v>146450</v>
      </c>
      <c r="D52" s="10">
        <v>0</v>
      </c>
      <c r="E52" s="10">
        <v>64090</v>
      </c>
      <c r="F52" s="10">
        <v>0</v>
      </c>
      <c r="G52" s="10">
        <f>SUM(C52:F52)</f>
        <v>210540</v>
      </c>
      <c r="H52" s="16">
        <f>ROUND(G52/2014,2)</f>
        <v>104.54</v>
      </c>
      <c r="I52" s="9"/>
      <c r="J52" s="9"/>
    </row>
    <row r="53" spans="1:10" x14ac:dyDescent="0.25">
      <c r="A53" s="22" t="s">
        <v>56</v>
      </c>
      <c r="B53" s="22"/>
      <c r="C53" s="10">
        <v>0</v>
      </c>
      <c r="D53" s="10">
        <v>0</v>
      </c>
      <c r="E53" s="10">
        <v>0</v>
      </c>
      <c r="F53" s="10">
        <v>0</v>
      </c>
      <c r="G53" s="10">
        <f>SUM(C53:F53)</f>
        <v>0</v>
      </c>
      <c r="H53" s="16">
        <f>ROUND(G53/2014,2)</f>
        <v>0</v>
      </c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57</v>
      </c>
      <c r="B58" s="27"/>
      <c r="C58" s="14" t="s">
        <v>2</v>
      </c>
      <c r="D58" s="14">
        <v>2023</v>
      </c>
      <c r="E58" s="14" t="s">
        <v>59</v>
      </c>
      <c r="F58" s="13"/>
      <c r="G58" s="14" t="s">
        <v>60</v>
      </c>
      <c r="H58" s="14" t="s">
        <v>2</v>
      </c>
      <c r="I58" s="12" t="s">
        <v>61</v>
      </c>
      <c r="J58" s="12" t="s">
        <v>59</v>
      </c>
    </row>
    <row r="59" spans="1:10" x14ac:dyDescent="0.25">
      <c r="A59" s="22" t="s">
        <v>58</v>
      </c>
      <c r="B59" s="22"/>
      <c r="C59" s="15">
        <f>ROUND(0.7972, 4)</f>
        <v>0.79720000000000002</v>
      </c>
      <c r="D59" s="15">
        <f>ROUND(0.7972, 4)</f>
        <v>0.79720000000000002</v>
      </c>
      <c r="E59" s="15">
        <f>ROUND(0.777, 4)</f>
        <v>0.77700000000000002</v>
      </c>
      <c r="F59" s="8"/>
      <c r="G59" s="14" t="s">
        <v>62</v>
      </c>
      <c r="H59" s="28" t="s">
        <v>63</v>
      </c>
      <c r="I59" s="25" t="s">
        <v>64</v>
      </c>
      <c r="J59" s="25" t="s">
        <v>65</v>
      </c>
    </row>
    <row r="60" spans="1:10" x14ac:dyDescent="0.25">
      <c r="A60" s="22" t="s">
        <v>66</v>
      </c>
      <c r="B60" s="22"/>
      <c r="C60" s="15">
        <f>ROUND(0.7858, 4)</f>
        <v>0.78580000000000005</v>
      </c>
      <c r="D60" s="15">
        <f>ROUND(0.7863, 4)</f>
        <v>0.7863</v>
      </c>
      <c r="E60" s="15">
        <f>ROUND(0.7608, 4)</f>
        <v>0.76080000000000003</v>
      </c>
      <c r="F60" s="8"/>
      <c r="G60" s="14" t="s">
        <v>67</v>
      </c>
      <c r="H60" s="29"/>
      <c r="I60" s="26"/>
      <c r="J60" s="26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7" t="s">
        <v>68</v>
      </c>
      <c r="B64" s="27"/>
      <c r="C64" s="14" t="s">
        <v>2</v>
      </c>
      <c r="D64" s="14" t="s">
        <v>146</v>
      </c>
      <c r="E64" s="14" t="s">
        <v>70</v>
      </c>
      <c r="F64" s="14" t="s">
        <v>71</v>
      </c>
      <c r="G64" s="14" t="s">
        <v>72</v>
      </c>
      <c r="H64" s="13"/>
      <c r="I64" s="17"/>
      <c r="J64" s="17"/>
    </row>
    <row r="65" spans="1:10" x14ac:dyDescent="0.25">
      <c r="A65" s="22" t="s">
        <v>73</v>
      </c>
      <c r="B65" s="22"/>
      <c r="C65" s="16">
        <v>72.72</v>
      </c>
      <c r="D65" s="16">
        <v>75.23</v>
      </c>
      <c r="E65" s="16">
        <v>92.53</v>
      </c>
      <c r="F65" s="16">
        <v>56.06</v>
      </c>
      <c r="G65" s="16">
        <f>12/11*C65</f>
        <v>79.330909090909088</v>
      </c>
      <c r="H65" s="8"/>
      <c r="I65" s="9"/>
      <c r="J65" s="9"/>
    </row>
    <row r="66" spans="1:10" x14ac:dyDescent="0.25">
      <c r="A66" s="22" t="s">
        <v>74</v>
      </c>
      <c r="B66" s="22"/>
      <c r="C66" s="16">
        <v>61.54</v>
      </c>
      <c r="D66" s="16">
        <v>73.61</v>
      </c>
      <c r="E66" s="16">
        <v>61.98</v>
      </c>
      <c r="F66" s="16">
        <v>64.09</v>
      </c>
      <c r="G66" s="16">
        <f>12/11*C66</f>
        <v>67.134545454545446</v>
      </c>
      <c r="H66" s="8"/>
      <c r="I66" s="9"/>
      <c r="J66" s="9"/>
    </row>
    <row r="67" spans="1:10" x14ac:dyDescent="0.25">
      <c r="A67" s="22" t="s">
        <v>75</v>
      </c>
      <c r="B67" s="22"/>
      <c r="C67" s="16">
        <v>287.69</v>
      </c>
      <c r="D67" s="16">
        <v>305.72000000000003</v>
      </c>
      <c r="E67" s="16">
        <v>291.51</v>
      </c>
      <c r="F67" s="16">
        <v>284.45</v>
      </c>
      <c r="G67" s="16">
        <f>12/11*C67</f>
        <v>313.84363636363634</v>
      </c>
      <c r="H67" s="8"/>
      <c r="I67" s="9"/>
      <c r="J67" s="9"/>
    </row>
    <row r="68" spans="1:10" x14ac:dyDescent="0.25">
      <c r="A68" s="22" t="s">
        <v>76</v>
      </c>
      <c r="B68" s="22"/>
      <c r="C68" s="16">
        <v>104.54</v>
      </c>
      <c r="D68" s="16">
        <v>108.32</v>
      </c>
      <c r="E68" s="16">
        <v>116.46</v>
      </c>
      <c r="F68" s="16">
        <v>79.959999999999994</v>
      </c>
      <c r="G68" s="16">
        <f>12/11*C68</f>
        <v>114.04363636363637</v>
      </c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1" spans="1:10" x14ac:dyDescent="0.25">
      <c r="A71" s="23" t="s">
        <v>60</v>
      </c>
      <c r="B71" s="24"/>
    </row>
    <row r="72" spans="1:10" x14ac:dyDescent="0.25">
      <c r="A72" s="3" t="s">
        <v>77</v>
      </c>
      <c r="B72" s="1" t="s">
        <v>147</v>
      </c>
    </row>
    <row r="73" spans="1:10" x14ac:dyDescent="0.25">
      <c r="A73" s="3" t="s">
        <v>70</v>
      </c>
      <c r="B73" s="1" t="s">
        <v>79</v>
      </c>
    </row>
    <row r="74" spans="1:10" x14ac:dyDescent="0.25">
      <c r="A74" s="3" t="s">
        <v>71</v>
      </c>
      <c r="B74" s="1" t="s">
        <v>80</v>
      </c>
    </row>
    <row r="75" spans="1:10" x14ac:dyDescent="0.25">
      <c r="A75" s="3" t="s">
        <v>72</v>
      </c>
      <c r="B75" s="1" t="s">
        <v>81</v>
      </c>
    </row>
  </sheetData>
  <mergeCells count="19">
    <mergeCell ref="C7:G7"/>
    <mergeCell ref="A44:B44"/>
    <mergeCell ref="A45:B45"/>
    <mergeCell ref="A50:B50"/>
    <mergeCell ref="A51:B51"/>
    <mergeCell ref="J59:J60"/>
    <mergeCell ref="A60:B60"/>
    <mergeCell ref="A64:B64"/>
    <mergeCell ref="A65:B65"/>
    <mergeCell ref="A52:B52"/>
    <mergeCell ref="A53:B53"/>
    <mergeCell ref="A58:B58"/>
    <mergeCell ref="A59:B59"/>
    <mergeCell ref="H59:H60"/>
    <mergeCell ref="A66:B66"/>
    <mergeCell ref="A67:B67"/>
    <mergeCell ref="A68:B68"/>
    <mergeCell ref="A71:B71"/>
    <mergeCell ref="I59:I6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J6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28515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148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2233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25</v>
      </c>
      <c r="F9" s="10"/>
      <c r="G9" s="10">
        <f t="shared" ref="G9:G37" si="0">SUM(C9:F9)</f>
        <v>25</v>
      </c>
      <c r="H9" s="16">
        <f t="shared" ref="H9:H37" si="1">ROUND(G9/2233,2)</f>
        <v>0.01</v>
      </c>
      <c r="I9" s="15">
        <f t="shared" ref="I9:I37" si="2">ROUND(G9/$G$38,3)</f>
        <v>0</v>
      </c>
      <c r="J9" s="15">
        <f>ROUND(G9/40-1,2)</f>
        <v>-0.38</v>
      </c>
    </row>
    <row r="10" spans="1:10" x14ac:dyDescent="0.25">
      <c r="A10" s="1" t="s">
        <v>16</v>
      </c>
      <c r="B10" s="1" t="s">
        <v>19</v>
      </c>
      <c r="C10" s="10">
        <v>69050</v>
      </c>
      <c r="D10" s="10"/>
      <c r="E10" s="10"/>
      <c r="F10" s="10"/>
      <c r="G10" s="10">
        <f t="shared" si="0"/>
        <v>69050</v>
      </c>
      <c r="H10" s="16">
        <f t="shared" si="1"/>
        <v>30.92</v>
      </c>
      <c r="I10" s="15">
        <f t="shared" si="2"/>
        <v>6.8000000000000005E-2</v>
      </c>
      <c r="J10" s="15">
        <f>ROUND(G10/69580-1,2)</f>
        <v>-0.01</v>
      </c>
    </row>
    <row r="11" spans="1:10" x14ac:dyDescent="0.25">
      <c r="A11" s="1" t="s">
        <v>16</v>
      </c>
      <c r="B11" s="1" t="s">
        <v>20</v>
      </c>
      <c r="C11" s="10">
        <v>84580</v>
      </c>
      <c r="D11" s="10"/>
      <c r="E11" s="10"/>
      <c r="F11" s="10"/>
      <c r="G11" s="10">
        <f t="shared" si="0"/>
        <v>84580</v>
      </c>
      <c r="H11" s="16">
        <f t="shared" si="1"/>
        <v>37.880000000000003</v>
      </c>
      <c r="I11" s="15">
        <f t="shared" si="2"/>
        <v>8.4000000000000005E-2</v>
      </c>
      <c r="J11" s="15">
        <f>ROUND(G11/78980-1,2)</f>
        <v>7.0000000000000007E-2</v>
      </c>
    </row>
    <row r="12" spans="1:10" x14ac:dyDescent="0.25">
      <c r="A12" s="1" t="s">
        <v>16</v>
      </c>
      <c r="B12" s="1" t="s">
        <v>22</v>
      </c>
      <c r="C12" s="10"/>
      <c r="D12" s="10"/>
      <c r="E12" s="10">
        <v>1620</v>
      </c>
      <c r="F12" s="10"/>
      <c r="G12" s="10">
        <f t="shared" si="0"/>
        <v>1620</v>
      </c>
      <c r="H12" s="16">
        <f t="shared" si="1"/>
        <v>0.73</v>
      </c>
      <c r="I12" s="15">
        <f t="shared" si="2"/>
        <v>2E-3</v>
      </c>
      <c r="J12" s="15">
        <f>ROUND(G12/900-1,2)</f>
        <v>0.8</v>
      </c>
    </row>
    <row r="13" spans="1:10" x14ac:dyDescent="0.25">
      <c r="A13" s="1" t="s">
        <v>16</v>
      </c>
      <c r="B13" s="1" t="s">
        <v>98</v>
      </c>
      <c r="C13" s="10"/>
      <c r="D13" s="10"/>
      <c r="E13" s="10"/>
      <c r="F13" s="10">
        <v>340</v>
      </c>
      <c r="G13" s="10">
        <f t="shared" si="0"/>
        <v>340</v>
      </c>
      <c r="H13" s="16">
        <f t="shared" si="1"/>
        <v>0.15</v>
      </c>
      <c r="I13" s="15">
        <f t="shared" si="2"/>
        <v>0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88920</v>
      </c>
      <c r="F14" s="10"/>
      <c r="G14" s="10">
        <f t="shared" si="0"/>
        <v>88920</v>
      </c>
      <c r="H14" s="16">
        <f t="shared" si="1"/>
        <v>39.82</v>
      </c>
      <c r="I14" s="15">
        <f t="shared" si="2"/>
        <v>8.7999999999999995E-2</v>
      </c>
      <c r="J14" s="15">
        <f>ROUND(G14/95420-1,2)</f>
        <v>-7.0000000000000007E-2</v>
      </c>
    </row>
    <row r="15" spans="1:10" x14ac:dyDescent="0.25">
      <c r="A15" s="1" t="s">
        <v>16</v>
      </c>
      <c r="B15" s="1" t="s">
        <v>24</v>
      </c>
      <c r="C15" s="10">
        <v>105080</v>
      </c>
      <c r="D15" s="10"/>
      <c r="E15" s="10"/>
      <c r="F15" s="10"/>
      <c r="G15" s="10">
        <f t="shared" si="0"/>
        <v>105080</v>
      </c>
      <c r="H15" s="16">
        <f t="shared" si="1"/>
        <v>47.06</v>
      </c>
      <c r="I15" s="15">
        <f t="shared" si="2"/>
        <v>0.104</v>
      </c>
      <c r="J15" s="15">
        <f>ROUND(G15/108090-1,2)</f>
        <v>-0.03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6265</v>
      </c>
      <c r="F16" s="10"/>
      <c r="G16" s="10">
        <f t="shared" si="0"/>
        <v>6265</v>
      </c>
      <c r="H16" s="16">
        <f t="shared" si="1"/>
        <v>2.81</v>
      </c>
      <c r="I16" s="15">
        <f t="shared" si="2"/>
        <v>6.0000000000000001E-3</v>
      </c>
      <c r="J16" s="15">
        <f>ROUND(G16/2225-1,2)</f>
        <v>1.82</v>
      </c>
    </row>
    <row r="17" spans="1:10" x14ac:dyDescent="0.25">
      <c r="A17" s="1" t="s">
        <v>16</v>
      </c>
      <c r="B17" s="1" t="s">
        <v>26</v>
      </c>
      <c r="C17" s="10">
        <v>161490</v>
      </c>
      <c r="D17" s="10"/>
      <c r="E17" s="10"/>
      <c r="F17" s="10"/>
      <c r="G17" s="10">
        <f t="shared" si="0"/>
        <v>161490</v>
      </c>
      <c r="H17" s="16">
        <f t="shared" si="1"/>
        <v>72.319999999999993</v>
      </c>
      <c r="I17" s="15">
        <f t="shared" si="2"/>
        <v>0.16</v>
      </c>
      <c r="J17" s="15">
        <f>ROUND(G17/161670-1,2)</f>
        <v>0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225</v>
      </c>
      <c r="F18" s="10"/>
      <c r="G18" s="10">
        <f t="shared" si="0"/>
        <v>225</v>
      </c>
      <c r="H18" s="16">
        <f t="shared" si="1"/>
        <v>0.1</v>
      </c>
      <c r="I18" s="15">
        <f t="shared" si="2"/>
        <v>0</v>
      </c>
      <c r="J18" s="15">
        <f>ROUND(G18/324-1,2)</f>
        <v>-0.31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172</v>
      </c>
      <c r="F19" s="10"/>
      <c r="G19" s="10">
        <f t="shared" si="0"/>
        <v>172</v>
      </c>
      <c r="H19" s="16">
        <f t="shared" si="1"/>
        <v>0.08</v>
      </c>
      <c r="I19" s="15">
        <f t="shared" si="2"/>
        <v>0</v>
      </c>
      <c r="J19" s="15">
        <f>ROUND(G19/215-1,2)</f>
        <v>-0.2</v>
      </c>
    </row>
    <row r="20" spans="1:10" x14ac:dyDescent="0.25">
      <c r="A20" s="1" t="s">
        <v>16</v>
      </c>
      <c r="B20" s="1" t="s">
        <v>42</v>
      </c>
      <c r="C20" s="10"/>
      <c r="D20" s="10"/>
      <c r="E20" s="10">
        <v>247</v>
      </c>
      <c r="F20" s="10"/>
      <c r="G20" s="10">
        <f t="shared" si="0"/>
        <v>247</v>
      </c>
      <c r="H20" s="16">
        <f t="shared" si="1"/>
        <v>0.11</v>
      </c>
      <c r="I20" s="15">
        <f t="shared" si="2"/>
        <v>0</v>
      </c>
      <c r="J20" s="15">
        <f>ROUND(G20/157-1,2)</f>
        <v>0.56999999999999995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720</v>
      </c>
      <c r="F21" s="10"/>
      <c r="G21" s="10">
        <f t="shared" si="0"/>
        <v>720</v>
      </c>
      <c r="H21" s="16">
        <f t="shared" si="1"/>
        <v>0.32</v>
      </c>
      <c r="I21" s="15">
        <f t="shared" si="2"/>
        <v>1E-3</v>
      </c>
      <c r="J21" s="15">
        <f>ROUND(G21/2180-1,2)</f>
        <v>-0.67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640</v>
      </c>
      <c r="F22" s="10"/>
      <c r="G22" s="10">
        <f t="shared" si="0"/>
        <v>640</v>
      </c>
      <c r="H22" s="16">
        <f t="shared" si="1"/>
        <v>0.28999999999999998</v>
      </c>
      <c r="I22" s="15">
        <f t="shared" si="2"/>
        <v>1E-3</v>
      </c>
      <c r="J22" s="15">
        <f>ROUND(G22/400-1,2)</f>
        <v>0.6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660</v>
      </c>
      <c r="F23" s="10"/>
      <c r="G23" s="10">
        <f t="shared" si="0"/>
        <v>660</v>
      </c>
      <c r="H23" s="16">
        <f t="shared" si="1"/>
        <v>0.3</v>
      </c>
      <c r="I23" s="15">
        <f t="shared" si="2"/>
        <v>1E-3</v>
      </c>
      <c r="J23" s="15">
        <f>ROUND(G23/370-1,2)</f>
        <v>0.78</v>
      </c>
    </row>
    <row r="24" spans="1:10" x14ac:dyDescent="0.25">
      <c r="A24" s="1" t="s">
        <v>16</v>
      </c>
      <c r="B24" s="1" t="s">
        <v>33</v>
      </c>
      <c r="C24" s="10"/>
      <c r="D24" s="10">
        <v>140</v>
      </c>
      <c r="E24" s="10">
        <v>40</v>
      </c>
      <c r="F24" s="10"/>
      <c r="G24" s="10">
        <f t="shared" si="0"/>
        <v>180</v>
      </c>
      <c r="H24" s="16">
        <f t="shared" si="1"/>
        <v>0.08</v>
      </c>
      <c r="I24" s="15">
        <f t="shared" si="2"/>
        <v>0</v>
      </c>
      <c r="J24" s="15">
        <f>ROUND(G24/163-1,2)</f>
        <v>0.1</v>
      </c>
    </row>
    <row r="25" spans="1:10" x14ac:dyDescent="0.25">
      <c r="A25" s="1" t="s">
        <v>16</v>
      </c>
      <c r="B25" s="1" t="s">
        <v>34</v>
      </c>
      <c r="C25" s="10"/>
      <c r="D25" s="10"/>
      <c r="E25" s="10">
        <v>210</v>
      </c>
      <c r="F25" s="10"/>
      <c r="G25" s="10">
        <f t="shared" si="0"/>
        <v>210</v>
      </c>
      <c r="H25" s="16">
        <f t="shared" si="1"/>
        <v>0.09</v>
      </c>
      <c r="I25" s="15">
        <f t="shared" si="2"/>
        <v>0</v>
      </c>
      <c r="J25" s="15">
        <f>ROUND(G25/610-1,2)</f>
        <v>-0.66</v>
      </c>
    </row>
    <row r="26" spans="1:10" x14ac:dyDescent="0.25">
      <c r="A26" s="1" t="s">
        <v>16</v>
      </c>
      <c r="B26" s="1" t="s">
        <v>35</v>
      </c>
      <c r="C26" s="10"/>
      <c r="D26" s="10">
        <v>55</v>
      </c>
      <c r="E26" s="10"/>
      <c r="F26" s="10"/>
      <c r="G26" s="10">
        <f t="shared" si="0"/>
        <v>55</v>
      </c>
      <c r="H26" s="16">
        <f t="shared" si="1"/>
        <v>0.02</v>
      </c>
      <c r="I26" s="15">
        <f t="shared" si="2"/>
        <v>0</v>
      </c>
      <c r="J26" s="15">
        <f>ROUND(G26/330-1,2)</f>
        <v>-0.83</v>
      </c>
    </row>
    <row r="27" spans="1:10" x14ac:dyDescent="0.25">
      <c r="A27" s="1" t="s">
        <v>16</v>
      </c>
      <c r="B27" s="1" t="s">
        <v>36</v>
      </c>
      <c r="C27" s="10"/>
      <c r="D27" s="10"/>
      <c r="E27" s="10">
        <v>1158</v>
      </c>
      <c r="F27" s="10"/>
      <c r="G27" s="10">
        <f t="shared" si="0"/>
        <v>1158</v>
      </c>
      <c r="H27" s="16">
        <f t="shared" si="1"/>
        <v>0.52</v>
      </c>
      <c r="I27" s="15">
        <f t="shared" si="2"/>
        <v>1E-3</v>
      </c>
      <c r="J27" s="15">
        <f>ROUND(G27/3278-1,2)</f>
        <v>-0.65</v>
      </c>
    </row>
    <row r="28" spans="1:10" x14ac:dyDescent="0.25">
      <c r="A28" s="1" t="s">
        <v>16</v>
      </c>
      <c r="B28" s="1" t="s">
        <v>37</v>
      </c>
      <c r="C28" s="10"/>
      <c r="D28" s="10"/>
      <c r="E28" s="10">
        <v>1260</v>
      </c>
      <c r="F28" s="10"/>
      <c r="G28" s="10">
        <f t="shared" si="0"/>
        <v>1260</v>
      </c>
      <c r="H28" s="16">
        <f t="shared" si="1"/>
        <v>0.56000000000000005</v>
      </c>
      <c r="I28" s="15">
        <f t="shared" si="2"/>
        <v>1E-3</v>
      </c>
      <c r="J28" s="15">
        <f>ROUND(G28/6154-1,2)</f>
        <v>-0.8</v>
      </c>
    </row>
    <row r="29" spans="1:10" x14ac:dyDescent="0.25">
      <c r="A29" s="1" t="s">
        <v>16</v>
      </c>
      <c r="B29" s="1" t="s">
        <v>43</v>
      </c>
      <c r="C29" s="10"/>
      <c r="D29" s="10"/>
      <c r="E29" s="10">
        <v>2748</v>
      </c>
      <c r="F29" s="10"/>
      <c r="G29" s="10">
        <f t="shared" si="0"/>
        <v>2748</v>
      </c>
      <c r="H29" s="16">
        <f t="shared" si="1"/>
        <v>1.23</v>
      </c>
      <c r="I29" s="15">
        <f t="shared" si="2"/>
        <v>3.0000000000000001E-3</v>
      </c>
      <c r="J29" s="15">
        <f>ROUND(G29/5707-1,2)</f>
        <v>-0.52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77980</v>
      </c>
      <c r="F30" s="10"/>
      <c r="G30" s="10">
        <f t="shared" si="0"/>
        <v>77980</v>
      </c>
      <c r="H30" s="16">
        <f t="shared" si="1"/>
        <v>34.92</v>
      </c>
      <c r="I30" s="15">
        <f t="shared" si="2"/>
        <v>7.6999999999999999E-2</v>
      </c>
      <c r="J30" s="15">
        <f>ROUND(G30/51930-1,2)</f>
        <v>0.5</v>
      </c>
    </row>
    <row r="31" spans="1:10" x14ac:dyDescent="0.25">
      <c r="A31" s="1" t="s">
        <v>16</v>
      </c>
      <c r="B31" s="1" t="s">
        <v>40</v>
      </c>
      <c r="C31" s="10"/>
      <c r="D31" s="10"/>
      <c r="E31" s="10">
        <v>21940</v>
      </c>
      <c r="F31" s="10"/>
      <c r="G31" s="10">
        <f t="shared" si="0"/>
        <v>21940</v>
      </c>
      <c r="H31" s="16">
        <f t="shared" si="1"/>
        <v>9.83</v>
      </c>
      <c r="I31" s="15">
        <f t="shared" si="2"/>
        <v>2.1999999999999999E-2</v>
      </c>
      <c r="J31" s="15">
        <f>ROUND(G31/19080-1,2)</f>
        <v>0.15</v>
      </c>
    </row>
    <row r="32" spans="1:10" x14ac:dyDescent="0.25">
      <c r="A32" s="1" t="s">
        <v>16</v>
      </c>
      <c r="B32" s="1" t="s">
        <v>41</v>
      </c>
      <c r="C32" s="10"/>
      <c r="D32" s="10"/>
      <c r="E32" s="10">
        <v>139550</v>
      </c>
      <c r="F32" s="10"/>
      <c r="G32" s="10">
        <f t="shared" si="0"/>
        <v>139550</v>
      </c>
      <c r="H32" s="16">
        <f t="shared" si="1"/>
        <v>62.49</v>
      </c>
      <c r="I32" s="15">
        <f t="shared" si="2"/>
        <v>0.13800000000000001</v>
      </c>
      <c r="J32" s="15">
        <f>ROUND(G32/103960-1,2)</f>
        <v>0.34</v>
      </c>
    </row>
    <row r="33" spans="1:10" x14ac:dyDescent="0.25">
      <c r="A33" s="1" t="s">
        <v>44</v>
      </c>
      <c r="B33" s="1" t="s">
        <v>45</v>
      </c>
      <c r="C33" s="10">
        <v>163160</v>
      </c>
      <c r="D33" s="10"/>
      <c r="E33" s="10"/>
      <c r="F33" s="10"/>
      <c r="G33" s="10">
        <f t="shared" si="0"/>
        <v>163160</v>
      </c>
      <c r="H33" s="16">
        <f t="shared" si="1"/>
        <v>73.069999999999993</v>
      </c>
      <c r="I33" s="15">
        <f t="shared" si="2"/>
        <v>0.16200000000000001</v>
      </c>
      <c r="J33" s="15">
        <f>ROUND(G33/155100-1,2)</f>
        <v>0.05</v>
      </c>
    </row>
    <row r="34" spans="1:10" x14ac:dyDescent="0.25">
      <c r="A34" s="1" t="s">
        <v>44</v>
      </c>
      <c r="B34" s="1" t="s">
        <v>47</v>
      </c>
      <c r="C34" s="10"/>
      <c r="D34" s="10"/>
      <c r="E34" s="10"/>
      <c r="F34" s="10">
        <v>11180</v>
      </c>
      <c r="G34" s="10">
        <f t="shared" si="0"/>
        <v>11180</v>
      </c>
      <c r="H34" s="16">
        <f t="shared" si="1"/>
        <v>5.01</v>
      </c>
      <c r="I34" s="15">
        <f t="shared" si="2"/>
        <v>1.0999999999999999E-2</v>
      </c>
      <c r="J34" s="15">
        <f>ROUND(G34/19165-1,2)</f>
        <v>-0.42</v>
      </c>
    </row>
    <row r="35" spans="1:10" x14ac:dyDescent="0.25">
      <c r="A35" s="1" t="s">
        <v>44</v>
      </c>
      <c r="B35" s="1" t="s">
        <v>46</v>
      </c>
      <c r="C35" s="10"/>
      <c r="D35" s="10"/>
      <c r="E35" s="10">
        <v>69280</v>
      </c>
      <c r="F35" s="10"/>
      <c r="G35" s="10">
        <f t="shared" si="0"/>
        <v>69280</v>
      </c>
      <c r="H35" s="16">
        <f t="shared" si="1"/>
        <v>31.03</v>
      </c>
      <c r="I35" s="15">
        <f t="shared" si="2"/>
        <v>6.9000000000000006E-2</v>
      </c>
      <c r="J35" s="15">
        <f>ROUND(G35/53380-1,2)</f>
        <v>0.3</v>
      </c>
    </row>
    <row r="36" spans="1:10" x14ac:dyDescent="0.25">
      <c r="A36" s="1" t="s">
        <v>48</v>
      </c>
      <c r="B36" s="1" t="s">
        <v>50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ROUND(G36/130-1,2)</f>
        <v>-1</v>
      </c>
    </row>
    <row r="37" spans="1:10" x14ac:dyDescent="0.25">
      <c r="A37" s="1" t="s">
        <v>48</v>
      </c>
      <c r="B37" s="1" t="s">
        <v>51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27" t="s">
        <v>12</v>
      </c>
      <c r="B38" s="27"/>
      <c r="C38" s="11">
        <f t="shared" ref="C38:H38" si="3">SUM(C8:C37)</f>
        <v>583360</v>
      </c>
      <c r="D38" s="11">
        <f t="shared" si="3"/>
        <v>195</v>
      </c>
      <c r="E38" s="11">
        <f t="shared" si="3"/>
        <v>413660</v>
      </c>
      <c r="F38" s="11">
        <f t="shared" si="3"/>
        <v>11520</v>
      </c>
      <c r="G38" s="11">
        <f t="shared" si="3"/>
        <v>1008735</v>
      </c>
      <c r="H38" s="14">
        <f t="shared" si="3"/>
        <v>451.75</v>
      </c>
      <c r="I38" s="17"/>
      <c r="J38" s="17"/>
    </row>
    <row r="39" spans="1:10" x14ac:dyDescent="0.25">
      <c r="A39" s="27" t="s">
        <v>14</v>
      </c>
      <c r="B39" s="27"/>
      <c r="C39" s="12">
        <f>ROUND(C38/G38,2)</f>
        <v>0.57999999999999996</v>
      </c>
      <c r="D39" s="12">
        <f>ROUND(D38/G38,2)</f>
        <v>0</v>
      </c>
      <c r="E39" s="12">
        <f>ROUND(E38/G38,2)</f>
        <v>0.41</v>
      </c>
      <c r="F39" s="12">
        <f>ROUND(F38/G38,2)</f>
        <v>0.01</v>
      </c>
      <c r="G39" s="13"/>
      <c r="H39" s="13"/>
      <c r="I39" s="17"/>
      <c r="J39" s="17"/>
    </row>
    <row r="40" spans="1:10" x14ac:dyDescent="0.25">
      <c r="A40" s="2" t="s">
        <v>52</v>
      </c>
      <c r="B40" s="2"/>
      <c r="C40" s="13"/>
      <c r="D40" s="13"/>
      <c r="E40" s="13"/>
      <c r="F40" s="13"/>
      <c r="G40" s="13"/>
      <c r="H40" s="13"/>
      <c r="I40" s="17"/>
      <c r="J40" s="17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A44" s="27" t="s">
        <v>53</v>
      </c>
      <c r="B44" s="27"/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4" t="s">
        <v>13</v>
      </c>
      <c r="I44" s="17"/>
      <c r="J44" s="17"/>
    </row>
    <row r="45" spans="1:10" x14ac:dyDescent="0.25">
      <c r="A45" s="22" t="s">
        <v>54</v>
      </c>
      <c r="B45" s="22"/>
      <c r="C45" s="10">
        <v>420200</v>
      </c>
      <c r="D45" s="10">
        <v>195</v>
      </c>
      <c r="E45" s="10">
        <v>344380</v>
      </c>
      <c r="F45" s="10">
        <v>340</v>
      </c>
      <c r="G45" s="10">
        <f>SUM(C45:F45)</f>
        <v>765115</v>
      </c>
      <c r="H45" s="16">
        <f>ROUND(G45/2233,2)</f>
        <v>342.64</v>
      </c>
      <c r="I45" s="9"/>
      <c r="J45" s="9"/>
    </row>
    <row r="46" spans="1:10" x14ac:dyDescent="0.25">
      <c r="A46" s="22" t="s">
        <v>55</v>
      </c>
      <c r="B46" s="22"/>
      <c r="C46" s="10">
        <v>163160</v>
      </c>
      <c r="D46" s="10">
        <v>0</v>
      </c>
      <c r="E46" s="10">
        <v>69280</v>
      </c>
      <c r="F46" s="10">
        <v>11180</v>
      </c>
      <c r="G46" s="10">
        <f>SUM(C46:F46)</f>
        <v>243620</v>
      </c>
      <c r="H46" s="16">
        <f>ROUND(G46/2233,2)</f>
        <v>109.1</v>
      </c>
      <c r="I46" s="9"/>
      <c r="J46" s="9"/>
    </row>
    <row r="47" spans="1:10" x14ac:dyDescent="0.25">
      <c r="A47" s="22" t="s">
        <v>56</v>
      </c>
      <c r="B47" s="22"/>
      <c r="C47" s="10">
        <v>0</v>
      </c>
      <c r="D47" s="10">
        <v>0</v>
      </c>
      <c r="E47" s="10">
        <v>0</v>
      </c>
      <c r="F47" s="10">
        <v>0</v>
      </c>
      <c r="G47" s="10">
        <f>SUM(C47:F47)</f>
        <v>0</v>
      </c>
      <c r="H47" s="16">
        <f>ROUND(G47/2233,2)</f>
        <v>0</v>
      </c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57</v>
      </c>
      <c r="B52" s="27"/>
      <c r="C52" s="14" t="s">
        <v>2</v>
      </c>
      <c r="D52" s="14">
        <v>2023</v>
      </c>
      <c r="E52" s="14" t="s">
        <v>59</v>
      </c>
      <c r="F52" s="13"/>
      <c r="G52" s="14" t="s">
        <v>60</v>
      </c>
      <c r="H52" s="14" t="s">
        <v>2</v>
      </c>
      <c r="I52" s="12" t="s">
        <v>61</v>
      </c>
      <c r="J52" s="12" t="s">
        <v>59</v>
      </c>
    </row>
    <row r="53" spans="1:10" x14ac:dyDescent="0.25">
      <c r="A53" s="22" t="s">
        <v>58</v>
      </c>
      <c r="B53" s="22"/>
      <c r="C53" s="7">
        <f>ROUND(0.8196, 4)</f>
        <v>0.8196</v>
      </c>
      <c r="D53" s="7">
        <f>ROUND(0.8034, 4)</f>
        <v>0.8034</v>
      </c>
      <c r="E53" s="7">
        <f>ROUND(0.777, 4)</f>
        <v>0.77700000000000002</v>
      </c>
      <c r="G53" s="3" t="s">
        <v>62</v>
      </c>
      <c r="H53" s="32" t="s">
        <v>63</v>
      </c>
      <c r="I53" s="32" t="s">
        <v>64</v>
      </c>
      <c r="J53" s="32" t="s">
        <v>65</v>
      </c>
    </row>
    <row r="54" spans="1:10" x14ac:dyDescent="0.25">
      <c r="A54" s="22" t="s">
        <v>66</v>
      </c>
      <c r="B54" s="22"/>
      <c r="C54" s="7">
        <f>ROUND(0.8099, 4)</f>
        <v>0.80989999999999995</v>
      </c>
      <c r="D54" s="7">
        <f>ROUND(0.793, 4)</f>
        <v>0.79300000000000004</v>
      </c>
      <c r="E54" s="7">
        <f>ROUND(0.7608, 4)</f>
        <v>0.76080000000000003</v>
      </c>
      <c r="G54" s="3" t="s">
        <v>67</v>
      </c>
      <c r="H54" s="22"/>
      <c r="I54" s="22"/>
      <c r="J54" s="22"/>
    </row>
    <row r="58" spans="1:10" x14ac:dyDescent="0.25">
      <c r="A58" s="27" t="s">
        <v>68</v>
      </c>
      <c r="B58" s="27"/>
      <c r="C58" s="3" t="s">
        <v>2</v>
      </c>
      <c r="D58" s="3" t="s">
        <v>149</v>
      </c>
      <c r="E58" s="3" t="s">
        <v>70</v>
      </c>
      <c r="F58" s="3" t="s">
        <v>71</v>
      </c>
      <c r="G58" s="3" t="s">
        <v>72</v>
      </c>
      <c r="H58" s="2"/>
      <c r="I58" s="2"/>
      <c r="J58" s="2"/>
    </row>
    <row r="59" spans="1:10" x14ac:dyDescent="0.25">
      <c r="A59" s="22" t="s">
        <v>73</v>
      </c>
      <c r="B59" s="22"/>
      <c r="C59" s="1">
        <v>73.069999999999993</v>
      </c>
      <c r="D59" s="1">
        <v>73.08</v>
      </c>
      <c r="E59" s="1">
        <v>92.53</v>
      </c>
      <c r="F59" s="1">
        <v>56.06</v>
      </c>
      <c r="G59" s="1">
        <f>12/11*C59</f>
        <v>79.712727272727264</v>
      </c>
    </row>
    <row r="60" spans="1:10" x14ac:dyDescent="0.25">
      <c r="A60" s="22" t="s">
        <v>74</v>
      </c>
      <c r="B60" s="22"/>
      <c r="C60" s="1">
        <v>72.319999999999993</v>
      </c>
      <c r="D60" s="1">
        <v>82.49</v>
      </c>
      <c r="E60" s="1">
        <v>61.98</v>
      </c>
      <c r="F60" s="1">
        <v>64.09</v>
      </c>
      <c r="G60" s="1">
        <f>12/11*C60</f>
        <v>78.894545454545437</v>
      </c>
    </row>
    <row r="61" spans="1:10" x14ac:dyDescent="0.25">
      <c r="A61" s="22" t="s">
        <v>75</v>
      </c>
      <c r="B61" s="22"/>
      <c r="C61" s="1">
        <v>342.64</v>
      </c>
      <c r="D61" s="1">
        <v>341.15</v>
      </c>
      <c r="E61" s="1">
        <v>291.51</v>
      </c>
      <c r="F61" s="1">
        <v>284.45</v>
      </c>
      <c r="G61" s="1">
        <f>12/11*C61</f>
        <v>373.78909090909087</v>
      </c>
    </row>
    <row r="62" spans="1:10" x14ac:dyDescent="0.25">
      <c r="A62" s="22" t="s">
        <v>76</v>
      </c>
      <c r="B62" s="22"/>
      <c r="C62" s="1">
        <v>109.1</v>
      </c>
      <c r="D62" s="1">
        <v>109.77</v>
      </c>
      <c r="E62" s="1">
        <v>116.46</v>
      </c>
      <c r="F62" s="1">
        <v>79.959999999999994</v>
      </c>
      <c r="G62" s="1">
        <f>12/11*C62</f>
        <v>119.0181818181818</v>
      </c>
    </row>
    <row r="65" spans="1:2" x14ac:dyDescent="0.25">
      <c r="A65" s="23" t="s">
        <v>60</v>
      </c>
      <c r="B65" s="24"/>
    </row>
    <row r="66" spans="1:2" x14ac:dyDescent="0.25">
      <c r="A66" s="3" t="s">
        <v>77</v>
      </c>
      <c r="B66" s="1" t="s">
        <v>150</v>
      </c>
    </row>
    <row r="67" spans="1:2" x14ac:dyDescent="0.25">
      <c r="A67" s="3" t="s">
        <v>70</v>
      </c>
      <c r="B67" s="1" t="s">
        <v>79</v>
      </c>
    </row>
    <row r="68" spans="1:2" x14ac:dyDescent="0.25">
      <c r="A68" s="3" t="s">
        <v>71</v>
      </c>
      <c r="B68" s="1" t="s">
        <v>80</v>
      </c>
    </row>
    <row r="69" spans="1:2" x14ac:dyDescent="0.25">
      <c r="A69" s="3" t="s">
        <v>72</v>
      </c>
      <c r="B69" s="1" t="s">
        <v>81</v>
      </c>
    </row>
  </sheetData>
  <mergeCells count="19">
    <mergeCell ref="C7:G7"/>
    <mergeCell ref="A38:B38"/>
    <mergeCell ref="A39:B39"/>
    <mergeCell ref="A44:B44"/>
    <mergeCell ref="A45:B45"/>
    <mergeCell ref="J53:J54"/>
    <mergeCell ref="A54:B54"/>
    <mergeCell ref="A58:B58"/>
    <mergeCell ref="A59:B59"/>
    <mergeCell ref="A46:B46"/>
    <mergeCell ref="A47:B47"/>
    <mergeCell ref="A52:B52"/>
    <mergeCell ref="A53:B53"/>
    <mergeCell ref="H53:H54"/>
    <mergeCell ref="A60:B60"/>
    <mergeCell ref="A61:B61"/>
    <mergeCell ref="A62:B62"/>
    <mergeCell ref="A65:B65"/>
    <mergeCell ref="I53:I5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J73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1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151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150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/>
      <c r="D9" s="10">
        <v>7750</v>
      </c>
      <c r="E9" s="10"/>
      <c r="F9" s="10"/>
      <c r="G9" s="10">
        <f t="shared" ref="G9:G20" si="0">SUM(C9:F9)</f>
        <v>7750</v>
      </c>
      <c r="H9" s="16">
        <f t="shared" ref="H9:H20" si="1">ROUND(G9/150,2)</f>
        <v>51.67</v>
      </c>
      <c r="I9" s="15">
        <f t="shared" ref="I9:I20" si="2">ROUND(G9/$G$21,3)</f>
        <v>0.108</v>
      </c>
      <c r="J9" s="15">
        <f>ROUND(G9/7815-1,2)</f>
        <v>-0.01</v>
      </c>
    </row>
    <row r="10" spans="1:10" x14ac:dyDescent="0.25">
      <c r="A10" s="1" t="s">
        <v>16</v>
      </c>
      <c r="B10" s="1" t="s">
        <v>20</v>
      </c>
      <c r="C10" s="10"/>
      <c r="D10" s="10">
        <v>7105</v>
      </c>
      <c r="E10" s="10"/>
      <c r="F10" s="10"/>
      <c r="G10" s="10">
        <f t="shared" si="0"/>
        <v>7105</v>
      </c>
      <c r="H10" s="16">
        <f t="shared" si="1"/>
        <v>47.37</v>
      </c>
      <c r="I10" s="15">
        <f t="shared" si="2"/>
        <v>9.9000000000000005E-2</v>
      </c>
      <c r="J10" s="15">
        <f>ROUND(G10/7540-1,2)</f>
        <v>-0.06</v>
      </c>
    </row>
    <row r="11" spans="1:10" x14ac:dyDescent="0.25">
      <c r="A11" s="1" t="s">
        <v>16</v>
      </c>
      <c r="B11" s="1" t="s">
        <v>24</v>
      </c>
      <c r="C11" s="10"/>
      <c r="D11" s="10">
        <v>9540</v>
      </c>
      <c r="E11" s="10"/>
      <c r="F11" s="10"/>
      <c r="G11" s="10">
        <f t="shared" si="0"/>
        <v>9540</v>
      </c>
      <c r="H11" s="16">
        <f t="shared" si="1"/>
        <v>63.6</v>
      </c>
      <c r="I11" s="15">
        <f t="shared" si="2"/>
        <v>0.13300000000000001</v>
      </c>
      <c r="J11" s="15">
        <f>ROUND(G11/8260-1,2)</f>
        <v>0.15</v>
      </c>
    </row>
    <row r="12" spans="1:10" x14ac:dyDescent="0.25">
      <c r="A12" s="1" t="s">
        <v>16</v>
      </c>
      <c r="B12" s="1" t="s">
        <v>26</v>
      </c>
      <c r="C12" s="10">
        <v>2220</v>
      </c>
      <c r="D12" s="10">
        <v>4410</v>
      </c>
      <c r="E12" s="10"/>
      <c r="F12" s="10">
        <v>80</v>
      </c>
      <c r="G12" s="10">
        <f t="shared" si="0"/>
        <v>6710</v>
      </c>
      <c r="H12" s="16">
        <f t="shared" si="1"/>
        <v>44.73</v>
      </c>
      <c r="I12" s="15">
        <f t="shared" si="2"/>
        <v>9.2999999999999999E-2</v>
      </c>
      <c r="J12" s="15">
        <f>ROUND(G12/160-1,2)</f>
        <v>40.94</v>
      </c>
    </row>
    <row r="13" spans="1:10" x14ac:dyDescent="0.25">
      <c r="A13" s="1" t="s">
        <v>16</v>
      </c>
      <c r="B13" s="1" t="s">
        <v>33</v>
      </c>
      <c r="C13" s="10"/>
      <c r="D13" s="10">
        <v>82</v>
      </c>
      <c r="E13" s="10">
        <v>16</v>
      </c>
      <c r="F13" s="10"/>
      <c r="G13" s="10">
        <f t="shared" si="0"/>
        <v>98</v>
      </c>
      <c r="H13" s="16">
        <f t="shared" si="1"/>
        <v>0.65</v>
      </c>
      <c r="I13" s="15">
        <f t="shared" si="2"/>
        <v>1E-3</v>
      </c>
      <c r="J13" s="15">
        <f>ROUND(G13/64-1,2)</f>
        <v>0.53</v>
      </c>
    </row>
    <row r="14" spans="1:10" x14ac:dyDescent="0.25">
      <c r="A14" s="1" t="s">
        <v>16</v>
      </c>
      <c r="B14" s="1" t="s">
        <v>35</v>
      </c>
      <c r="C14" s="10"/>
      <c r="D14" s="10">
        <v>60</v>
      </c>
      <c r="E14" s="10"/>
      <c r="F14" s="10"/>
      <c r="G14" s="10">
        <f t="shared" si="0"/>
        <v>60</v>
      </c>
      <c r="H14" s="16">
        <f t="shared" si="1"/>
        <v>0.4</v>
      </c>
      <c r="I14" s="15">
        <f t="shared" si="2"/>
        <v>1E-3</v>
      </c>
      <c r="J14" s="15">
        <f>ROUND(G14/51-1,2)</f>
        <v>0.18</v>
      </c>
    </row>
    <row r="15" spans="1:10" x14ac:dyDescent="0.25">
      <c r="A15" s="1" t="s">
        <v>16</v>
      </c>
      <c r="B15" s="1" t="s">
        <v>40</v>
      </c>
      <c r="C15" s="10"/>
      <c r="D15" s="10"/>
      <c r="E15" s="10">
        <v>2770</v>
      </c>
      <c r="F15" s="10"/>
      <c r="G15" s="10">
        <f t="shared" si="0"/>
        <v>2770</v>
      </c>
      <c r="H15" s="16">
        <f t="shared" si="1"/>
        <v>18.47</v>
      </c>
      <c r="I15" s="15">
        <f t="shared" si="2"/>
        <v>3.9E-2</v>
      </c>
      <c r="J15" s="15">
        <f>ROUND(G15/2830-1,2)</f>
        <v>-0.02</v>
      </c>
    </row>
    <row r="16" spans="1:10" x14ac:dyDescent="0.25">
      <c r="A16" s="1" t="s">
        <v>16</v>
      </c>
      <c r="B16" s="1" t="s">
        <v>41</v>
      </c>
      <c r="C16" s="10"/>
      <c r="D16" s="10"/>
      <c r="E16" s="10">
        <v>1620</v>
      </c>
      <c r="F16" s="10"/>
      <c r="G16" s="10">
        <f t="shared" si="0"/>
        <v>1620</v>
      </c>
      <c r="H16" s="16">
        <f t="shared" si="1"/>
        <v>10.8</v>
      </c>
      <c r="I16" s="15">
        <f t="shared" si="2"/>
        <v>2.3E-2</v>
      </c>
      <c r="J16" s="15">
        <f>ROUND(G16/6960-1,2)</f>
        <v>-0.77</v>
      </c>
    </row>
    <row r="17" spans="1:10" x14ac:dyDescent="0.25">
      <c r="A17" s="1" t="s">
        <v>16</v>
      </c>
      <c r="B17" s="1" t="s">
        <v>23</v>
      </c>
      <c r="C17" s="10"/>
      <c r="D17" s="10"/>
      <c r="E17" s="10"/>
      <c r="F17" s="10"/>
      <c r="G17" s="10">
        <f t="shared" si="0"/>
        <v>0</v>
      </c>
      <c r="H17" s="16">
        <f t="shared" si="1"/>
        <v>0</v>
      </c>
      <c r="I17" s="15">
        <f t="shared" si="2"/>
        <v>0</v>
      </c>
      <c r="J17" s="15"/>
    </row>
    <row r="18" spans="1:10" x14ac:dyDescent="0.25">
      <c r="A18" s="1" t="s">
        <v>44</v>
      </c>
      <c r="B18" s="1" t="s">
        <v>45</v>
      </c>
      <c r="C18" s="10"/>
      <c r="D18" s="10">
        <v>30920</v>
      </c>
      <c r="E18" s="10"/>
      <c r="F18" s="10"/>
      <c r="G18" s="10">
        <f t="shared" si="0"/>
        <v>30920</v>
      </c>
      <c r="H18" s="16">
        <f t="shared" si="1"/>
        <v>206.13</v>
      </c>
      <c r="I18" s="15">
        <f t="shared" si="2"/>
        <v>0.43099999999999999</v>
      </c>
      <c r="J18" s="15">
        <f>ROUND(G18/29335-1,2)</f>
        <v>0.05</v>
      </c>
    </row>
    <row r="19" spans="1:10" x14ac:dyDescent="0.25">
      <c r="A19" s="1" t="s">
        <v>44</v>
      </c>
      <c r="B19" s="1" t="s">
        <v>46</v>
      </c>
      <c r="C19" s="10"/>
      <c r="D19" s="10"/>
      <c r="E19" s="10">
        <v>5200</v>
      </c>
      <c r="F19" s="10"/>
      <c r="G19" s="10">
        <f t="shared" si="0"/>
        <v>5200</v>
      </c>
      <c r="H19" s="16">
        <f t="shared" si="1"/>
        <v>34.67</v>
      </c>
      <c r="I19" s="15">
        <f t="shared" si="2"/>
        <v>7.1999999999999995E-2</v>
      </c>
      <c r="J19" s="15">
        <f>ROUND(G19/7000-1,2)</f>
        <v>-0.26</v>
      </c>
    </row>
    <row r="20" spans="1:10" x14ac:dyDescent="0.25">
      <c r="A20" s="1" t="s">
        <v>48</v>
      </c>
      <c r="B20" s="1" t="s">
        <v>51</v>
      </c>
      <c r="C20" s="10"/>
      <c r="D20" s="10"/>
      <c r="E20" s="10"/>
      <c r="F20" s="10"/>
      <c r="G20" s="10">
        <f t="shared" si="0"/>
        <v>0</v>
      </c>
      <c r="H20" s="16">
        <f t="shared" si="1"/>
        <v>0</v>
      </c>
      <c r="I20" s="15">
        <f t="shared" si="2"/>
        <v>0</v>
      </c>
      <c r="J20" s="15"/>
    </row>
    <row r="21" spans="1:10" x14ac:dyDescent="0.25">
      <c r="A21" s="27" t="s">
        <v>12</v>
      </c>
      <c r="B21" s="27"/>
      <c r="C21" s="11">
        <f t="shared" ref="C21:H21" si="3">SUM(C8:C20)</f>
        <v>2220</v>
      </c>
      <c r="D21" s="11">
        <f t="shared" si="3"/>
        <v>59867</v>
      </c>
      <c r="E21" s="11">
        <f t="shared" si="3"/>
        <v>9606</v>
      </c>
      <c r="F21" s="11">
        <f t="shared" si="3"/>
        <v>80</v>
      </c>
      <c r="G21" s="11">
        <f t="shared" si="3"/>
        <v>71773</v>
      </c>
      <c r="H21" s="14">
        <f t="shared" si="3"/>
        <v>478.49</v>
      </c>
      <c r="I21" s="17"/>
      <c r="J21" s="17"/>
    </row>
    <row r="22" spans="1:10" x14ac:dyDescent="0.25">
      <c r="A22" s="27" t="s">
        <v>14</v>
      </c>
      <c r="B22" s="27"/>
      <c r="C22" s="12">
        <f>ROUND(C21/G21,2)</f>
        <v>0.03</v>
      </c>
      <c r="D22" s="12">
        <f>ROUND(D21/G21,2)</f>
        <v>0.83</v>
      </c>
      <c r="E22" s="12">
        <f>ROUND(E21/G21,2)</f>
        <v>0.13</v>
      </c>
      <c r="F22" s="12">
        <f>ROUND(F21/G21,2)</f>
        <v>0</v>
      </c>
      <c r="G22" s="13"/>
      <c r="H22" s="13"/>
      <c r="I22" s="17"/>
      <c r="J22" s="17"/>
    </row>
    <row r="23" spans="1:10" x14ac:dyDescent="0.25">
      <c r="A23" s="2" t="s">
        <v>52</v>
      </c>
      <c r="B23" s="2"/>
      <c r="C23" s="13"/>
      <c r="D23" s="13"/>
      <c r="E23" s="13"/>
      <c r="F23" s="13"/>
      <c r="G23" s="13"/>
      <c r="H23" s="13"/>
      <c r="I23" s="17"/>
      <c r="J23" s="17"/>
    </row>
    <row r="24" spans="1:10" x14ac:dyDescent="0.25">
      <c r="C24" s="8"/>
      <c r="D24" s="8"/>
      <c r="E24" s="8"/>
      <c r="F24" s="8"/>
      <c r="G24" s="8"/>
      <c r="H24" s="8"/>
      <c r="I24" s="9"/>
      <c r="J24" s="9"/>
    </row>
    <row r="25" spans="1:10" x14ac:dyDescent="0.25">
      <c r="C25" s="8"/>
      <c r="D25" s="8"/>
      <c r="E25" s="8"/>
      <c r="F25" s="8"/>
      <c r="G25" s="8"/>
      <c r="H25" s="8"/>
      <c r="I25" s="9"/>
      <c r="J25" s="9"/>
    </row>
    <row r="26" spans="1:10" x14ac:dyDescent="0.25">
      <c r="C26" s="8"/>
      <c r="D26" s="8"/>
      <c r="E26" s="8"/>
      <c r="F26" s="8"/>
      <c r="G26" s="8"/>
      <c r="H26" s="8"/>
      <c r="I26" s="9"/>
      <c r="J26" s="9"/>
    </row>
    <row r="27" spans="1:10" x14ac:dyDescent="0.25">
      <c r="A27" s="27" t="s">
        <v>53</v>
      </c>
      <c r="B27" s="27"/>
      <c r="C27" s="11" t="s">
        <v>8</v>
      </c>
      <c r="D27" s="11" t="s">
        <v>9</v>
      </c>
      <c r="E27" s="11" t="s">
        <v>10</v>
      </c>
      <c r="F27" s="11" t="s">
        <v>11</v>
      </c>
      <c r="G27" s="11" t="s">
        <v>12</v>
      </c>
      <c r="H27" s="14" t="s">
        <v>13</v>
      </c>
      <c r="I27" s="17"/>
      <c r="J27" s="17"/>
    </row>
    <row r="28" spans="1:10" x14ac:dyDescent="0.25">
      <c r="A28" s="22" t="s">
        <v>54</v>
      </c>
      <c r="B28" s="22"/>
      <c r="C28" s="10">
        <v>2220</v>
      </c>
      <c r="D28" s="10">
        <v>28947</v>
      </c>
      <c r="E28" s="10">
        <v>4406</v>
      </c>
      <c r="F28" s="10">
        <v>80</v>
      </c>
      <c r="G28" s="10">
        <f>SUM(C28:F28)</f>
        <v>35653</v>
      </c>
      <c r="H28" s="16">
        <f>ROUND(G28/150,2)</f>
        <v>237.69</v>
      </c>
      <c r="I28" s="9"/>
      <c r="J28" s="9"/>
    </row>
    <row r="29" spans="1:10" x14ac:dyDescent="0.25">
      <c r="A29" s="22" t="s">
        <v>55</v>
      </c>
      <c r="B29" s="22"/>
      <c r="C29" s="10">
        <v>0</v>
      </c>
      <c r="D29" s="10">
        <v>30920</v>
      </c>
      <c r="E29" s="10">
        <v>5200</v>
      </c>
      <c r="F29" s="10">
        <v>0</v>
      </c>
      <c r="G29" s="10">
        <f>SUM(C29:F29)</f>
        <v>36120</v>
      </c>
      <c r="H29" s="16">
        <f>ROUND(G29/150,2)</f>
        <v>240.8</v>
      </c>
      <c r="I29" s="9"/>
      <c r="J29" s="9"/>
    </row>
    <row r="30" spans="1:10" x14ac:dyDescent="0.25">
      <c r="A30" s="22" t="s">
        <v>56</v>
      </c>
      <c r="B30" s="22"/>
      <c r="C30" s="10">
        <v>0</v>
      </c>
      <c r="D30" s="10">
        <v>0</v>
      </c>
      <c r="E30" s="10">
        <v>0</v>
      </c>
      <c r="F30" s="10">
        <v>0</v>
      </c>
      <c r="G30" s="10">
        <f>SUM(C30:F30)</f>
        <v>0</v>
      </c>
      <c r="H30" s="16">
        <f>ROUND(G30/150,2)</f>
        <v>0</v>
      </c>
      <c r="I30" s="9"/>
      <c r="J30" s="9"/>
    </row>
    <row r="31" spans="1:10" x14ac:dyDescent="0.25">
      <c r="C31" s="8"/>
      <c r="D31" s="8"/>
      <c r="E31" s="8"/>
      <c r="F31" s="8"/>
      <c r="G31" s="8"/>
      <c r="H31" s="8"/>
      <c r="I31" s="9"/>
      <c r="J31" s="9"/>
    </row>
    <row r="32" spans="1:10" x14ac:dyDescent="0.25">
      <c r="C32" s="8"/>
      <c r="D32" s="8"/>
      <c r="E32" s="8"/>
      <c r="F32" s="8"/>
      <c r="G32" s="8"/>
      <c r="H32" s="8"/>
      <c r="I32" s="9"/>
      <c r="J32" s="9"/>
    </row>
    <row r="33" spans="1:10" x14ac:dyDescent="0.25">
      <c r="C33" s="8"/>
      <c r="D33" s="8"/>
      <c r="E33" s="8"/>
      <c r="F33" s="8"/>
      <c r="G33" s="8"/>
      <c r="H33" s="8"/>
      <c r="I33" s="9"/>
      <c r="J33" s="9"/>
    </row>
    <row r="34" spans="1:10" x14ac:dyDescent="0.25">
      <c r="C34" s="8"/>
      <c r="D34" s="8"/>
      <c r="E34" s="8"/>
      <c r="F34" s="8"/>
      <c r="G34" s="8"/>
      <c r="H34" s="8"/>
      <c r="I34" s="9"/>
      <c r="J34" s="9"/>
    </row>
    <row r="35" spans="1:10" x14ac:dyDescent="0.25">
      <c r="A35" s="27" t="s">
        <v>57</v>
      </c>
      <c r="B35" s="27"/>
      <c r="C35" s="14" t="s">
        <v>2</v>
      </c>
      <c r="D35" s="14">
        <v>2023</v>
      </c>
      <c r="E35" s="14" t="s">
        <v>59</v>
      </c>
      <c r="F35" s="13"/>
      <c r="G35" s="14" t="s">
        <v>60</v>
      </c>
      <c r="H35" s="14" t="s">
        <v>2</v>
      </c>
      <c r="I35" s="12" t="s">
        <v>61</v>
      </c>
      <c r="J35" s="12" t="s">
        <v>59</v>
      </c>
    </row>
    <row r="36" spans="1:10" x14ac:dyDescent="0.25">
      <c r="A36" s="22" t="s">
        <v>58</v>
      </c>
      <c r="B36" s="22"/>
      <c r="C36" s="15">
        <f>ROUND(0.5614, 4)</f>
        <v>0.56140000000000001</v>
      </c>
      <c r="D36" s="15">
        <f>ROUND(0.5817, 4)</f>
        <v>0.58169999999999999</v>
      </c>
      <c r="E36" s="15">
        <f>ROUND(0.777, 4)</f>
        <v>0.77700000000000002</v>
      </c>
      <c r="F36" s="8"/>
      <c r="G36" s="14" t="s">
        <v>62</v>
      </c>
      <c r="H36" s="28" t="s">
        <v>63</v>
      </c>
      <c r="I36" s="25" t="s">
        <v>64</v>
      </c>
      <c r="J36" s="25" t="s">
        <v>65</v>
      </c>
    </row>
    <row r="37" spans="1:10" x14ac:dyDescent="0.25">
      <c r="A37" s="22" t="s">
        <v>66</v>
      </c>
      <c r="B37" s="22"/>
      <c r="C37" s="15">
        <f>ROUND(0.5212, 4)</f>
        <v>0.5212</v>
      </c>
      <c r="D37" s="15">
        <f>ROUND(0.5406, 4)</f>
        <v>0.54059999999999997</v>
      </c>
      <c r="E37" s="15">
        <f>ROUND(0.7608, 4)</f>
        <v>0.76080000000000003</v>
      </c>
      <c r="F37" s="8"/>
      <c r="G37" s="14" t="s">
        <v>67</v>
      </c>
      <c r="H37" s="29"/>
      <c r="I37" s="26"/>
      <c r="J37" s="26"/>
    </row>
    <row r="38" spans="1:10" x14ac:dyDescent="0.25">
      <c r="C38" s="8"/>
      <c r="D38" s="8"/>
      <c r="E38" s="8"/>
      <c r="F38" s="8"/>
      <c r="G38" s="8"/>
      <c r="H38" s="8"/>
      <c r="I38" s="9"/>
      <c r="J38" s="9"/>
    </row>
    <row r="39" spans="1:10" x14ac:dyDescent="0.25">
      <c r="C39" s="8"/>
      <c r="D39" s="8"/>
      <c r="E39" s="8"/>
      <c r="F39" s="8"/>
      <c r="G39" s="8"/>
      <c r="H39" s="8"/>
      <c r="I39" s="9"/>
      <c r="J39" s="9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A41" s="27" t="s">
        <v>68</v>
      </c>
      <c r="B41" s="27"/>
      <c r="C41" s="14" t="s">
        <v>2</v>
      </c>
      <c r="D41" s="14" t="s">
        <v>152</v>
      </c>
      <c r="E41" s="14" t="s">
        <v>70</v>
      </c>
      <c r="F41" s="14" t="s">
        <v>71</v>
      </c>
      <c r="G41" s="14" t="s">
        <v>72</v>
      </c>
      <c r="H41" s="13"/>
      <c r="I41" s="17"/>
      <c r="J41" s="17"/>
    </row>
    <row r="42" spans="1:10" x14ac:dyDescent="0.25">
      <c r="A42" s="22" t="s">
        <v>73</v>
      </c>
      <c r="B42" s="22"/>
      <c r="C42" s="16">
        <v>206.13</v>
      </c>
      <c r="D42" s="16">
        <v>194.81</v>
      </c>
      <c r="E42" s="16">
        <v>92.53</v>
      </c>
      <c r="F42" s="16">
        <v>56.06</v>
      </c>
      <c r="G42" s="16">
        <f>12/11*C42</f>
        <v>224.86909090909089</v>
      </c>
      <c r="H42" s="8"/>
      <c r="I42" s="9"/>
      <c r="J42" s="9"/>
    </row>
    <row r="43" spans="1:10" x14ac:dyDescent="0.25">
      <c r="A43" s="22" t="s">
        <v>74</v>
      </c>
      <c r="B43" s="22"/>
      <c r="C43" s="16">
        <v>44.73</v>
      </c>
      <c r="D43" s="16">
        <v>38.520000000000003</v>
      </c>
      <c r="E43" s="16">
        <v>61.98</v>
      </c>
      <c r="F43" s="16">
        <v>64.09</v>
      </c>
      <c r="G43" s="16">
        <f>12/11*C43</f>
        <v>48.79636363636363</v>
      </c>
      <c r="H43" s="8"/>
      <c r="I43" s="9"/>
      <c r="J43" s="9"/>
    </row>
    <row r="44" spans="1:10" x14ac:dyDescent="0.25">
      <c r="A44" s="22" t="s">
        <v>75</v>
      </c>
      <c r="B44" s="22"/>
      <c r="C44" s="16">
        <v>237.69</v>
      </c>
      <c r="D44" s="16">
        <v>276.62</v>
      </c>
      <c r="E44" s="16">
        <v>291.51</v>
      </c>
      <c r="F44" s="16">
        <v>284.45</v>
      </c>
      <c r="G44" s="16">
        <f>12/11*C44</f>
        <v>259.29818181818177</v>
      </c>
      <c r="H44" s="8"/>
      <c r="I44" s="9"/>
      <c r="J44" s="9"/>
    </row>
    <row r="45" spans="1:10" x14ac:dyDescent="0.25">
      <c r="A45" s="22" t="s">
        <v>76</v>
      </c>
      <c r="B45" s="22"/>
      <c r="C45" s="16">
        <v>240.8</v>
      </c>
      <c r="D45" s="16">
        <v>255.53</v>
      </c>
      <c r="E45" s="16">
        <v>116.46</v>
      </c>
      <c r="F45" s="16">
        <v>79.959999999999994</v>
      </c>
      <c r="G45" s="16">
        <f>12/11*C45</f>
        <v>262.69090909090909</v>
      </c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A48" s="23" t="s">
        <v>60</v>
      </c>
      <c r="B48" s="24"/>
      <c r="C48" s="8"/>
      <c r="D48" s="8"/>
      <c r="E48" s="8"/>
      <c r="F48" s="8"/>
      <c r="G48" s="8"/>
      <c r="H48" s="8"/>
      <c r="I48" s="9"/>
      <c r="J48" s="9"/>
    </row>
    <row r="49" spans="1:10" x14ac:dyDescent="0.25">
      <c r="A49" s="3" t="s">
        <v>77</v>
      </c>
      <c r="B49" s="1" t="s">
        <v>153</v>
      </c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3" t="s">
        <v>70</v>
      </c>
      <c r="B50" s="1" t="s">
        <v>79</v>
      </c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3" t="s">
        <v>71</v>
      </c>
      <c r="B51" s="1" t="s">
        <v>80</v>
      </c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3" t="s">
        <v>72</v>
      </c>
      <c r="B52" s="1" t="s">
        <v>81</v>
      </c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3:10" x14ac:dyDescent="0.25">
      <c r="C65" s="8"/>
      <c r="D65" s="8"/>
      <c r="E65" s="8"/>
      <c r="F65" s="8"/>
      <c r="G65" s="8"/>
      <c r="H65" s="8"/>
      <c r="I65" s="9"/>
      <c r="J65" s="9"/>
    </row>
    <row r="66" spans="3:10" x14ac:dyDescent="0.25">
      <c r="C66" s="8"/>
      <c r="D66" s="8"/>
      <c r="E66" s="8"/>
      <c r="F66" s="8"/>
      <c r="G66" s="8"/>
      <c r="H66" s="8"/>
      <c r="I66" s="9"/>
      <c r="J66" s="9"/>
    </row>
    <row r="67" spans="3:10" x14ac:dyDescent="0.25">
      <c r="C67" s="8"/>
      <c r="D67" s="8"/>
      <c r="E67" s="8"/>
      <c r="F67" s="8"/>
      <c r="G67" s="8"/>
      <c r="H67" s="8"/>
      <c r="I67" s="9"/>
      <c r="J67" s="9"/>
    </row>
    <row r="68" spans="3:10" x14ac:dyDescent="0.25">
      <c r="C68" s="8"/>
      <c r="D68" s="8"/>
      <c r="E68" s="8"/>
      <c r="F68" s="8"/>
      <c r="G68" s="8"/>
      <c r="H68" s="8"/>
      <c r="I68" s="9"/>
      <c r="J68" s="9"/>
    </row>
    <row r="69" spans="3:10" x14ac:dyDescent="0.25">
      <c r="C69" s="8"/>
      <c r="D69" s="8"/>
      <c r="E69" s="8"/>
      <c r="F69" s="8"/>
      <c r="G69" s="8"/>
      <c r="H69" s="8"/>
      <c r="I69" s="9"/>
      <c r="J69" s="9"/>
    </row>
    <row r="70" spans="3:10" x14ac:dyDescent="0.25">
      <c r="C70" s="8"/>
      <c r="D70" s="8"/>
      <c r="E70" s="8"/>
      <c r="F70" s="8"/>
      <c r="G70" s="8"/>
      <c r="H70" s="8"/>
      <c r="I70" s="9"/>
      <c r="J70" s="9"/>
    </row>
    <row r="71" spans="3:10" x14ac:dyDescent="0.25">
      <c r="C71" s="8"/>
      <c r="D71" s="8"/>
      <c r="E71" s="8"/>
      <c r="F71" s="8"/>
      <c r="G71" s="8"/>
      <c r="H71" s="8"/>
      <c r="I71" s="9"/>
      <c r="J71" s="9"/>
    </row>
    <row r="72" spans="3:10" x14ac:dyDescent="0.25">
      <c r="C72" s="8"/>
      <c r="D72" s="8"/>
      <c r="E72" s="8"/>
      <c r="F72" s="8"/>
      <c r="G72" s="8"/>
      <c r="H72" s="8"/>
      <c r="I72" s="9"/>
      <c r="J72" s="9"/>
    </row>
    <row r="73" spans="3:10" x14ac:dyDescent="0.25">
      <c r="C73" s="8"/>
      <c r="D73" s="8"/>
      <c r="E73" s="8"/>
      <c r="F73" s="8"/>
      <c r="G73" s="8"/>
      <c r="H73" s="8"/>
      <c r="I73" s="9"/>
      <c r="J73" s="9"/>
    </row>
  </sheetData>
  <mergeCells count="19">
    <mergeCell ref="C7:G7"/>
    <mergeCell ref="A21:B21"/>
    <mergeCell ref="A22:B22"/>
    <mergeCell ref="A27:B27"/>
    <mergeCell ref="A28:B28"/>
    <mergeCell ref="J36:J37"/>
    <mergeCell ref="A37:B37"/>
    <mergeCell ref="A41:B41"/>
    <mergeCell ref="A42:B42"/>
    <mergeCell ref="A29:B29"/>
    <mergeCell ref="A30:B30"/>
    <mergeCell ref="A35:B35"/>
    <mergeCell ref="A36:B36"/>
    <mergeCell ref="H36:H37"/>
    <mergeCell ref="A43:B43"/>
    <mergeCell ref="A44:B44"/>
    <mergeCell ref="A45:B45"/>
    <mergeCell ref="A48:B48"/>
    <mergeCell ref="I36:I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74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82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894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19</v>
      </c>
      <c r="F9" s="10"/>
      <c r="G9" s="10">
        <f t="shared" ref="G9:G37" si="0">SUM(C9:F9)</f>
        <v>19</v>
      </c>
      <c r="H9" s="16">
        <f t="shared" ref="H9:H37" si="1">ROUND(G9/894,2)</f>
        <v>0.02</v>
      </c>
      <c r="I9" s="15">
        <f t="shared" ref="I9:I37" si="2">ROUND(G9/$G$38,3)</f>
        <v>0</v>
      </c>
      <c r="J9" s="15"/>
    </row>
    <row r="10" spans="1:10" x14ac:dyDescent="0.25">
      <c r="A10" s="1" t="s">
        <v>16</v>
      </c>
      <c r="B10" s="1" t="s">
        <v>19</v>
      </c>
      <c r="C10" s="10">
        <v>23870</v>
      </c>
      <c r="D10" s="10"/>
      <c r="E10" s="10">
        <v>4555</v>
      </c>
      <c r="F10" s="10"/>
      <c r="G10" s="10">
        <f t="shared" si="0"/>
        <v>28425</v>
      </c>
      <c r="H10" s="16">
        <f t="shared" si="1"/>
        <v>31.8</v>
      </c>
      <c r="I10" s="15">
        <f t="shared" si="2"/>
        <v>6.5000000000000002E-2</v>
      </c>
      <c r="J10" s="15">
        <f>ROUND(G10/25457.95-1,2)</f>
        <v>0.12</v>
      </c>
    </row>
    <row r="11" spans="1:10" x14ac:dyDescent="0.25">
      <c r="A11" s="1" t="s">
        <v>16</v>
      </c>
      <c r="B11" s="1" t="s">
        <v>20</v>
      </c>
      <c r="C11" s="10">
        <v>37745</v>
      </c>
      <c r="D11" s="10"/>
      <c r="E11" s="10">
        <v>2025</v>
      </c>
      <c r="F11" s="10"/>
      <c r="G11" s="10">
        <f t="shared" si="0"/>
        <v>39770</v>
      </c>
      <c r="H11" s="16">
        <f t="shared" si="1"/>
        <v>44.49</v>
      </c>
      <c r="I11" s="15">
        <f t="shared" si="2"/>
        <v>9.0999999999999998E-2</v>
      </c>
      <c r="J11" s="15">
        <f>ROUND(G11/38010-1,2)</f>
        <v>0.05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229</v>
      </c>
      <c r="F12" s="10"/>
      <c r="G12" s="10">
        <f t="shared" si="0"/>
        <v>229</v>
      </c>
      <c r="H12" s="16">
        <f t="shared" si="1"/>
        <v>0.26</v>
      </c>
      <c r="I12" s="15">
        <f t="shared" si="2"/>
        <v>1E-3</v>
      </c>
      <c r="J12" s="15">
        <f>ROUND(G12/70-1,2)</f>
        <v>2.27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1990</v>
      </c>
      <c r="F13" s="10"/>
      <c r="G13" s="10">
        <f t="shared" si="0"/>
        <v>1990</v>
      </c>
      <c r="H13" s="16">
        <f t="shared" si="1"/>
        <v>2.23</v>
      </c>
      <c r="I13" s="15">
        <f t="shared" si="2"/>
        <v>5.0000000000000001E-3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57409</v>
      </c>
      <c r="F14" s="10"/>
      <c r="G14" s="10">
        <f t="shared" si="0"/>
        <v>57409</v>
      </c>
      <c r="H14" s="16">
        <f t="shared" si="1"/>
        <v>64.22</v>
      </c>
      <c r="I14" s="15">
        <f t="shared" si="2"/>
        <v>0.13200000000000001</v>
      </c>
      <c r="J14" s="15">
        <f>ROUND(G14/3630.85-1,2)</f>
        <v>14.81</v>
      </c>
    </row>
    <row r="15" spans="1:10" x14ac:dyDescent="0.25">
      <c r="A15" s="1" t="s">
        <v>16</v>
      </c>
      <c r="B15" s="1" t="s">
        <v>24</v>
      </c>
      <c r="C15" s="10">
        <v>28630</v>
      </c>
      <c r="D15" s="10"/>
      <c r="E15" s="10">
        <v>14547</v>
      </c>
      <c r="F15" s="10"/>
      <c r="G15" s="10">
        <f t="shared" si="0"/>
        <v>43177</v>
      </c>
      <c r="H15" s="16">
        <f t="shared" si="1"/>
        <v>48.3</v>
      </c>
      <c r="I15" s="15">
        <f t="shared" si="2"/>
        <v>9.9000000000000005E-2</v>
      </c>
      <c r="J15" s="15">
        <f>ROUND(G15/34609-1,2)</f>
        <v>0.25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2737</v>
      </c>
      <c r="F16" s="10"/>
      <c r="G16" s="10">
        <f t="shared" si="0"/>
        <v>2737</v>
      </c>
      <c r="H16" s="16">
        <f t="shared" si="1"/>
        <v>3.06</v>
      </c>
      <c r="I16" s="15">
        <f t="shared" si="2"/>
        <v>6.0000000000000001E-3</v>
      </c>
      <c r="J16" s="15"/>
    </row>
    <row r="17" spans="1:10" x14ac:dyDescent="0.25">
      <c r="A17" s="1" t="s">
        <v>16</v>
      </c>
      <c r="B17" s="1" t="s">
        <v>26</v>
      </c>
      <c r="C17" s="10">
        <v>30010</v>
      </c>
      <c r="D17" s="10"/>
      <c r="E17" s="10"/>
      <c r="F17" s="10"/>
      <c r="G17" s="10">
        <f t="shared" si="0"/>
        <v>30010</v>
      </c>
      <c r="H17" s="16">
        <f t="shared" si="1"/>
        <v>33.57</v>
      </c>
      <c r="I17" s="15">
        <f t="shared" si="2"/>
        <v>6.9000000000000006E-2</v>
      </c>
      <c r="J17" s="15">
        <f>ROUND(G17/28450-1,2)</f>
        <v>0.05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723</v>
      </c>
      <c r="F18" s="10"/>
      <c r="G18" s="10">
        <f t="shared" si="0"/>
        <v>723</v>
      </c>
      <c r="H18" s="16">
        <f t="shared" si="1"/>
        <v>0.81</v>
      </c>
      <c r="I18" s="15">
        <f t="shared" si="2"/>
        <v>2E-3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351</v>
      </c>
      <c r="F19" s="10"/>
      <c r="G19" s="10">
        <f t="shared" si="0"/>
        <v>351</v>
      </c>
      <c r="H19" s="16">
        <f t="shared" si="1"/>
        <v>0.39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42</v>
      </c>
      <c r="C20" s="10"/>
      <c r="D20" s="10"/>
      <c r="E20" s="10">
        <v>29</v>
      </c>
      <c r="F20" s="10"/>
      <c r="G20" s="10">
        <f t="shared" si="0"/>
        <v>29</v>
      </c>
      <c r="H20" s="16">
        <f t="shared" si="1"/>
        <v>0.03</v>
      </c>
      <c r="I20" s="15">
        <f t="shared" si="2"/>
        <v>0</v>
      </c>
      <c r="J20" s="15">
        <f>ROUND(G20/7.45-1,2)</f>
        <v>2.89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682</v>
      </c>
      <c r="F21" s="10"/>
      <c r="G21" s="10">
        <f t="shared" si="0"/>
        <v>682</v>
      </c>
      <c r="H21" s="16">
        <f t="shared" si="1"/>
        <v>0.76</v>
      </c>
      <c r="I21" s="15">
        <f t="shared" si="2"/>
        <v>2E-3</v>
      </c>
      <c r="J21" s="15">
        <f>ROUND(G21/476.07-1,2)</f>
        <v>0.43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211</v>
      </c>
      <c r="F22" s="10"/>
      <c r="G22" s="10">
        <f t="shared" si="0"/>
        <v>211</v>
      </c>
      <c r="H22" s="16">
        <f t="shared" si="1"/>
        <v>0.24</v>
      </c>
      <c r="I22" s="15">
        <f t="shared" si="2"/>
        <v>0</v>
      </c>
      <c r="J22" s="15">
        <f>ROUND(G22/125.79-1,2)</f>
        <v>0.68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187</v>
      </c>
      <c r="F23" s="10"/>
      <c r="G23" s="10">
        <f t="shared" si="0"/>
        <v>187</v>
      </c>
      <c r="H23" s="16">
        <f t="shared" si="1"/>
        <v>0.21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32</v>
      </c>
      <c r="C24" s="10"/>
      <c r="D24" s="10"/>
      <c r="E24" s="10">
        <v>1489</v>
      </c>
      <c r="F24" s="10"/>
      <c r="G24" s="10">
        <f t="shared" si="0"/>
        <v>1489</v>
      </c>
      <c r="H24" s="16">
        <f t="shared" si="1"/>
        <v>1.67</v>
      </c>
      <c r="I24" s="15">
        <f t="shared" si="2"/>
        <v>3.0000000000000001E-3</v>
      </c>
      <c r="J24" s="15"/>
    </row>
    <row r="25" spans="1:10" x14ac:dyDescent="0.25">
      <c r="A25" s="1" t="s">
        <v>16</v>
      </c>
      <c r="B25" s="1" t="s">
        <v>33</v>
      </c>
      <c r="C25" s="10"/>
      <c r="D25" s="10"/>
      <c r="E25" s="10">
        <v>136</v>
      </c>
      <c r="F25" s="10"/>
      <c r="G25" s="10">
        <f t="shared" si="0"/>
        <v>136</v>
      </c>
      <c r="H25" s="16">
        <f t="shared" si="1"/>
        <v>0.15</v>
      </c>
      <c r="I25" s="15">
        <f t="shared" si="2"/>
        <v>0</v>
      </c>
      <c r="J25" s="15"/>
    </row>
    <row r="26" spans="1:10" x14ac:dyDescent="0.25">
      <c r="A26" s="1" t="s">
        <v>16</v>
      </c>
      <c r="B26" s="1" t="s">
        <v>37</v>
      </c>
      <c r="C26" s="10"/>
      <c r="D26" s="10"/>
      <c r="E26" s="10">
        <v>1226</v>
      </c>
      <c r="F26" s="10"/>
      <c r="G26" s="10">
        <f t="shared" si="0"/>
        <v>1226</v>
      </c>
      <c r="H26" s="16">
        <f t="shared" si="1"/>
        <v>1.37</v>
      </c>
      <c r="I26" s="15">
        <f t="shared" si="2"/>
        <v>3.0000000000000001E-3</v>
      </c>
      <c r="J26" s="15">
        <f>ROUND(G26/208.86-1,2)</f>
        <v>4.87</v>
      </c>
    </row>
    <row r="27" spans="1:10" x14ac:dyDescent="0.25">
      <c r="A27" s="1" t="s">
        <v>16</v>
      </c>
      <c r="B27" s="1" t="s">
        <v>43</v>
      </c>
      <c r="C27" s="10"/>
      <c r="D27" s="10"/>
      <c r="E27" s="10">
        <v>1212</v>
      </c>
      <c r="F27" s="10"/>
      <c r="G27" s="10">
        <f t="shared" si="0"/>
        <v>1212</v>
      </c>
      <c r="H27" s="16">
        <f t="shared" si="1"/>
        <v>1.36</v>
      </c>
      <c r="I27" s="15">
        <f t="shared" si="2"/>
        <v>3.0000000000000001E-3</v>
      </c>
      <c r="J27" s="15"/>
    </row>
    <row r="28" spans="1:10" x14ac:dyDescent="0.25">
      <c r="A28" s="1" t="s">
        <v>16</v>
      </c>
      <c r="B28" s="1" t="s">
        <v>38</v>
      </c>
      <c r="C28" s="10"/>
      <c r="D28" s="10"/>
      <c r="E28" s="10">
        <v>54030</v>
      </c>
      <c r="F28" s="10"/>
      <c r="G28" s="10">
        <f t="shared" si="0"/>
        <v>54030</v>
      </c>
      <c r="H28" s="16">
        <f t="shared" si="1"/>
        <v>60.44</v>
      </c>
      <c r="I28" s="15">
        <f t="shared" si="2"/>
        <v>0.124</v>
      </c>
      <c r="J28" s="15">
        <f>ROUND(G28/7140.94-1,2)</f>
        <v>6.57</v>
      </c>
    </row>
    <row r="29" spans="1:10" x14ac:dyDescent="0.25">
      <c r="A29" s="1" t="s">
        <v>16</v>
      </c>
      <c r="B29" s="1" t="s">
        <v>39</v>
      </c>
      <c r="C29" s="10"/>
      <c r="D29" s="10"/>
      <c r="E29" s="10">
        <v>2420</v>
      </c>
      <c r="F29" s="10"/>
      <c r="G29" s="10">
        <f t="shared" si="0"/>
        <v>2420</v>
      </c>
      <c r="H29" s="16">
        <f t="shared" si="1"/>
        <v>2.71</v>
      </c>
      <c r="I29" s="15">
        <f t="shared" si="2"/>
        <v>6.0000000000000001E-3</v>
      </c>
      <c r="J29" s="15"/>
    </row>
    <row r="30" spans="1:10" x14ac:dyDescent="0.25">
      <c r="A30" s="1" t="s">
        <v>16</v>
      </c>
      <c r="B30" s="1" t="s">
        <v>40</v>
      </c>
      <c r="C30" s="10"/>
      <c r="D30" s="10"/>
      <c r="E30" s="10">
        <v>20966</v>
      </c>
      <c r="F30" s="10"/>
      <c r="G30" s="10">
        <f t="shared" si="0"/>
        <v>20966</v>
      </c>
      <c r="H30" s="16">
        <f t="shared" si="1"/>
        <v>23.45</v>
      </c>
      <c r="I30" s="15">
        <f t="shared" si="2"/>
        <v>4.8000000000000001E-2</v>
      </c>
      <c r="J30" s="15">
        <f>ROUND(G30/3408.69-1,2)</f>
        <v>5.15</v>
      </c>
    </row>
    <row r="31" spans="1:10" x14ac:dyDescent="0.25">
      <c r="A31" s="1" t="s">
        <v>16</v>
      </c>
      <c r="B31" s="1" t="s">
        <v>41</v>
      </c>
      <c r="C31" s="10"/>
      <c r="D31" s="10"/>
      <c r="E31" s="10">
        <v>19744</v>
      </c>
      <c r="F31" s="10"/>
      <c r="G31" s="10">
        <f t="shared" si="0"/>
        <v>19744</v>
      </c>
      <c r="H31" s="16">
        <f t="shared" si="1"/>
        <v>22.09</v>
      </c>
      <c r="I31" s="15">
        <f t="shared" si="2"/>
        <v>4.4999999999999998E-2</v>
      </c>
      <c r="J31" s="15">
        <f>ROUND(G31/332.4-1,2)</f>
        <v>58.4</v>
      </c>
    </row>
    <row r="32" spans="1:10" x14ac:dyDescent="0.25">
      <c r="A32" s="1" t="s">
        <v>16</v>
      </c>
      <c r="B32" s="1" t="s">
        <v>36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ROUND(G32/644.56-1,2)</f>
        <v>-1</v>
      </c>
    </row>
    <row r="33" spans="1:10" x14ac:dyDescent="0.25">
      <c r="A33" s="1" t="s">
        <v>16</v>
      </c>
      <c r="B33" s="1" t="s">
        <v>35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44</v>
      </c>
      <c r="B34" s="1" t="s">
        <v>45</v>
      </c>
      <c r="C34" s="10">
        <v>89530</v>
      </c>
      <c r="D34" s="10"/>
      <c r="E34" s="10"/>
      <c r="F34" s="10"/>
      <c r="G34" s="10">
        <f t="shared" si="0"/>
        <v>89530</v>
      </c>
      <c r="H34" s="16">
        <f t="shared" si="1"/>
        <v>100.15</v>
      </c>
      <c r="I34" s="15">
        <f t="shared" si="2"/>
        <v>0.20599999999999999</v>
      </c>
      <c r="J34" s="15">
        <f>ROUND(G34/90930-1,2)</f>
        <v>-0.02</v>
      </c>
    </row>
    <row r="35" spans="1:10" x14ac:dyDescent="0.25">
      <c r="A35" s="1" t="s">
        <v>44</v>
      </c>
      <c r="B35" s="1" t="s">
        <v>46</v>
      </c>
      <c r="C35" s="10"/>
      <c r="D35" s="10"/>
      <c r="E35" s="10">
        <v>38540</v>
      </c>
      <c r="F35" s="10"/>
      <c r="G35" s="10">
        <f t="shared" si="0"/>
        <v>38540</v>
      </c>
      <c r="H35" s="16">
        <f t="shared" si="1"/>
        <v>43.11</v>
      </c>
      <c r="I35" s="15">
        <f t="shared" si="2"/>
        <v>8.8999999999999996E-2</v>
      </c>
      <c r="J35" s="15">
        <f>ROUND(G35/3603.44-1,2)</f>
        <v>9.6999999999999993</v>
      </c>
    </row>
    <row r="36" spans="1:10" x14ac:dyDescent="0.25">
      <c r="A36" s="1" t="s">
        <v>44</v>
      </c>
      <c r="B36" s="1" t="s">
        <v>47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48</v>
      </c>
      <c r="B37" s="1" t="s">
        <v>51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27" t="s">
        <v>12</v>
      </c>
      <c r="B38" s="27"/>
      <c r="C38" s="11">
        <f t="shared" ref="C38:H38" si="3">SUM(C8:C37)</f>
        <v>209785</v>
      </c>
      <c r="D38" s="11">
        <f t="shared" si="3"/>
        <v>0</v>
      </c>
      <c r="E38" s="11">
        <f t="shared" si="3"/>
        <v>225457</v>
      </c>
      <c r="F38" s="11">
        <f t="shared" si="3"/>
        <v>0</v>
      </c>
      <c r="G38" s="11">
        <f t="shared" si="3"/>
        <v>435242</v>
      </c>
      <c r="H38" s="14">
        <f t="shared" si="3"/>
        <v>486.89</v>
      </c>
      <c r="I38" s="17"/>
      <c r="J38" s="17"/>
    </row>
    <row r="39" spans="1:10" x14ac:dyDescent="0.25">
      <c r="A39" s="27" t="s">
        <v>14</v>
      </c>
      <c r="B39" s="27"/>
      <c r="C39" s="12">
        <f>ROUND(C38/G38,2)</f>
        <v>0.48</v>
      </c>
      <c r="D39" s="12">
        <f>ROUND(D38/G38,2)</f>
        <v>0</v>
      </c>
      <c r="E39" s="12">
        <f>ROUND(E38/G38,2)</f>
        <v>0.52</v>
      </c>
      <c r="F39" s="12">
        <f>ROUND(F38/G38,2)</f>
        <v>0</v>
      </c>
      <c r="G39" s="13"/>
      <c r="H39" s="13"/>
      <c r="I39" s="17"/>
      <c r="J39" s="17"/>
    </row>
    <row r="40" spans="1:10" x14ac:dyDescent="0.25">
      <c r="A40" s="2" t="s">
        <v>52</v>
      </c>
      <c r="B40" s="2"/>
      <c r="C40" s="13"/>
      <c r="D40" s="13"/>
      <c r="E40" s="13"/>
      <c r="F40" s="13"/>
      <c r="G40" s="13"/>
      <c r="H40" s="13"/>
      <c r="I40" s="17"/>
      <c r="J40" s="17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A44" s="27" t="s">
        <v>53</v>
      </c>
      <c r="B44" s="27"/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4" t="s">
        <v>13</v>
      </c>
      <c r="I44" s="17"/>
      <c r="J44" s="17"/>
    </row>
    <row r="45" spans="1:10" x14ac:dyDescent="0.25">
      <c r="A45" s="22" t="s">
        <v>54</v>
      </c>
      <c r="B45" s="22"/>
      <c r="C45" s="10">
        <v>120255</v>
      </c>
      <c r="D45" s="10">
        <v>0</v>
      </c>
      <c r="E45" s="10">
        <v>186917</v>
      </c>
      <c r="F45" s="10">
        <v>0</v>
      </c>
      <c r="G45" s="10">
        <f>SUM(C45:F45)</f>
        <v>307172</v>
      </c>
      <c r="H45" s="16">
        <f>ROUND(G45/894,2)</f>
        <v>343.59</v>
      </c>
      <c r="I45" s="9"/>
      <c r="J45" s="9"/>
    </row>
    <row r="46" spans="1:10" x14ac:dyDescent="0.25">
      <c r="A46" s="22" t="s">
        <v>55</v>
      </c>
      <c r="B46" s="22"/>
      <c r="C46" s="10">
        <v>89530</v>
      </c>
      <c r="D46" s="10">
        <v>0</v>
      </c>
      <c r="E46" s="10">
        <v>38540</v>
      </c>
      <c r="F46" s="10">
        <v>0</v>
      </c>
      <c r="G46" s="10">
        <f>SUM(C46:F46)</f>
        <v>128070</v>
      </c>
      <c r="H46" s="16">
        <f>ROUND(G46/894,2)</f>
        <v>143.26</v>
      </c>
      <c r="I46" s="9"/>
      <c r="J46" s="9"/>
    </row>
    <row r="47" spans="1:10" x14ac:dyDescent="0.25">
      <c r="A47" s="22" t="s">
        <v>56</v>
      </c>
      <c r="B47" s="22"/>
      <c r="C47" s="10">
        <v>0</v>
      </c>
      <c r="D47" s="10">
        <v>0</v>
      </c>
      <c r="E47" s="10">
        <v>0</v>
      </c>
      <c r="F47" s="10">
        <v>0</v>
      </c>
      <c r="G47" s="10">
        <f>SUM(C47:F47)</f>
        <v>0</v>
      </c>
      <c r="H47" s="16">
        <f>ROUND(G47/894,2)</f>
        <v>0</v>
      </c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57</v>
      </c>
      <c r="B52" s="27"/>
      <c r="C52" s="14" t="s">
        <v>2</v>
      </c>
      <c r="D52" s="14">
        <v>2023</v>
      </c>
      <c r="E52" s="14" t="s">
        <v>59</v>
      </c>
      <c r="F52" s="13"/>
      <c r="G52" s="14" t="s">
        <v>60</v>
      </c>
      <c r="H52" s="14" t="s">
        <v>2</v>
      </c>
      <c r="I52" s="12" t="s">
        <v>61</v>
      </c>
      <c r="J52" s="12" t="s">
        <v>59</v>
      </c>
    </row>
    <row r="53" spans="1:10" x14ac:dyDescent="0.25">
      <c r="A53" s="22" t="s">
        <v>58</v>
      </c>
      <c r="B53" s="22"/>
      <c r="C53" s="15">
        <f>ROUND(0.7532, 4)</f>
        <v>0.75319999999999998</v>
      </c>
      <c r="D53" s="15">
        <f>ROUND(0.6032, 4)</f>
        <v>0.60319999999999996</v>
      </c>
      <c r="E53" s="15">
        <f>ROUND(0.777, 4)</f>
        <v>0.77700000000000002</v>
      </c>
      <c r="F53" s="8"/>
      <c r="G53" s="14" t="s">
        <v>62</v>
      </c>
      <c r="H53" s="28" t="s">
        <v>63</v>
      </c>
      <c r="I53" s="25" t="s">
        <v>64</v>
      </c>
      <c r="J53" s="25" t="s">
        <v>65</v>
      </c>
    </row>
    <row r="54" spans="1:10" x14ac:dyDescent="0.25">
      <c r="A54" s="22" t="s">
        <v>66</v>
      </c>
      <c r="B54" s="22"/>
      <c r="C54" s="15">
        <f>ROUND(0.7251, 4)</f>
        <v>0.72509999999999997</v>
      </c>
      <c r="D54" s="15">
        <f>ROUND(0.5621, 4)</f>
        <v>0.56210000000000004</v>
      </c>
      <c r="E54" s="15">
        <f>ROUND(0.7608, 4)</f>
        <v>0.76080000000000003</v>
      </c>
      <c r="F54" s="8"/>
      <c r="G54" s="14" t="s">
        <v>67</v>
      </c>
      <c r="H54" s="29"/>
      <c r="I54" s="26"/>
      <c r="J54" s="26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68</v>
      </c>
      <c r="B58" s="27"/>
      <c r="C58" s="14" t="s">
        <v>2</v>
      </c>
      <c r="D58" s="14" t="s">
        <v>83</v>
      </c>
      <c r="E58" s="14" t="s">
        <v>70</v>
      </c>
      <c r="F58" s="14" t="s">
        <v>71</v>
      </c>
      <c r="G58" s="14" t="s">
        <v>72</v>
      </c>
      <c r="H58" s="13"/>
      <c r="I58" s="17"/>
      <c r="J58" s="17"/>
    </row>
    <row r="59" spans="1:10" x14ac:dyDescent="0.25">
      <c r="A59" s="22" t="s">
        <v>73</v>
      </c>
      <c r="B59" s="22"/>
      <c r="C59" s="16">
        <v>100.15</v>
      </c>
      <c r="D59" s="16">
        <v>111.26</v>
      </c>
      <c r="E59" s="16">
        <v>92.53</v>
      </c>
      <c r="F59" s="16">
        <v>56.06</v>
      </c>
      <c r="G59" s="16">
        <f>12/11*C59</f>
        <v>109.25454545454545</v>
      </c>
      <c r="H59" s="8"/>
      <c r="I59" s="9"/>
      <c r="J59" s="9"/>
    </row>
    <row r="60" spans="1:10" x14ac:dyDescent="0.25">
      <c r="A60" s="22" t="s">
        <v>74</v>
      </c>
      <c r="B60" s="22"/>
      <c r="C60" s="16">
        <v>33.57</v>
      </c>
      <c r="D60" s="16">
        <v>42.97</v>
      </c>
      <c r="E60" s="16">
        <v>61.98</v>
      </c>
      <c r="F60" s="16">
        <v>64.09</v>
      </c>
      <c r="G60" s="16">
        <f>12/11*C60</f>
        <v>36.621818181818178</v>
      </c>
      <c r="H60" s="8"/>
      <c r="I60" s="9"/>
      <c r="J60" s="9"/>
    </row>
    <row r="61" spans="1:10" x14ac:dyDescent="0.25">
      <c r="A61" s="22" t="s">
        <v>75</v>
      </c>
      <c r="B61" s="22"/>
      <c r="C61" s="16">
        <v>343.59</v>
      </c>
      <c r="D61" s="16">
        <v>224.6</v>
      </c>
      <c r="E61" s="16">
        <v>291.51</v>
      </c>
      <c r="F61" s="16">
        <v>284.45</v>
      </c>
      <c r="G61" s="16">
        <f>12/11*C61</f>
        <v>374.82545454545448</v>
      </c>
      <c r="H61" s="8"/>
      <c r="I61" s="9"/>
      <c r="J61" s="9"/>
    </row>
    <row r="62" spans="1:10" x14ac:dyDescent="0.25">
      <c r="A62" s="22" t="s">
        <v>76</v>
      </c>
      <c r="B62" s="22"/>
      <c r="C62" s="16">
        <v>143.26</v>
      </c>
      <c r="D62" s="16">
        <v>125.51</v>
      </c>
      <c r="E62" s="16">
        <v>116.46</v>
      </c>
      <c r="F62" s="16">
        <v>79.959999999999994</v>
      </c>
      <c r="G62" s="16">
        <f>12/11*C62</f>
        <v>156.28363636363633</v>
      </c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3" t="s">
        <v>60</v>
      </c>
      <c r="B65" s="24"/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77</v>
      </c>
      <c r="B66" s="1" t="s">
        <v>84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70</v>
      </c>
      <c r="B67" s="1" t="s">
        <v>79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71</v>
      </c>
      <c r="B68" s="1" t="s">
        <v>80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72</v>
      </c>
      <c r="B69" s="1" t="s">
        <v>81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</sheetData>
  <mergeCells count="19">
    <mergeCell ref="C7:G7"/>
    <mergeCell ref="A38:B38"/>
    <mergeCell ref="A39:B39"/>
    <mergeCell ref="A44:B44"/>
    <mergeCell ref="A45:B45"/>
    <mergeCell ref="J53:J54"/>
    <mergeCell ref="A54:B54"/>
    <mergeCell ref="A58:B58"/>
    <mergeCell ref="A59:B59"/>
    <mergeCell ref="A46:B46"/>
    <mergeCell ref="A47:B47"/>
    <mergeCell ref="A52:B52"/>
    <mergeCell ref="A53:B53"/>
    <mergeCell ref="H53:H54"/>
    <mergeCell ref="A60:B60"/>
    <mergeCell ref="A61:B61"/>
    <mergeCell ref="A62:B62"/>
    <mergeCell ref="A65:B65"/>
    <mergeCell ref="I53:I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J77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154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1264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23</v>
      </c>
      <c r="F9" s="10"/>
      <c r="G9" s="10">
        <f t="shared" ref="G9:G41" si="0">SUM(C9:F9)</f>
        <v>23</v>
      </c>
      <c r="H9" s="16">
        <f t="shared" ref="H9:H41" si="1">ROUND(G9/1264,2)</f>
        <v>0.02</v>
      </c>
      <c r="I9" s="15">
        <f t="shared" ref="I9:I41" si="2">ROUND(G9/$G$42,3)</f>
        <v>0</v>
      </c>
      <c r="J9" s="15">
        <f>ROUND(G9/65-1,2)</f>
        <v>-0.65</v>
      </c>
    </row>
    <row r="10" spans="1:10" x14ac:dyDescent="0.25">
      <c r="A10" s="1" t="s">
        <v>16</v>
      </c>
      <c r="B10" s="1" t="s">
        <v>19</v>
      </c>
      <c r="C10" s="10">
        <v>35320</v>
      </c>
      <c r="D10" s="10"/>
      <c r="E10" s="10"/>
      <c r="F10" s="10"/>
      <c r="G10" s="10">
        <f t="shared" si="0"/>
        <v>35320</v>
      </c>
      <c r="H10" s="16">
        <f t="shared" si="1"/>
        <v>27.94</v>
      </c>
      <c r="I10" s="15">
        <f t="shared" si="2"/>
        <v>9.0999999999999998E-2</v>
      </c>
      <c r="J10" s="15">
        <f>ROUND(G10/31310-1,2)</f>
        <v>0.13</v>
      </c>
    </row>
    <row r="11" spans="1:10" x14ac:dyDescent="0.25">
      <c r="A11" s="1" t="s">
        <v>16</v>
      </c>
      <c r="B11" s="1" t="s">
        <v>20</v>
      </c>
      <c r="C11" s="10">
        <v>39865</v>
      </c>
      <c r="D11" s="10"/>
      <c r="E11" s="10"/>
      <c r="F11" s="10"/>
      <c r="G11" s="10">
        <f t="shared" si="0"/>
        <v>39865</v>
      </c>
      <c r="H11" s="16">
        <f t="shared" si="1"/>
        <v>31.54</v>
      </c>
      <c r="I11" s="15">
        <f t="shared" si="2"/>
        <v>0.10299999999999999</v>
      </c>
      <c r="J11" s="15">
        <f>ROUND(G11/40915-1,2)</f>
        <v>-0.03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150</v>
      </c>
      <c r="F12" s="10"/>
      <c r="G12" s="10">
        <f t="shared" si="0"/>
        <v>150</v>
      </c>
      <c r="H12" s="16">
        <f t="shared" si="1"/>
        <v>0.12</v>
      </c>
      <c r="I12" s="15">
        <f t="shared" si="2"/>
        <v>0</v>
      </c>
      <c r="J12" s="15">
        <f>ROUND(G12/105-1,2)</f>
        <v>0.43</v>
      </c>
    </row>
    <row r="13" spans="1:10" x14ac:dyDescent="0.25">
      <c r="A13" s="1" t="s">
        <v>16</v>
      </c>
      <c r="B13" s="1" t="s">
        <v>23</v>
      </c>
      <c r="C13" s="10"/>
      <c r="D13" s="10"/>
      <c r="E13" s="10">
        <v>34160</v>
      </c>
      <c r="F13" s="10"/>
      <c r="G13" s="10">
        <f t="shared" si="0"/>
        <v>34160</v>
      </c>
      <c r="H13" s="16">
        <f t="shared" si="1"/>
        <v>27.03</v>
      </c>
      <c r="I13" s="15">
        <f t="shared" si="2"/>
        <v>8.7999999999999995E-2</v>
      </c>
      <c r="J13" s="15">
        <f>ROUND(G13/42180-1,2)</f>
        <v>-0.19</v>
      </c>
    </row>
    <row r="14" spans="1:10" x14ac:dyDescent="0.25">
      <c r="A14" s="1" t="s">
        <v>16</v>
      </c>
      <c r="B14" s="1" t="s">
        <v>24</v>
      </c>
      <c r="C14" s="10">
        <v>37920</v>
      </c>
      <c r="D14" s="10"/>
      <c r="E14" s="10">
        <v>7210</v>
      </c>
      <c r="F14" s="10"/>
      <c r="G14" s="10">
        <f t="shared" si="0"/>
        <v>45130</v>
      </c>
      <c r="H14" s="16">
        <f t="shared" si="1"/>
        <v>35.700000000000003</v>
      </c>
      <c r="I14" s="15">
        <f t="shared" si="2"/>
        <v>0.11700000000000001</v>
      </c>
      <c r="J14" s="15">
        <f>ROUND(G14/45300-1,2)</f>
        <v>0</v>
      </c>
    </row>
    <row r="15" spans="1:10" x14ac:dyDescent="0.25">
      <c r="A15" s="1" t="s">
        <v>16</v>
      </c>
      <c r="B15" s="1" t="s">
        <v>25</v>
      </c>
      <c r="C15" s="10"/>
      <c r="D15" s="10"/>
      <c r="E15" s="10">
        <v>2675</v>
      </c>
      <c r="F15" s="10"/>
      <c r="G15" s="10">
        <f t="shared" si="0"/>
        <v>2675</v>
      </c>
      <c r="H15" s="16">
        <f t="shared" si="1"/>
        <v>2.12</v>
      </c>
      <c r="I15" s="15">
        <f t="shared" si="2"/>
        <v>7.0000000000000001E-3</v>
      </c>
      <c r="J15" s="15">
        <f>ROUND(G15/2380-1,2)</f>
        <v>0.12</v>
      </c>
    </row>
    <row r="16" spans="1:10" x14ac:dyDescent="0.25">
      <c r="A16" s="1" t="s">
        <v>16</v>
      </c>
      <c r="B16" s="1" t="s">
        <v>26</v>
      </c>
      <c r="C16" s="10">
        <v>41150</v>
      </c>
      <c r="D16" s="10"/>
      <c r="E16" s="10"/>
      <c r="F16" s="10">
        <v>120</v>
      </c>
      <c r="G16" s="10">
        <f t="shared" si="0"/>
        <v>41270</v>
      </c>
      <c r="H16" s="16">
        <f t="shared" si="1"/>
        <v>32.65</v>
      </c>
      <c r="I16" s="15">
        <f t="shared" si="2"/>
        <v>0.107</v>
      </c>
      <c r="J16" s="15">
        <f>ROUND(G16/40570-1,2)</f>
        <v>0.02</v>
      </c>
    </row>
    <row r="17" spans="1:10" x14ac:dyDescent="0.25">
      <c r="A17" s="1" t="s">
        <v>16</v>
      </c>
      <c r="B17" s="1" t="s">
        <v>27</v>
      </c>
      <c r="C17" s="10"/>
      <c r="D17" s="10"/>
      <c r="E17" s="10">
        <v>847</v>
      </c>
      <c r="F17" s="10"/>
      <c r="G17" s="10">
        <f t="shared" si="0"/>
        <v>847</v>
      </c>
      <c r="H17" s="16">
        <f t="shared" si="1"/>
        <v>0.67</v>
      </c>
      <c r="I17" s="15">
        <f t="shared" si="2"/>
        <v>2E-3</v>
      </c>
      <c r="J17" s="15">
        <f>ROUND(G17/574-1,2)</f>
        <v>0.48</v>
      </c>
    </row>
    <row r="18" spans="1:10" x14ac:dyDescent="0.25">
      <c r="A18" s="1" t="s">
        <v>16</v>
      </c>
      <c r="B18" s="1" t="s">
        <v>28</v>
      </c>
      <c r="C18" s="10"/>
      <c r="D18" s="10"/>
      <c r="E18" s="10">
        <v>219</v>
      </c>
      <c r="F18" s="10"/>
      <c r="G18" s="10">
        <f t="shared" si="0"/>
        <v>219</v>
      </c>
      <c r="H18" s="16">
        <f t="shared" si="1"/>
        <v>0.17</v>
      </c>
      <c r="I18" s="15">
        <f t="shared" si="2"/>
        <v>1E-3</v>
      </c>
      <c r="J18" s="15">
        <f>ROUND(G18/259-1,2)</f>
        <v>-0.15</v>
      </c>
    </row>
    <row r="19" spans="1:10" x14ac:dyDescent="0.25">
      <c r="A19" s="1" t="s">
        <v>16</v>
      </c>
      <c r="B19" s="1" t="s">
        <v>29</v>
      </c>
      <c r="C19" s="10"/>
      <c r="D19" s="10"/>
      <c r="E19" s="10">
        <v>460</v>
      </c>
      <c r="F19" s="10"/>
      <c r="G19" s="10">
        <f t="shared" si="0"/>
        <v>460</v>
      </c>
      <c r="H19" s="16">
        <f t="shared" si="1"/>
        <v>0.36</v>
      </c>
      <c r="I19" s="15">
        <f t="shared" si="2"/>
        <v>1E-3</v>
      </c>
      <c r="J19" s="15">
        <f>ROUND(G19/1679-1,2)</f>
        <v>-0.73</v>
      </c>
    </row>
    <row r="20" spans="1:10" x14ac:dyDescent="0.25">
      <c r="A20" s="1" t="s">
        <v>16</v>
      </c>
      <c r="B20" s="1" t="s">
        <v>30</v>
      </c>
      <c r="C20" s="10"/>
      <c r="D20" s="10"/>
      <c r="E20" s="10">
        <v>500</v>
      </c>
      <c r="F20" s="10"/>
      <c r="G20" s="10">
        <f t="shared" si="0"/>
        <v>500</v>
      </c>
      <c r="H20" s="16">
        <f t="shared" si="1"/>
        <v>0.4</v>
      </c>
      <c r="I20" s="15">
        <f t="shared" si="2"/>
        <v>1E-3</v>
      </c>
      <c r="J20" s="15">
        <f>ROUND(G20/170-1,2)</f>
        <v>1.94</v>
      </c>
    </row>
    <row r="21" spans="1:10" x14ac:dyDescent="0.25">
      <c r="A21" s="1" t="s">
        <v>16</v>
      </c>
      <c r="B21" s="1" t="s">
        <v>31</v>
      </c>
      <c r="C21" s="10"/>
      <c r="D21" s="10"/>
      <c r="E21" s="10">
        <v>740</v>
      </c>
      <c r="F21" s="10"/>
      <c r="G21" s="10">
        <f t="shared" si="0"/>
        <v>740</v>
      </c>
      <c r="H21" s="16">
        <f t="shared" si="1"/>
        <v>0.59</v>
      </c>
      <c r="I21" s="15">
        <f t="shared" si="2"/>
        <v>2E-3</v>
      </c>
      <c r="J21" s="15">
        <f>ROUND(G21/660-1,2)</f>
        <v>0.12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800</v>
      </c>
      <c r="F22" s="10"/>
      <c r="G22" s="10">
        <f t="shared" si="0"/>
        <v>800</v>
      </c>
      <c r="H22" s="16">
        <f t="shared" si="1"/>
        <v>0.63</v>
      </c>
      <c r="I22" s="15">
        <f t="shared" si="2"/>
        <v>2E-3</v>
      </c>
      <c r="J22" s="15">
        <f>ROUND(G22/360-1,2)</f>
        <v>1.22</v>
      </c>
    </row>
    <row r="23" spans="1:10" x14ac:dyDescent="0.25">
      <c r="A23" s="1" t="s">
        <v>16</v>
      </c>
      <c r="B23" s="1" t="s">
        <v>33</v>
      </c>
      <c r="C23" s="10"/>
      <c r="D23" s="10"/>
      <c r="E23" s="10">
        <v>66</v>
      </c>
      <c r="F23" s="10"/>
      <c r="G23" s="10">
        <f t="shared" si="0"/>
        <v>66</v>
      </c>
      <c r="H23" s="16">
        <f t="shared" si="1"/>
        <v>0.05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34</v>
      </c>
      <c r="C24" s="10"/>
      <c r="D24" s="10"/>
      <c r="E24" s="10">
        <v>430</v>
      </c>
      <c r="F24" s="10"/>
      <c r="G24" s="10">
        <f t="shared" si="0"/>
        <v>430</v>
      </c>
      <c r="H24" s="16">
        <f t="shared" si="1"/>
        <v>0.34</v>
      </c>
      <c r="I24" s="15">
        <f t="shared" si="2"/>
        <v>1E-3</v>
      </c>
      <c r="J24" s="15">
        <f>ROUND(G24/654-1,2)</f>
        <v>-0.34</v>
      </c>
    </row>
    <row r="25" spans="1:10" x14ac:dyDescent="0.25">
      <c r="A25" s="1" t="s">
        <v>16</v>
      </c>
      <c r="B25" s="1" t="s">
        <v>37</v>
      </c>
      <c r="C25" s="10"/>
      <c r="D25" s="10"/>
      <c r="E25" s="10">
        <v>1020</v>
      </c>
      <c r="F25" s="10"/>
      <c r="G25" s="10">
        <f t="shared" si="0"/>
        <v>1020</v>
      </c>
      <c r="H25" s="16">
        <f t="shared" si="1"/>
        <v>0.81</v>
      </c>
      <c r="I25" s="15">
        <f t="shared" si="2"/>
        <v>3.0000000000000001E-3</v>
      </c>
      <c r="J25" s="15">
        <f>ROUND(G25/3341-1,2)</f>
        <v>-0.69</v>
      </c>
    </row>
    <row r="26" spans="1:10" x14ac:dyDescent="0.25">
      <c r="A26" s="1" t="s">
        <v>16</v>
      </c>
      <c r="B26" s="1" t="s">
        <v>43</v>
      </c>
      <c r="C26" s="10"/>
      <c r="D26" s="10"/>
      <c r="E26" s="10">
        <v>1420</v>
      </c>
      <c r="F26" s="10"/>
      <c r="G26" s="10">
        <f t="shared" si="0"/>
        <v>1420</v>
      </c>
      <c r="H26" s="16">
        <f t="shared" si="1"/>
        <v>1.1200000000000001</v>
      </c>
      <c r="I26" s="15">
        <f t="shared" si="2"/>
        <v>4.0000000000000001E-3</v>
      </c>
      <c r="J26" s="15">
        <f>ROUND(G26/3252-1,2)</f>
        <v>-0.56000000000000005</v>
      </c>
    </row>
    <row r="27" spans="1:10" x14ac:dyDescent="0.25">
      <c r="A27" s="1" t="s">
        <v>16</v>
      </c>
      <c r="B27" s="1" t="s">
        <v>38</v>
      </c>
      <c r="C27" s="10"/>
      <c r="D27" s="10"/>
      <c r="E27" s="10">
        <v>31495</v>
      </c>
      <c r="F27" s="10"/>
      <c r="G27" s="10">
        <f t="shared" si="0"/>
        <v>31495</v>
      </c>
      <c r="H27" s="16">
        <f t="shared" si="1"/>
        <v>24.92</v>
      </c>
      <c r="I27" s="15">
        <f t="shared" si="2"/>
        <v>8.1000000000000003E-2</v>
      </c>
      <c r="J27" s="15">
        <f>ROUND(G27/22845-1,2)</f>
        <v>0.38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12200</v>
      </c>
      <c r="F28" s="10"/>
      <c r="G28" s="10">
        <f t="shared" si="0"/>
        <v>12200</v>
      </c>
      <c r="H28" s="16">
        <f t="shared" si="1"/>
        <v>9.65</v>
      </c>
      <c r="I28" s="15">
        <f t="shared" si="2"/>
        <v>3.2000000000000001E-2</v>
      </c>
      <c r="J28" s="15">
        <f>ROUND(G28/15190-1,2)</f>
        <v>-0.2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9595</v>
      </c>
      <c r="F29" s="10"/>
      <c r="G29" s="10">
        <f t="shared" si="0"/>
        <v>9595</v>
      </c>
      <c r="H29" s="16">
        <f t="shared" si="1"/>
        <v>7.59</v>
      </c>
      <c r="I29" s="15">
        <f t="shared" si="2"/>
        <v>2.5000000000000001E-2</v>
      </c>
      <c r="J29" s="15">
        <f>ROUND(G29/12515-1,2)</f>
        <v>-0.23</v>
      </c>
    </row>
    <row r="30" spans="1:10" x14ac:dyDescent="0.25">
      <c r="A30" s="1" t="s">
        <v>16</v>
      </c>
      <c r="B30" s="1" t="s">
        <v>120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/>
    </row>
    <row r="31" spans="1:10" x14ac:dyDescent="0.25">
      <c r="A31" s="1" t="s">
        <v>16</v>
      </c>
      <c r="B31" s="1" t="s">
        <v>36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ROUND(G31/1837-1,2)</f>
        <v>-1</v>
      </c>
    </row>
    <row r="32" spans="1:10" x14ac:dyDescent="0.25">
      <c r="A32" s="1" t="s">
        <v>16</v>
      </c>
      <c r="B32" s="1" t="s">
        <v>35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ROUND(G32/62-1,2)</f>
        <v>-1</v>
      </c>
    </row>
    <row r="33" spans="1:10" x14ac:dyDescent="0.25">
      <c r="A33" s="1" t="s">
        <v>16</v>
      </c>
      <c r="B33" s="1" t="s">
        <v>39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22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16</v>
      </c>
      <c r="B35" s="1" t="s">
        <v>155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16</v>
      </c>
      <c r="B36" s="1" t="s">
        <v>42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44</v>
      </c>
      <c r="B37" s="1" t="s">
        <v>45</v>
      </c>
      <c r="C37" s="10">
        <v>97310</v>
      </c>
      <c r="D37" s="10"/>
      <c r="E37" s="10"/>
      <c r="F37" s="10">
        <v>360</v>
      </c>
      <c r="G37" s="10">
        <f t="shared" si="0"/>
        <v>97670</v>
      </c>
      <c r="H37" s="16">
        <f t="shared" si="1"/>
        <v>77.27</v>
      </c>
      <c r="I37" s="15">
        <f t="shared" si="2"/>
        <v>0.252</v>
      </c>
      <c r="J37" s="15">
        <f>ROUND(G37/106240-1,2)</f>
        <v>-0.08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30780</v>
      </c>
      <c r="F38" s="10"/>
      <c r="G38" s="10">
        <f t="shared" si="0"/>
        <v>30780</v>
      </c>
      <c r="H38" s="16">
        <f t="shared" si="1"/>
        <v>24.35</v>
      </c>
      <c r="I38" s="15">
        <f t="shared" si="2"/>
        <v>0.08</v>
      </c>
      <c r="J38" s="15">
        <f>ROUND(G38/31300-1,2)</f>
        <v>-0.02</v>
      </c>
    </row>
    <row r="39" spans="1:10" x14ac:dyDescent="0.25">
      <c r="A39" s="1" t="s">
        <v>44</v>
      </c>
      <c r="B39" s="1" t="s">
        <v>47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ROUND(G39/2650-1,2)</f>
        <v>-1</v>
      </c>
    </row>
    <row r="40" spans="1:10" x14ac:dyDescent="0.25">
      <c r="A40" s="1" t="s">
        <v>48</v>
      </c>
      <c r="B40" s="1" t="s">
        <v>51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48</v>
      </c>
      <c r="B41" s="1" t="s">
        <v>49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27" t="s">
        <v>12</v>
      </c>
      <c r="B42" s="27"/>
      <c r="C42" s="11">
        <f t="shared" ref="C42:H42" si="3">SUM(C8:C41)</f>
        <v>251565</v>
      </c>
      <c r="D42" s="11">
        <f t="shared" si="3"/>
        <v>0</v>
      </c>
      <c r="E42" s="11">
        <f t="shared" si="3"/>
        <v>134790</v>
      </c>
      <c r="F42" s="11">
        <f t="shared" si="3"/>
        <v>480</v>
      </c>
      <c r="G42" s="11">
        <f t="shared" si="3"/>
        <v>386835</v>
      </c>
      <c r="H42" s="14">
        <f t="shared" si="3"/>
        <v>306.04000000000002</v>
      </c>
      <c r="I42" s="17"/>
      <c r="J42" s="17"/>
    </row>
    <row r="43" spans="1:10" x14ac:dyDescent="0.25">
      <c r="A43" s="27" t="s">
        <v>14</v>
      </c>
      <c r="B43" s="27"/>
      <c r="C43" s="12">
        <f>ROUND(C42/G42,2)</f>
        <v>0.65</v>
      </c>
      <c r="D43" s="12">
        <f>ROUND(D42/G42,2)</f>
        <v>0</v>
      </c>
      <c r="E43" s="12">
        <f>ROUND(E42/G42,2)</f>
        <v>0.35</v>
      </c>
      <c r="F43" s="12">
        <f>ROUND(F42/G42,2)</f>
        <v>0</v>
      </c>
      <c r="G43" s="13"/>
      <c r="H43" s="13"/>
      <c r="I43" s="17"/>
      <c r="J43" s="17"/>
    </row>
    <row r="44" spans="1:10" x14ac:dyDescent="0.25">
      <c r="A44" s="2" t="s">
        <v>52</v>
      </c>
      <c r="B44" s="2"/>
      <c r="C44" s="13"/>
      <c r="D44" s="13"/>
      <c r="E44" s="13"/>
      <c r="F44" s="13"/>
      <c r="G44" s="13"/>
      <c r="H44" s="13"/>
      <c r="I44" s="17"/>
      <c r="J44" s="17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A48" s="27" t="s">
        <v>53</v>
      </c>
      <c r="B48" s="27"/>
      <c r="C48" s="11" t="s">
        <v>8</v>
      </c>
      <c r="D48" s="11" t="s">
        <v>9</v>
      </c>
      <c r="E48" s="11" t="s">
        <v>10</v>
      </c>
      <c r="F48" s="11" t="s">
        <v>11</v>
      </c>
      <c r="G48" s="11" t="s">
        <v>12</v>
      </c>
      <c r="H48" s="14" t="s">
        <v>13</v>
      </c>
      <c r="I48" s="17"/>
      <c r="J48" s="17"/>
    </row>
    <row r="49" spans="1:10" x14ac:dyDescent="0.25">
      <c r="A49" s="22" t="s">
        <v>54</v>
      </c>
      <c r="B49" s="22"/>
      <c r="C49" s="10">
        <v>154255</v>
      </c>
      <c r="D49" s="10">
        <v>0</v>
      </c>
      <c r="E49" s="10">
        <v>104010</v>
      </c>
      <c r="F49" s="10">
        <v>120</v>
      </c>
      <c r="G49" s="10">
        <f>SUM(C49:F49)</f>
        <v>258385</v>
      </c>
      <c r="H49" s="16">
        <f>ROUND(G49/1264,2)</f>
        <v>204.42</v>
      </c>
      <c r="I49" s="9"/>
      <c r="J49" s="9"/>
    </row>
    <row r="50" spans="1:10" x14ac:dyDescent="0.25">
      <c r="A50" s="22" t="s">
        <v>55</v>
      </c>
      <c r="B50" s="22"/>
      <c r="C50" s="10">
        <v>97310</v>
      </c>
      <c r="D50" s="10">
        <v>0</v>
      </c>
      <c r="E50" s="10">
        <v>30780</v>
      </c>
      <c r="F50" s="10">
        <v>360</v>
      </c>
      <c r="G50" s="10">
        <f>SUM(C50:F50)</f>
        <v>128450</v>
      </c>
      <c r="H50" s="16">
        <f>ROUND(G50/1264,2)</f>
        <v>101.62</v>
      </c>
      <c r="I50" s="9"/>
      <c r="J50" s="9"/>
    </row>
    <row r="51" spans="1:10" x14ac:dyDescent="0.25">
      <c r="A51" s="22" t="s">
        <v>56</v>
      </c>
      <c r="B51" s="22"/>
      <c r="C51" s="10">
        <v>0</v>
      </c>
      <c r="D51" s="10">
        <v>0</v>
      </c>
      <c r="E51" s="10">
        <v>0</v>
      </c>
      <c r="F51" s="10">
        <v>0</v>
      </c>
      <c r="G51" s="10">
        <f>SUM(C51:F51)</f>
        <v>0</v>
      </c>
      <c r="H51" s="16">
        <f>ROUND(G51/1264,2)</f>
        <v>0</v>
      </c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A56" s="27" t="s">
        <v>57</v>
      </c>
      <c r="B56" s="27"/>
      <c r="C56" s="14" t="s">
        <v>2</v>
      </c>
      <c r="D56" s="14">
        <v>2023</v>
      </c>
      <c r="E56" s="14" t="s">
        <v>59</v>
      </c>
      <c r="F56" s="13"/>
      <c r="G56" s="14" t="s">
        <v>60</v>
      </c>
      <c r="H56" s="14" t="s">
        <v>2</v>
      </c>
      <c r="I56" s="12" t="s">
        <v>61</v>
      </c>
      <c r="J56" s="12" t="s">
        <v>59</v>
      </c>
    </row>
    <row r="57" spans="1:10" x14ac:dyDescent="0.25">
      <c r="A57" s="22" t="s">
        <v>58</v>
      </c>
      <c r="B57" s="22"/>
      <c r="C57" s="15">
        <f>ROUND(0.7137, 4)</f>
        <v>0.7137</v>
      </c>
      <c r="D57" s="15">
        <f>ROUND(0.6897, 4)</f>
        <v>0.68969999999999998</v>
      </c>
      <c r="E57" s="15">
        <f>ROUND(0.777, 4)</f>
        <v>0.77700000000000002</v>
      </c>
      <c r="F57" s="8"/>
      <c r="G57" s="14" t="s">
        <v>62</v>
      </c>
      <c r="H57" s="28" t="s">
        <v>63</v>
      </c>
      <c r="I57" s="25" t="s">
        <v>64</v>
      </c>
      <c r="J57" s="25" t="s">
        <v>65</v>
      </c>
    </row>
    <row r="58" spans="1:10" x14ac:dyDescent="0.25">
      <c r="A58" s="22" t="s">
        <v>66</v>
      </c>
      <c r="B58" s="22"/>
      <c r="C58" s="15">
        <f>ROUND(0.6764, 4)</f>
        <v>0.6764</v>
      </c>
      <c r="D58" s="15">
        <f>ROUND(0.6575, 4)</f>
        <v>0.65749999999999997</v>
      </c>
      <c r="E58" s="15">
        <f>ROUND(0.7608, 4)</f>
        <v>0.76080000000000003</v>
      </c>
      <c r="F58" s="8"/>
      <c r="G58" s="14" t="s">
        <v>67</v>
      </c>
      <c r="H58" s="29"/>
      <c r="I58" s="26"/>
      <c r="J58" s="26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68</v>
      </c>
      <c r="B62" s="27"/>
      <c r="C62" s="14" t="s">
        <v>2</v>
      </c>
      <c r="D62" s="14" t="s">
        <v>156</v>
      </c>
      <c r="E62" s="14" t="s">
        <v>70</v>
      </c>
      <c r="F62" s="14" t="s">
        <v>71</v>
      </c>
      <c r="G62" s="14" t="s">
        <v>72</v>
      </c>
      <c r="H62" s="13"/>
      <c r="I62" s="17"/>
      <c r="J62" s="17"/>
    </row>
    <row r="63" spans="1:10" x14ac:dyDescent="0.25">
      <c r="A63" s="22" t="s">
        <v>73</v>
      </c>
      <c r="B63" s="22"/>
      <c r="C63" s="16">
        <v>77.27</v>
      </c>
      <c r="D63" s="16">
        <v>73.650000000000006</v>
      </c>
      <c r="E63" s="16">
        <v>92.53</v>
      </c>
      <c r="F63" s="16">
        <v>56.06</v>
      </c>
      <c r="G63" s="16">
        <f>12/11*C63</f>
        <v>84.294545454545442</v>
      </c>
      <c r="H63" s="8"/>
      <c r="I63" s="9"/>
      <c r="J63" s="9"/>
    </row>
    <row r="64" spans="1:10" x14ac:dyDescent="0.25">
      <c r="A64" s="22" t="s">
        <v>74</v>
      </c>
      <c r="B64" s="22"/>
      <c r="C64" s="16">
        <v>32.65</v>
      </c>
      <c r="D64" s="16">
        <v>42.49</v>
      </c>
      <c r="E64" s="16">
        <v>61.98</v>
      </c>
      <c r="F64" s="16">
        <v>64.09</v>
      </c>
      <c r="G64" s="16">
        <f>12/11*C64</f>
        <v>35.618181818181817</v>
      </c>
      <c r="H64" s="8"/>
      <c r="I64" s="9"/>
      <c r="J64" s="9"/>
    </row>
    <row r="65" spans="1:10" x14ac:dyDescent="0.25">
      <c r="A65" s="22" t="s">
        <v>75</v>
      </c>
      <c r="B65" s="22"/>
      <c r="C65" s="16">
        <v>204.42</v>
      </c>
      <c r="D65" s="16">
        <v>230.61</v>
      </c>
      <c r="E65" s="16">
        <v>291.51</v>
      </c>
      <c r="F65" s="16">
        <v>284.45</v>
      </c>
      <c r="G65" s="16">
        <f>12/11*C65</f>
        <v>223.00363636363633</v>
      </c>
      <c r="H65" s="8"/>
      <c r="I65" s="9"/>
      <c r="J65" s="9"/>
    </row>
    <row r="66" spans="1:10" x14ac:dyDescent="0.25">
      <c r="A66" s="22" t="s">
        <v>76</v>
      </c>
      <c r="B66" s="22"/>
      <c r="C66" s="16">
        <v>101.62</v>
      </c>
      <c r="D66" s="16">
        <v>98.42</v>
      </c>
      <c r="E66" s="16">
        <v>116.46</v>
      </c>
      <c r="F66" s="16">
        <v>79.959999999999994</v>
      </c>
      <c r="G66" s="16">
        <f>12/11*C66</f>
        <v>110.85818181818182</v>
      </c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23" t="s">
        <v>60</v>
      </c>
      <c r="B69" s="24"/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77</v>
      </c>
      <c r="B70" s="1" t="s">
        <v>157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70</v>
      </c>
      <c r="B71" s="1" t="s">
        <v>79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71</v>
      </c>
      <c r="B72" s="1" t="s">
        <v>80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72</v>
      </c>
      <c r="B73" s="1" t="s">
        <v>81</v>
      </c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</sheetData>
  <mergeCells count="19">
    <mergeCell ref="C7:G7"/>
    <mergeCell ref="A42:B42"/>
    <mergeCell ref="A43:B43"/>
    <mergeCell ref="A48:B48"/>
    <mergeCell ref="A49:B49"/>
    <mergeCell ref="J57:J58"/>
    <mergeCell ref="A58:B58"/>
    <mergeCell ref="A62:B62"/>
    <mergeCell ref="A63:B63"/>
    <mergeCell ref="A50:B50"/>
    <mergeCell ref="A51:B51"/>
    <mergeCell ref="A56:B56"/>
    <mergeCell ref="A57:B57"/>
    <mergeCell ref="H57:H58"/>
    <mergeCell ref="A64:B64"/>
    <mergeCell ref="A65:B65"/>
    <mergeCell ref="A66:B66"/>
    <mergeCell ref="A69:B69"/>
    <mergeCell ref="I57:I5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J77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5703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158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5993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50</v>
      </c>
      <c r="C9" s="10"/>
      <c r="D9" s="10"/>
      <c r="E9" s="10"/>
      <c r="F9" s="10">
        <v>156</v>
      </c>
      <c r="G9" s="10">
        <f t="shared" ref="G9:G45" si="0">SUM(C9:F9)</f>
        <v>156</v>
      </c>
      <c r="H9" s="16">
        <f t="shared" ref="H9:H45" si="1">ROUND(G9/5993,2)</f>
        <v>0.03</v>
      </c>
      <c r="I9" s="15">
        <f t="shared" ref="I9:I45" si="2">ROUND(G9/$G$46,3)</f>
        <v>0</v>
      </c>
      <c r="J9" s="15"/>
    </row>
    <row r="10" spans="1:10" x14ac:dyDescent="0.25">
      <c r="A10" s="1" t="s">
        <v>48</v>
      </c>
      <c r="B10" s="1" t="s">
        <v>51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/>
    </row>
    <row r="11" spans="1:10" x14ac:dyDescent="0.25">
      <c r="A11" s="1" t="s">
        <v>48</v>
      </c>
      <c r="B11" s="1" t="s">
        <v>159</v>
      </c>
      <c r="C11" s="10"/>
      <c r="D11" s="10"/>
      <c r="E11" s="10"/>
      <c r="F11" s="10"/>
      <c r="G11" s="10">
        <f t="shared" si="0"/>
        <v>0</v>
      </c>
      <c r="H11" s="16">
        <f t="shared" si="1"/>
        <v>0</v>
      </c>
      <c r="I11" s="15">
        <f t="shared" si="2"/>
        <v>0</v>
      </c>
      <c r="J11" s="15"/>
    </row>
    <row r="12" spans="1:10" x14ac:dyDescent="0.25">
      <c r="A12" s="1" t="s">
        <v>16</v>
      </c>
      <c r="B12" s="1" t="s">
        <v>17</v>
      </c>
      <c r="C12" s="10"/>
      <c r="D12" s="10"/>
      <c r="E12" s="10">
        <v>186</v>
      </c>
      <c r="F12" s="10"/>
      <c r="G12" s="10">
        <f t="shared" si="0"/>
        <v>186</v>
      </c>
      <c r="H12" s="16">
        <f t="shared" si="1"/>
        <v>0.03</v>
      </c>
      <c r="I12" s="15">
        <f t="shared" si="2"/>
        <v>0</v>
      </c>
      <c r="J12" s="15">
        <f>ROUND(G12/154-1,2)</f>
        <v>0.21</v>
      </c>
    </row>
    <row r="13" spans="1:10" x14ac:dyDescent="0.25">
      <c r="A13" s="1" t="s">
        <v>16</v>
      </c>
      <c r="B13" s="1" t="s">
        <v>19</v>
      </c>
      <c r="C13" s="10">
        <v>203290</v>
      </c>
      <c r="D13" s="10"/>
      <c r="E13" s="10">
        <v>2660</v>
      </c>
      <c r="F13" s="10"/>
      <c r="G13" s="10">
        <f t="shared" si="0"/>
        <v>205950</v>
      </c>
      <c r="H13" s="16">
        <f t="shared" si="1"/>
        <v>34.369999999999997</v>
      </c>
      <c r="I13" s="15">
        <f t="shared" si="2"/>
        <v>7.5999999999999998E-2</v>
      </c>
      <c r="J13" s="15">
        <f>ROUND(G13/205580-1,2)</f>
        <v>0</v>
      </c>
    </row>
    <row r="14" spans="1:10" x14ac:dyDescent="0.25">
      <c r="A14" s="1" t="s">
        <v>16</v>
      </c>
      <c r="B14" s="1" t="s">
        <v>20</v>
      </c>
      <c r="C14" s="10">
        <v>263380</v>
      </c>
      <c r="D14" s="10"/>
      <c r="E14" s="10"/>
      <c r="F14" s="10"/>
      <c r="G14" s="10">
        <f t="shared" si="0"/>
        <v>263380</v>
      </c>
      <c r="H14" s="16">
        <f t="shared" si="1"/>
        <v>43.95</v>
      </c>
      <c r="I14" s="15">
        <f t="shared" si="2"/>
        <v>9.7000000000000003E-2</v>
      </c>
      <c r="J14" s="15">
        <f>ROUND(G14/261790-1,2)</f>
        <v>0.01</v>
      </c>
    </row>
    <row r="15" spans="1:10" x14ac:dyDescent="0.25">
      <c r="A15" s="1" t="s">
        <v>16</v>
      </c>
      <c r="B15" s="1" t="s">
        <v>95</v>
      </c>
      <c r="C15" s="10"/>
      <c r="D15" s="10"/>
      <c r="E15" s="10">
        <v>274</v>
      </c>
      <c r="F15" s="10"/>
      <c r="G15" s="10">
        <f t="shared" si="0"/>
        <v>274</v>
      </c>
      <c r="H15" s="16">
        <f t="shared" si="1"/>
        <v>0.05</v>
      </c>
      <c r="I15" s="15">
        <f t="shared" si="2"/>
        <v>0</v>
      </c>
      <c r="J15" s="15">
        <f>ROUND(G15/190-1,2)</f>
        <v>0.44</v>
      </c>
    </row>
    <row r="16" spans="1:10" x14ac:dyDescent="0.25">
      <c r="A16" s="1" t="s">
        <v>16</v>
      </c>
      <c r="B16" s="1" t="s">
        <v>21</v>
      </c>
      <c r="C16" s="10"/>
      <c r="D16" s="10"/>
      <c r="E16" s="10">
        <v>194</v>
      </c>
      <c r="F16" s="10"/>
      <c r="G16" s="10">
        <f t="shared" si="0"/>
        <v>194</v>
      </c>
      <c r="H16" s="16">
        <f t="shared" si="1"/>
        <v>0.03</v>
      </c>
      <c r="I16" s="15">
        <f t="shared" si="2"/>
        <v>0</v>
      </c>
      <c r="J16" s="15">
        <f>ROUND(G16/197-1,2)</f>
        <v>-0.02</v>
      </c>
    </row>
    <row r="17" spans="1:10" x14ac:dyDescent="0.25">
      <c r="A17" s="1" t="s">
        <v>16</v>
      </c>
      <c r="B17" s="1" t="s">
        <v>22</v>
      </c>
      <c r="C17" s="10"/>
      <c r="D17" s="10"/>
      <c r="E17" s="10">
        <v>2600</v>
      </c>
      <c r="F17" s="10"/>
      <c r="G17" s="10">
        <f t="shared" si="0"/>
        <v>2600</v>
      </c>
      <c r="H17" s="16">
        <f t="shared" si="1"/>
        <v>0.43</v>
      </c>
      <c r="I17" s="15">
        <f t="shared" si="2"/>
        <v>1E-3</v>
      </c>
      <c r="J17" s="15">
        <f>ROUND(G17/3760-1,2)</f>
        <v>-0.31</v>
      </c>
    </row>
    <row r="18" spans="1:10" x14ac:dyDescent="0.25">
      <c r="A18" s="1" t="s">
        <v>16</v>
      </c>
      <c r="B18" s="1" t="s">
        <v>98</v>
      </c>
      <c r="C18" s="10"/>
      <c r="D18" s="10"/>
      <c r="E18" s="10"/>
      <c r="F18" s="10">
        <v>117</v>
      </c>
      <c r="G18" s="10">
        <f t="shared" si="0"/>
        <v>117</v>
      </c>
      <c r="H18" s="16">
        <f t="shared" si="1"/>
        <v>0.02</v>
      </c>
      <c r="I18" s="15">
        <f t="shared" si="2"/>
        <v>0</v>
      </c>
      <c r="J18" s="15"/>
    </row>
    <row r="19" spans="1:10" x14ac:dyDescent="0.25">
      <c r="A19" s="1" t="s">
        <v>16</v>
      </c>
      <c r="B19" s="1" t="s">
        <v>23</v>
      </c>
      <c r="C19" s="10"/>
      <c r="D19" s="10"/>
      <c r="E19" s="10">
        <v>55650</v>
      </c>
      <c r="F19" s="10"/>
      <c r="G19" s="10">
        <f t="shared" si="0"/>
        <v>55650</v>
      </c>
      <c r="H19" s="16">
        <f t="shared" si="1"/>
        <v>9.2899999999999991</v>
      </c>
      <c r="I19" s="15">
        <f t="shared" si="2"/>
        <v>0.02</v>
      </c>
      <c r="J19" s="15">
        <f>ROUND(G19/58520-1,2)</f>
        <v>-0.05</v>
      </c>
    </row>
    <row r="20" spans="1:10" x14ac:dyDescent="0.25">
      <c r="A20" s="1" t="s">
        <v>16</v>
      </c>
      <c r="B20" s="1" t="s">
        <v>24</v>
      </c>
      <c r="C20" s="10">
        <v>321540</v>
      </c>
      <c r="D20" s="10"/>
      <c r="E20" s="10">
        <v>28660</v>
      </c>
      <c r="F20" s="10"/>
      <c r="G20" s="10">
        <f t="shared" si="0"/>
        <v>350200</v>
      </c>
      <c r="H20" s="16">
        <f t="shared" si="1"/>
        <v>58.43</v>
      </c>
      <c r="I20" s="15">
        <f t="shared" si="2"/>
        <v>0.129</v>
      </c>
      <c r="J20" s="15">
        <f>ROUND(G20/336900-1,2)</f>
        <v>0.04</v>
      </c>
    </row>
    <row r="21" spans="1:10" x14ac:dyDescent="0.25">
      <c r="A21" s="1" t="s">
        <v>16</v>
      </c>
      <c r="B21" s="1" t="s">
        <v>25</v>
      </c>
      <c r="C21" s="10"/>
      <c r="D21" s="10"/>
      <c r="E21" s="10">
        <v>10505</v>
      </c>
      <c r="F21" s="10"/>
      <c r="G21" s="10">
        <f t="shared" si="0"/>
        <v>10505</v>
      </c>
      <c r="H21" s="16">
        <f t="shared" si="1"/>
        <v>1.75</v>
      </c>
      <c r="I21" s="15">
        <f t="shared" si="2"/>
        <v>4.0000000000000001E-3</v>
      </c>
      <c r="J21" s="15">
        <f>ROUND(G21/9455-1,2)</f>
        <v>0.11</v>
      </c>
    </row>
    <row r="22" spans="1:10" x14ac:dyDescent="0.25">
      <c r="A22" s="1" t="s">
        <v>16</v>
      </c>
      <c r="B22" s="1" t="s">
        <v>26</v>
      </c>
      <c r="C22" s="10">
        <v>383230</v>
      </c>
      <c r="D22" s="10"/>
      <c r="E22" s="10"/>
      <c r="F22" s="10">
        <v>690</v>
      </c>
      <c r="G22" s="10">
        <f t="shared" si="0"/>
        <v>383920</v>
      </c>
      <c r="H22" s="16">
        <f t="shared" si="1"/>
        <v>64.06</v>
      </c>
      <c r="I22" s="15">
        <f t="shared" si="2"/>
        <v>0.14099999999999999</v>
      </c>
      <c r="J22" s="15">
        <f>ROUND(G22/383640-1,2)</f>
        <v>0</v>
      </c>
    </row>
    <row r="23" spans="1:10" x14ac:dyDescent="0.25">
      <c r="A23" s="1" t="s">
        <v>16</v>
      </c>
      <c r="B23" s="1" t="s">
        <v>27</v>
      </c>
      <c r="C23" s="10"/>
      <c r="D23" s="10"/>
      <c r="E23" s="10">
        <v>1303</v>
      </c>
      <c r="F23" s="10"/>
      <c r="G23" s="10">
        <f t="shared" si="0"/>
        <v>1303</v>
      </c>
      <c r="H23" s="16">
        <f t="shared" si="1"/>
        <v>0.22</v>
      </c>
      <c r="I23" s="15">
        <f t="shared" si="2"/>
        <v>0</v>
      </c>
      <c r="J23" s="15">
        <f>ROUND(G23/1279-1,2)</f>
        <v>0.02</v>
      </c>
    </row>
    <row r="24" spans="1:10" x14ac:dyDescent="0.25">
      <c r="A24" s="1" t="s">
        <v>16</v>
      </c>
      <c r="B24" s="1" t="s">
        <v>28</v>
      </c>
      <c r="C24" s="10"/>
      <c r="D24" s="10"/>
      <c r="E24" s="10">
        <v>650</v>
      </c>
      <c r="F24" s="10"/>
      <c r="G24" s="10">
        <f t="shared" si="0"/>
        <v>650</v>
      </c>
      <c r="H24" s="16">
        <f t="shared" si="1"/>
        <v>0.11</v>
      </c>
      <c r="I24" s="15">
        <f t="shared" si="2"/>
        <v>0</v>
      </c>
      <c r="J24" s="15">
        <f>ROUND(G24/520-1,2)</f>
        <v>0.25</v>
      </c>
    </row>
    <row r="25" spans="1:10" x14ac:dyDescent="0.25">
      <c r="A25" s="1" t="s">
        <v>16</v>
      </c>
      <c r="B25" s="1" t="s">
        <v>30</v>
      </c>
      <c r="C25" s="10"/>
      <c r="D25" s="10"/>
      <c r="E25" s="10">
        <v>2450</v>
      </c>
      <c r="F25" s="10"/>
      <c r="G25" s="10">
        <f t="shared" si="0"/>
        <v>2450</v>
      </c>
      <c r="H25" s="16">
        <f t="shared" si="1"/>
        <v>0.41</v>
      </c>
      <c r="I25" s="15">
        <f t="shared" si="2"/>
        <v>1E-3</v>
      </c>
      <c r="J25" s="15">
        <f>ROUND(G25/2240-1,2)</f>
        <v>0.09</v>
      </c>
    </row>
    <row r="26" spans="1:10" x14ac:dyDescent="0.25">
      <c r="A26" s="1" t="s">
        <v>16</v>
      </c>
      <c r="B26" s="1" t="s">
        <v>31</v>
      </c>
      <c r="C26" s="10"/>
      <c r="D26" s="10"/>
      <c r="E26" s="10">
        <v>1230</v>
      </c>
      <c r="F26" s="10"/>
      <c r="G26" s="10">
        <f t="shared" si="0"/>
        <v>1230</v>
      </c>
      <c r="H26" s="16">
        <f t="shared" si="1"/>
        <v>0.21</v>
      </c>
      <c r="I26" s="15">
        <f t="shared" si="2"/>
        <v>0</v>
      </c>
      <c r="J26" s="15">
        <f>ROUND(G26/360-1,2)</f>
        <v>2.42</v>
      </c>
    </row>
    <row r="27" spans="1:10" x14ac:dyDescent="0.25">
      <c r="A27" s="1" t="s">
        <v>16</v>
      </c>
      <c r="B27" s="1" t="s">
        <v>32</v>
      </c>
      <c r="C27" s="10"/>
      <c r="D27" s="10"/>
      <c r="E27" s="10">
        <v>4185</v>
      </c>
      <c r="F27" s="10"/>
      <c r="G27" s="10">
        <f t="shared" si="0"/>
        <v>4185</v>
      </c>
      <c r="H27" s="16">
        <f t="shared" si="1"/>
        <v>0.7</v>
      </c>
      <c r="I27" s="15">
        <f t="shared" si="2"/>
        <v>2E-3</v>
      </c>
      <c r="J27" s="15">
        <f>ROUND(G27/2120-1,2)</f>
        <v>0.97</v>
      </c>
    </row>
    <row r="28" spans="1:10" x14ac:dyDescent="0.25">
      <c r="A28" s="1" t="s">
        <v>16</v>
      </c>
      <c r="B28" s="1" t="s">
        <v>33</v>
      </c>
      <c r="C28" s="10"/>
      <c r="D28" s="10">
        <v>463</v>
      </c>
      <c r="E28" s="10">
        <v>148</v>
      </c>
      <c r="F28" s="10"/>
      <c r="G28" s="10">
        <f t="shared" si="0"/>
        <v>611</v>
      </c>
      <c r="H28" s="16">
        <f t="shared" si="1"/>
        <v>0.1</v>
      </c>
      <c r="I28" s="15">
        <f t="shared" si="2"/>
        <v>0</v>
      </c>
      <c r="J28" s="15">
        <f>ROUND(G28/582-1,2)</f>
        <v>0.05</v>
      </c>
    </row>
    <row r="29" spans="1:10" x14ac:dyDescent="0.25">
      <c r="A29" s="1" t="s">
        <v>16</v>
      </c>
      <c r="B29" s="1" t="s">
        <v>34</v>
      </c>
      <c r="C29" s="10"/>
      <c r="D29" s="10"/>
      <c r="E29" s="10">
        <v>260</v>
      </c>
      <c r="F29" s="10"/>
      <c r="G29" s="10">
        <f t="shared" si="0"/>
        <v>260</v>
      </c>
      <c r="H29" s="16">
        <f t="shared" si="1"/>
        <v>0.04</v>
      </c>
      <c r="I29" s="15">
        <f t="shared" si="2"/>
        <v>0</v>
      </c>
      <c r="J29" s="15"/>
    </row>
    <row r="30" spans="1:10" x14ac:dyDescent="0.25">
      <c r="A30" s="1" t="s">
        <v>16</v>
      </c>
      <c r="B30" s="1" t="s">
        <v>35</v>
      </c>
      <c r="C30" s="10"/>
      <c r="D30" s="10">
        <v>190</v>
      </c>
      <c r="E30" s="10"/>
      <c r="F30" s="10"/>
      <c r="G30" s="10">
        <f t="shared" si="0"/>
        <v>190</v>
      </c>
      <c r="H30" s="16">
        <f t="shared" si="1"/>
        <v>0.03</v>
      </c>
      <c r="I30" s="15">
        <f t="shared" si="2"/>
        <v>0</v>
      </c>
      <c r="J30" s="15">
        <f>ROUND(G30/985-1,2)</f>
        <v>-0.81</v>
      </c>
    </row>
    <row r="31" spans="1:10" x14ac:dyDescent="0.25">
      <c r="A31" s="1" t="s">
        <v>16</v>
      </c>
      <c r="B31" s="1" t="s">
        <v>37</v>
      </c>
      <c r="C31" s="10"/>
      <c r="D31" s="10"/>
      <c r="E31" s="10">
        <v>3330</v>
      </c>
      <c r="F31" s="10"/>
      <c r="G31" s="10">
        <f t="shared" si="0"/>
        <v>3330</v>
      </c>
      <c r="H31" s="16">
        <f t="shared" si="1"/>
        <v>0.56000000000000005</v>
      </c>
      <c r="I31" s="15">
        <f t="shared" si="2"/>
        <v>1E-3</v>
      </c>
      <c r="J31" s="15">
        <f>ROUND(G31/6966-1,2)</f>
        <v>-0.52</v>
      </c>
    </row>
    <row r="32" spans="1:10" x14ac:dyDescent="0.25">
      <c r="A32" s="1" t="s">
        <v>16</v>
      </c>
      <c r="B32" s="1" t="s">
        <v>43</v>
      </c>
      <c r="C32" s="10"/>
      <c r="D32" s="10"/>
      <c r="E32" s="10">
        <v>6250</v>
      </c>
      <c r="F32" s="10"/>
      <c r="G32" s="10">
        <f t="shared" si="0"/>
        <v>6250</v>
      </c>
      <c r="H32" s="16">
        <f t="shared" si="1"/>
        <v>1.04</v>
      </c>
      <c r="I32" s="15">
        <f t="shared" si="2"/>
        <v>2E-3</v>
      </c>
      <c r="J32" s="15">
        <f>ROUND(G32/10807-1,2)</f>
        <v>-0.42</v>
      </c>
    </row>
    <row r="33" spans="1:10" x14ac:dyDescent="0.25">
      <c r="A33" s="1" t="s">
        <v>16</v>
      </c>
      <c r="B33" s="1" t="s">
        <v>38</v>
      </c>
      <c r="C33" s="10"/>
      <c r="D33" s="10"/>
      <c r="E33" s="10">
        <v>200590</v>
      </c>
      <c r="F33" s="10"/>
      <c r="G33" s="10">
        <f t="shared" si="0"/>
        <v>200590</v>
      </c>
      <c r="H33" s="16">
        <f t="shared" si="1"/>
        <v>33.47</v>
      </c>
      <c r="I33" s="15">
        <f t="shared" si="2"/>
        <v>7.3999999999999996E-2</v>
      </c>
      <c r="J33" s="15">
        <f>ROUND(G33/151230-1,2)</f>
        <v>0.33</v>
      </c>
    </row>
    <row r="34" spans="1:10" x14ac:dyDescent="0.25">
      <c r="A34" s="1" t="s">
        <v>16</v>
      </c>
      <c r="B34" s="1" t="s">
        <v>39</v>
      </c>
      <c r="C34" s="10"/>
      <c r="D34" s="10"/>
      <c r="E34" s="10">
        <v>2640</v>
      </c>
      <c r="F34" s="10"/>
      <c r="G34" s="10">
        <f t="shared" si="0"/>
        <v>2640</v>
      </c>
      <c r="H34" s="16">
        <f t="shared" si="1"/>
        <v>0.44</v>
      </c>
      <c r="I34" s="15">
        <f t="shared" si="2"/>
        <v>1E-3</v>
      </c>
      <c r="J34" s="15">
        <f>ROUND(G34/5560-1,2)</f>
        <v>-0.53</v>
      </c>
    </row>
    <row r="35" spans="1:10" x14ac:dyDescent="0.25">
      <c r="A35" s="1" t="s">
        <v>16</v>
      </c>
      <c r="B35" s="1" t="s">
        <v>40</v>
      </c>
      <c r="C35" s="10"/>
      <c r="D35" s="10"/>
      <c r="E35" s="10">
        <v>34550</v>
      </c>
      <c r="F35" s="10"/>
      <c r="G35" s="10">
        <f t="shared" si="0"/>
        <v>34550</v>
      </c>
      <c r="H35" s="16">
        <f t="shared" si="1"/>
        <v>5.77</v>
      </c>
      <c r="I35" s="15">
        <f t="shared" si="2"/>
        <v>1.2999999999999999E-2</v>
      </c>
      <c r="J35" s="15">
        <f>ROUND(G35/22420-1,2)</f>
        <v>0.54</v>
      </c>
    </row>
    <row r="36" spans="1:10" x14ac:dyDescent="0.25">
      <c r="A36" s="1" t="s">
        <v>16</v>
      </c>
      <c r="B36" s="1" t="s">
        <v>41</v>
      </c>
      <c r="C36" s="10"/>
      <c r="D36" s="10"/>
      <c r="E36" s="10">
        <v>353200</v>
      </c>
      <c r="F36" s="10">
        <v>3960</v>
      </c>
      <c r="G36" s="10">
        <f t="shared" si="0"/>
        <v>357160</v>
      </c>
      <c r="H36" s="16">
        <f t="shared" si="1"/>
        <v>59.6</v>
      </c>
      <c r="I36" s="15">
        <f t="shared" si="2"/>
        <v>0.13100000000000001</v>
      </c>
      <c r="J36" s="15">
        <f>ROUND(G36/352620-1,2)</f>
        <v>0.01</v>
      </c>
    </row>
    <row r="37" spans="1:10" x14ac:dyDescent="0.25">
      <c r="A37" s="1" t="s">
        <v>16</v>
      </c>
      <c r="B37" s="1" t="s">
        <v>42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ROUND(G37/300-1,2)</f>
        <v>-1</v>
      </c>
    </row>
    <row r="38" spans="1:10" x14ac:dyDescent="0.25">
      <c r="A38" s="1" t="s">
        <v>16</v>
      </c>
      <c r="B38" s="1" t="s">
        <v>29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ROUND(G38/6500-1,2)</f>
        <v>-1</v>
      </c>
    </row>
    <row r="39" spans="1:10" x14ac:dyDescent="0.25">
      <c r="A39" s="1" t="s">
        <v>16</v>
      </c>
      <c r="B39" s="1" t="s">
        <v>36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ROUND(G39/3902-1,2)</f>
        <v>-1</v>
      </c>
    </row>
    <row r="40" spans="1:10" x14ac:dyDescent="0.25">
      <c r="A40" s="1" t="s">
        <v>16</v>
      </c>
      <c r="B40" s="1" t="s">
        <v>160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ROUND(G40/350-1,2)</f>
        <v>-1</v>
      </c>
    </row>
    <row r="41" spans="1:10" x14ac:dyDescent="0.25">
      <c r="A41" s="1" t="s">
        <v>16</v>
      </c>
      <c r="B41" s="1" t="s">
        <v>120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1" t="s">
        <v>16</v>
      </c>
      <c r="B42" s="1" t="s">
        <v>161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1" t="s">
        <v>44</v>
      </c>
      <c r="B43" s="1" t="s">
        <v>45</v>
      </c>
      <c r="C43" s="10">
        <v>636840</v>
      </c>
      <c r="D43" s="10"/>
      <c r="E43" s="10"/>
      <c r="F43" s="10"/>
      <c r="G43" s="10">
        <f t="shared" si="0"/>
        <v>636840</v>
      </c>
      <c r="H43" s="16">
        <f t="shared" si="1"/>
        <v>106.26</v>
      </c>
      <c r="I43" s="15">
        <f t="shared" si="2"/>
        <v>0.23400000000000001</v>
      </c>
      <c r="J43" s="15">
        <f>ROUND(G43/615250-1,2)</f>
        <v>0.04</v>
      </c>
    </row>
    <row r="44" spans="1:10" x14ac:dyDescent="0.25">
      <c r="A44" s="1" t="s">
        <v>44</v>
      </c>
      <c r="B44" s="1" t="s">
        <v>47</v>
      </c>
      <c r="C44" s="10"/>
      <c r="D44" s="10"/>
      <c r="E44" s="10"/>
      <c r="F44" s="10">
        <v>28020</v>
      </c>
      <c r="G44" s="10">
        <f t="shared" si="0"/>
        <v>28020</v>
      </c>
      <c r="H44" s="16">
        <f t="shared" si="1"/>
        <v>4.68</v>
      </c>
      <c r="I44" s="15">
        <f t="shared" si="2"/>
        <v>0.01</v>
      </c>
      <c r="J44" s="15">
        <f>ROUND(G44/17770-1,2)</f>
        <v>0.57999999999999996</v>
      </c>
    </row>
    <row r="45" spans="1:10" x14ac:dyDescent="0.25">
      <c r="A45" s="1" t="s">
        <v>44</v>
      </c>
      <c r="B45" s="1" t="s">
        <v>46</v>
      </c>
      <c r="C45" s="10"/>
      <c r="D45" s="10"/>
      <c r="E45" s="10">
        <v>164170</v>
      </c>
      <c r="F45" s="10"/>
      <c r="G45" s="10">
        <f t="shared" si="0"/>
        <v>164170</v>
      </c>
      <c r="H45" s="16">
        <f t="shared" si="1"/>
        <v>27.39</v>
      </c>
      <c r="I45" s="15">
        <f t="shared" si="2"/>
        <v>0.06</v>
      </c>
      <c r="J45" s="15">
        <f>ROUND(G45/114500-1,2)</f>
        <v>0.43</v>
      </c>
    </row>
    <row r="46" spans="1:10" x14ac:dyDescent="0.25">
      <c r="A46" s="27" t="s">
        <v>12</v>
      </c>
      <c r="B46" s="27"/>
      <c r="C46" s="11">
        <f t="shared" ref="C46:H46" si="3">SUM(C8:C45)</f>
        <v>1808280</v>
      </c>
      <c r="D46" s="11">
        <f t="shared" si="3"/>
        <v>653</v>
      </c>
      <c r="E46" s="11">
        <f t="shared" si="3"/>
        <v>875685</v>
      </c>
      <c r="F46" s="11">
        <f t="shared" si="3"/>
        <v>32943</v>
      </c>
      <c r="G46" s="11">
        <f t="shared" si="3"/>
        <v>2717561</v>
      </c>
      <c r="H46" s="14">
        <f t="shared" si="3"/>
        <v>453.46999999999997</v>
      </c>
      <c r="I46" s="17"/>
      <c r="J46" s="17"/>
    </row>
    <row r="47" spans="1:10" x14ac:dyDescent="0.25">
      <c r="A47" s="27" t="s">
        <v>14</v>
      </c>
      <c r="B47" s="27"/>
      <c r="C47" s="12">
        <f>ROUND(C46/G46,2)</f>
        <v>0.67</v>
      </c>
      <c r="D47" s="12">
        <f>ROUND(D46/G46,2)</f>
        <v>0</v>
      </c>
      <c r="E47" s="12">
        <f>ROUND(E46/G46,2)</f>
        <v>0.32</v>
      </c>
      <c r="F47" s="12">
        <f>ROUND(F46/G46,2)</f>
        <v>0.01</v>
      </c>
      <c r="G47" s="13"/>
      <c r="H47" s="13"/>
      <c r="I47" s="17"/>
      <c r="J47" s="17"/>
    </row>
    <row r="48" spans="1:10" x14ac:dyDescent="0.25">
      <c r="A48" s="2" t="s">
        <v>52</v>
      </c>
      <c r="B48" s="2"/>
      <c r="C48" s="13"/>
      <c r="D48" s="13"/>
      <c r="E48" s="13"/>
      <c r="F48" s="13"/>
      <c r="G48" s="13"/>
      <c r="H48" s="13"/>
      <c r="I48" s="17"/>
      <c r="J48" s="17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53</v>
      </c>
      <c r="B52" s="27"/>
      <c r="C52" s="11" t="s">
        <v>8</v>
      </c>
      <c r="D52" s="11" t="s">
        <v>9</v>
      </c>
      <c r="E52" s="11" t="s">
        <v>10</v>
      </c>
      <c r="F52" s="11" t="s">
        <v>11</v>
      </c>
      <c r="G52" s="11" t="s">
        <v>12</v>
      </c>
      <c r="H52" s="14" t="s">
        <v>13</v>
      </c>
      <c r="I52" s="17"/>
      <c r="J52" s="17"/>
    </row>
    <row r="53" spans="1:10" x14ac:dyDescent="0.25">
      <c r="A53" s="22" t="s">
        <v>54</v>
      </c>
      <c r="B53" s="22"/>
      <c r="C53" s="10">
        <v>1171440</v>
      </c>
      <c r="D53" s="10">
        <v>653</v>
      </c>
      <c r="E53" s="10">
        <v>711515</v>
      </c>
      <c r="F53" s="10">
        <v>4767</v>
      </c>
      <c r="G53" s="10">
        <f>SUM(C53:F53)</f>
        <v>1888375</v>
      </c>
      <c r="H53" s="16">
        <f>ROUND(G53/5993,2)</f>
        <v>315.10000000000002</v>
      </c>
      <c r="I53" s="9"/>
      <c r="J53" s="9"/>
    </row>
    <row r="54" spans="1:10" x14ac:dyDescent="0.25">
      <c r="A54" s="22" t="s">
        <v>55</v>
      </c>
      <c r="B54" s="22"/>
      <c r="C54" s="10">
        <v>636840</v>
      </c>
      <c r="D54" s="10">
        <v>0</v>
      </c>
      <c r="E54" s="10">
        <v>164170</v>
      </c>
      <c r="F54" s="10">
        <v>28020</v>
      </c>
      <c r="G54" s="10">
        <f>SUM(C54:F54)</f>
        <v>829030</v>
      </c>
      <c r="H54" s="16">
        <f>ROUND(G54/5993,2)</f>
        <v>138.33000000000001</v>
      </c>
      <c r="I54" s="9"/>
      <c r="J54" s="9"/>
    </row>
    <row r="55" spans="1:10" x14ac:dyDescent="0.25">
      <c r="A55" s="22" t="s">
        <v>56</v>
      </c>
      <c r="B55" s="22"/>
      <c r="C55" s="10">
        <v>0</v>
      </c>
      <c r="D55" s="10">
        <v>0</v>
      </c>
      <c r="E55" s="10">
        <v>0</v>
      </c>
      <c r="F55" s="10">
        <v>156</v>
      </c>
      <c r="G55" s="10">
        <f>SUM(C55:F55)</f>
        <v>156</v>
      </c>
      <c r="H55" s="16">
        <f>ROUND(G55/5993,2)</f>
        <v>0.03</v>
      </c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57</v>
      </c>
      <c r="B60" s="27"/>
      <c r="C60" s="14" t="s">
        <v>2</v>
      </c>
      <c r="D60" s="14">
        <v>2023</v>
      </c>
      <c r="E60" s="14" t="s">
        <v>59</v>
      </c>
      <c r="F60" s="13"/>
      <c r="G60" s="14" t="s">
        <v>60</v>
      </c>
      <c r="H60" s="14" t="s">
        <v>2</v>
      </c>
      <c r="I60" s="12" t="s">
        <v>61</v>
      </c>
      <c r="J60" s="12" t="s">
        <v>59</v>
      </c>
    </row>
    <row r="61" spans="1:10" x14ac:dyDescent="0.25">
      <c r="A61" s="22" t="s">
        <v>58</v>
      </c>
      <c r="B61" s="22"/>
      <c r="C61" s="15">
        <f>ROUND(0.7579, 4)</f>
        <v>0.75790000000000002</v>
      </c>
      <c r="D61" s="15">
        <f>ROUND(0.7479, 4)</f>
        <v>0.74790000000000001</v>
      </c>
      <c r="E61" s="15">
        <f>ROUND(0.777, 4)</f>
        <v>0.77700000000000002</v>
      </c>
      <c r="F61" s="8"/>
      <c r="G61" s="14" t="s">
        <v>62</v>
      </c>
      <c r="H61" s="28" t="s">
        <v>63</v>
      </c>
      <c r="I61" s="25" t="s">
        <v>64</v>
      </c>
      <c r="J61" s="25" t="s">
        <v>65</v>
      </c>
    </row>
    <row r="62" spans="1:10" x14ac:dyDescent="0.25">
      <c r="A62" s="22" t="s">
        <v>66</v>
      </c>
      <c r="B62" s="22"/>
      <c r="C62" s="7">
        <f>ROUND(0.748, 4)</f>
        <v>0.748</v>
      </c>
      <c r="D62" s="7">
        <f>ROUND(0.7376, 4)</f>
        <v>0.73760000000000003</v>
      </c>
      <c r="E62" s="7">
        <f>ROUND(0.7608, 4)</f>
        <v>0.76080000000000003</v>
      </c>
      <c r="G62" s="3" t="s">
        <v>67</v>
      </c>
      <c r="H62" s="22"/>
      <c r="I62" s="22"/>
      <c r="J62" s="22"/>
    </row>
    <row r="66" spans="1:10" x14ac:dyDescent="0.25">
      <c r="A66" s="27" t="s">
        <v>68</v>
      </c>
      <c r="B66" s="27"/>
      <c r="C66" s="3" t="s">
        <v>2</v>
      </c>
      <c r="D66" s="3" t="s">
        <v>162</v>
      </c>
      <c r="E66" s="3" t="s">
        <v>70</v>
      </c>
      <c r="F66" s="3" t="s">
        <v>71</v>
      </c>
      <c r="G66" s="3" t="s">
        <v>72</v>
      </c>
      <c r="H66" s="2"/>
      <c r="I66" s="2"/>
      <c r="J66" s="2"/>
    </row>
    <row r="67" spans="1:10" x14ac:dyDescent="0.25">
      <c r="A67" s="22" t="s">
        <v>73</v>
      </c>
      <c r="B67" s="22"/>
      <c r="C67" s="1">
        <v>106.26</v>
      </c>
      <c r="D67" s="1">
        <v>104.15</v>
      </c>
      <c r="E67" s="1">
        <v>92.53</v>
      </c>
      <c r="F67" s="1">
        <v>56.06</v>
      </c>
      <c r="G67" s="1">
        <f>12/11*C67</f>
        <v>115.92</v>
      </c>
    </row>
    <row r="68" spans="1:10" x14ac:dyDescent="0.25">
      <c r="A68" s="22" t="s">
        <v>74</v>
      </c>
      <c r="B68" s="22"/>
      <c r="C68" s="1">
        <v>64.06</v>
      </c>
      <c r="D68" s="1">
        <v>68.959999999999994</v>
      </c>
      <c r="E68" s="1">
        <v>61.98</v>
      </c>
      <c r="F68" s="1">
        <v>64.09</v>
      </c>
      <c r="G68" s="1">
        <f>12/11*C68</f>
        <v>69.883636363636356</v>
      </c>
    </row>
    <row r="69" spans="1:10" x14ac:dyDescent="0.25">
      <c r="A69" s="22" t="s">
        <v>75</v>
      </c>
      <c r="B69" s="22"/>
      <c r="C69" s="1">
        <v>315.10000000000002</v>
      </c>
      <c r="D69" s="1">
        <v>321.02</v>
      </c>
      <c r="E69" s="1">
        <v>291.51</v>
      </c>
      <c r="F69" s="1">
        <v>284.45</v>
      </c>
      <c r="G69" s="1">
        <f>12/11*C69</f>
        <v>343.74545454545455</v>
      </c>
    </row>
    <row r="70" spans="1:10" x14ac:dyDescent="0.25">
      <c r="A70" s="22" t="s">
        <v>76</v>
      </c>
      <c r="B70" s="22"/>
      <c r="C70" s="1">
        <v>138.33000000000001</v>
      </c>
      <c r="D70" s="1">
        <v>133.16</v>
      </c>
      <c r="E70" s="1">
        <v>116.46</v>
      </c>
      <c r="F70" s="1">
        <v>79.959999999999994</v>
      </c>
      <c r="G70" s="1">
        <f>12/11*C70</f>
        <v>150.90545454545455</v>
      </c>
    </row>
    <row r="73" spans="1:10" x14ac:dyDescent="0.25">
      <c r="A73" s="23" t="s">
        <v>60</v>
      </c>
      <c r="B73" s="24"/>
    </row>
    <row r="74" spans="1:10" x14ac:dyDescent="0.25">
      <c r="A74" s="3" t="s">
        <v>77</v>
      </c>
      <c r="B74" s="1" t="s">
        <v>163</v>
      </c>
    </row>
    <row r="75" spans="1:10" x14ac:dyDescent="0.25">
      <c r="A75" s="3" t="s">
        <v>70</v>
      </c>
      <c r="B75" s="1" t="s">
        <v>79</v>
      </c>
    </row>
    <row r="76" spans="1:10" x14ac:dyDescent="0.25">
      <c r="A76" s="3" t="s">
        <v>71</v>
      </c>
      <c r="B76" s="1" t="s">
        <v>80</v>
      </c>
    </row>
    <row r="77" spans="1:10" x14ac:dyDescent="0.25">
      <c r="A77" s="3" t="s">
        <v>72</v>
      </c>
      <c r="B77" s="1" t="s">
        <v>81</v>
      </c>
    </row>
  </sheetData>
  <mergeCells count="19">
    <mergeCell ref="C7:G7"/>
    <mergeCell ref="A46:B46"/>
    <mergeCell ref="A47:B47"/>
    <mergeCell ref="A52:B52"/>
    <mergeCell ref="A53:B53"/>
    <mergeCell ref="J61:J62"/>
    <mergeCell ref="A62:B62"/>
    <mergeCell ref="A66:B66"/>
    <mergeCell ref="A67:B67"/>
    <mergeCell ref="A54:B54"/>
    <mergeCell ref="A55:B55"/>
    <mergeCell ref="A60:B60"/>
    <mergeCell ref="A61:B61"/>
    <mergeCell ref="H61:H62"/>
    <mergeCell ref="A68:B68"/>
    <mergeCell ref="A69:B69"/>
    <mergeCell ref="A70:B70"/>
    <mergeCell ref="A73:B73"/>
    <mergeCell ref="I61:I6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J71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164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1086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50</v>
      </c>
      <c r="C9" s="10"/>
      <c r="D9" s="10"/>
      <c r="E9" s="10"/>
      <c r="F9" s="10">
        <v>491</v>
      </c>
      <c r="G9" s="10">
        <f t="shared" ref="G9:G29" si="0">SUM(C9:F9)</f>
        <v>491</v>
      </c>
      <c r="H9" s="16">
        <f t="shared" ref="H9:H29" si="1">ROUND(G9/1086,2)</f>
        <v>0.45</v>
      </c>
      <c r="I9" s="15">
        <f t="shared" ref="I9:I29" si="2">ROUND(G9/$G$30,3)</f>
        <v>1E-3</v>
      </c>
      <c r="J9" s="15"/>
    </row>
    <row r="10" spans="1:10" x14ac:dyDescent="0.25">
      <c r="A10" s="1" t="s">
        <v>48</v>
      </c>
      <c r="B10" s="1" t="s">
        <v>51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>
        <f>ROUND(G10/7-1,2)</f>
        <v>-1</v>
      </c>
    </row>
    <row r="11" spans="1:10" x14ac:dyDescent="0.25">
      <c r="A11" s="1" t="s">
        <v>16</v>
      </c>
      <c r="B11" s="1" t="s">
        <v>19</v>
      </c>
      <c r="C11" s="10">
        <v>33350</v>
      </c>
      <c r="D11" s="10"/>
      <c r="E11" s="10"/>
      <c r="F11" s="10">
        <v>200</v>
      </c>
      <c r="G11" s="10">
        <f t="shared" si="0"/>
        <v>33550</v>
      </c>
      <c r="H11" s="16">
        <f t="shared" si="1"/>
        <v>30.89</v>
      </c>
      <c r="I11" s="15">
        <f t="shared" si="2"/>
        <v>9.8000000000000004E-2</v>
      </c>
      <c r="J11" s="15">
        <f>ROUND(G11/33090-1,2)</f>
        <v>0.01</v>
      </c>
    </row>
    <row r="12" spans="1:10" x14ac:dyDescent="0.25">
      <c r="A12" s="1" t="s">
        <v>16</v>
      </c>
      <c r="B12" s="1" t="s">
        <v>20</v>
      </c>
      <c r="C12" s="10">
        <v>58390</v>
      </c>
      <c r="D12" s="10"/>
      <c r="E12" s="10"/>
      <c r="F12" s="10">
        <v>280</v>
      </c>
      <c r="G12" s="10">
        <f t="shared" si="0"/>
        <v>58670</v>
      </c>
      <c r="H12" s="16">
        <f t="shared" si="1"/>
        <v>54.02</v>
      </c>
      <c r="I12" s="15">
        <f t="shared" si="2"/>
        <v>0.17100000000000001</v>
      </c>
      <c r="J12" s="15">
        <f>ROUND(G12/46260-1,2)</f>
        <v>0.27</v>
      </c>
    </row>
    <row r="13" spans="1:10" x14ac:dyDescent="0.25">
      <c r="A13" s="1" t="s">
        <v>16</v>
      </c>
      <c r="B13" s="1" t="s">
        <v>21</v>
      </c>
      <c r="C13" s="10"/>
      <c r="D13" s="10"/>
      <c r="E13" s="10"/>
      <c r="F13" s="10">
        <v>12</v>
      </c>
      <c r="G13" s="10">
        <f t="shared" si="0"/>
        <v>12</v>
      </c>
      <c r="H13" s="16">
        <f t="shared" si="1"/>
        <v>0.01</v>
      </c>
      <c r="I13" s="15">
        <f t="shared" si="2"/>
        <v>0</v>
      </c>
      <c r="J13" s="15">
        <f>ROUND(G13/12-1,2)</f>
        <v>0</v>
      </c>
    </row>
    <row r="14" spans="1:10" x14ac:dyDescent="0.25">
      <c r="A14" s="1" t="s">
        <v>16</v>
      </c>
      <c r="B14" s="1" t="s">
        <v>24</v>
      </c>
      <c r="C14" s="10">
        <v>31330</v>
      </c>
      <c r="D14" s="10"/>
      <c r="E14" s="10"/>
      <c r="F14" s="10">
        <v>270</v>
      </c>
      <c r="G14" s="10">
        <f t="shared" si="0"/>
        <v>31600</v>
      </c>
      <c r="H14" s="16">
        <f t="shared" si="1"/>
        <v>29.1</v>
      </c>
      <c r="I14" s="15">
        <f t="shared" si="2"/>
        <v>9.1999999999999998E-2</v>
      </c>
      <c r="J14" s="15">
        <f>ROUND(G14/37840-1,2)</f>
        <v>-0.16</v>
      </c>
    </row>
    <row r="15" spans="1:10" x14ac:dyDescent="0.25">
      <c r="A15" s="1" t="s">
        <v>16</v>
      </c>
      <c r="B15" s="1" t="s">
        <v>26</v>
      </c>
      <c r="C15" s="10">
        <v>86030</v>
      </c>
      <c r="D15" s="10"/>
      <c r="E15" s="10"/>
      <c r="F15" s="10">
        <v>480</v>
      </c>
      <c r="G15" s="10">
        <f t="shared" si="0"/>
        <v>86510</v>
      </c>
      <c r="H15" s="16">
        <f t="shared" si="1"/>
        <v>79.66</v>
      </c>
      <c r="I15" s="15">
        <f t="shared" si="2"/>
        <v>0.252</v>
      </c>
      <c r="J15" s="15">
        <f>ROUND(G15/103910-1,2)</f>
        <v>-0.17</v>
      </c>
    </row>
    <row r="16" spans="1:10" x14ac:dyDescent="0.25">
      <c r="A16" s="1" t="s">
        <v>16</v>
      </c>
      <c r="B16" s="1" t="s">
        <v>42</v>
      </c>
      <c r="C16" s="10"/>
      <c r="D16" s="10"/>
      <c r="E16" s="10"/>
      <c r="F16" s="10">
        <v>10</v>
      </c>
      <c r="G16" s="10">
        <f t="shared" si="0"/>
        <v>10</v>
      </c>
      <c r="H16" s="16">
        <f t="shared" si="1"/>
        <v>0.01</v>
      </c>
      <c r="I16" s="15">
        <f t="shared" si="2"/>
        <v>0</v>
      </c>
      <c r="J16" s="15">
        <f>ROUND(G16/10-1,2)</f>
        <v>0</v>
      </c>
    </row>
    <row r="17" spans="1:10" x14ac:dyDescent="0.25">
      <c r="A17" s="1" t="s">
        <v>16</v>
      </c>
      <c r="B17" s="1" t="s">
        <v>30</v>
      </c>
      <c r="C17" s="10"/>
      <c r="D17" s="10"/>
      <c r="E17" s="10">
        <v>60</v>
      </c>
      <c r="F17" s="10">
        <v>30</v>
      </c>
      <c r="G17" s="10">
        <f t="shared" si="0"/>
        <v>90</v>
      </c>
      <c r="H17" s="16">
        <f t="shared" si="1"/>
        <v>0.08</v>
      </c>
      <c r="I17" s="15">
        <f t="shared" si="2"/>
        <v>0</v>
      </c>
      <c r="J17" s="15">
        <f>ROUND(G17/140-1,2)</f>
        <v>-0.36</v>
      </c>
    </row>
    <row r="18" spans="1:10" x14ac:dyDescent="0.25">
      <c r="A18" s="1" t="s">
        <v>16</v>
      </c>
      <c r="B18" s="1" t="s">
        <v>31</v>
      </c>
      <c r="C18" s="10"/>
      <c r="D18" s="10"/>
      <c r="E18" s="10"/>
      <c r="F18" s="10">
        <v>20</v>
      </c>
      <c r="G18" s="10">
        <f t="shared" si="0"/>
        <v>20</v>
      </c>
      <c r="H18" s="16">
        <f t="shared" si="1"/>
        <v>0.02</v>
      </c>
      <c r="I18" s="15">
        <f t="shared" si="2"/>
        <v>0</v>
      </c>
      <c r="J18" s="15">
        <f>ROUND(G18/170-1,2)</f>
        <v>-0.88</v>
      </c>
    </row>
    <row r="19" spans="1:10" x14ac:dyDescent="0.25">
      <c r="A19" s="1" t="s">
        <v>16</v>
      </c>
      <c r="B19" s="1" t="s">
        <v>32</v>
      </c>
      <c r="C19" s="10"/>
      <c r="D19" s="10"/>
      <c r="E19" s="10"/>
      <c r="F19" s="10">
        <v>220</v>
      </c>
      <c r="G19" s="10">
        <f t="shared" si="0"/>
        <v>220</v>
      </c>
      <c r="H19" s="16">
        <f t="shared" si="1"/>
        <v>0.2</v>
      </c>
      <c r="I19" s="15">
        <f t="shared" si="2"/>
        <v>1E-3</v>
      </c>
      <c r="J19" s="15">
        <f>ROUND(G19/595-1,2)</f>
        <v>-0.63</v>
      </c>
    </row>
    <row r="20" spans="1:10" x14ac:dyDescent="0.25">
      <c r="A20" s="1" t="s">
        <v>16</v>
      </c>
      <c r="B20" s="1" t="s">
        <v>33</v>
      </c>
      <c r="C20" s="10"/>
      <c r="D20" s="10">
        <v>145</v>
      </c>
      <c r="E20" s="10"/>
      <c r="F20" s="10">
        <v>15</v>
      </c>
      <c r="G20" s="10">
        <f t="shared" si="0"/>
        <v>160</v>
      </c>
      <c r="H20" s="16">
        <f t="shared" si="1"/>
        <v>0.15</v>
      </c>
      <c r="I20" s="15">
        <f t="shared" si="2"/>
        <v>0</v>
      </c>
      <c r="J20" s="15">
        <f>ROUND(G20/104-1,2)</f>
        <v>0.54</v>
      </c>
    </row>
    <row r="21" spans="1:10" x14ac:dyDescent="0.25">
      <c r="A21" s="1" t="s">
        <v>16</v>
      </c>
      <c r="B21" s="1" t="s">
        <v>35</v>
      </c>
      <c r="C21" s="10"/>
      <c r="D21" s="10">
        <v>40</v>
      </c>
      <c r="E21" s="10"/>
      <c r="F21" s="10">
        <v>110</v>
      </c>
      <c r="G21" s="10">
        <f t="shared" si="0"/>
        <v>150</v>
      </c>
      <c r="H21" s="16">
        <f t="shared" si="1"/>
        <v>0.14000000000000001</v>
      </c>
      <c r="I21" s="15">
        <f t="shared" si="2"/>
        <v>0</v>
      </c>
      <c r="J21" s="15">
        <f>ROUND(G21/401-1,2)</f>
        <v>-0.63</v>
      </c>
    </row>
    <row r="22" spans="1:10" x14ac:dyDescent="0.25">
      <c r="A22" s="1" t="s">
        <v>16</v>
      </c>
      <c r="B22" s="1" t="s">
        <v>38</v>
      </c>
      <c r="C22" s="10"/>
      <c r="D22" s="10"/>
      <c r="E22" s="10">
        <v>1210</v>
      </c>
      <c r="F22" s="10">
        <v>2420</v>
      </c>
      <c r="G22" s="10">
        <f t="shared" si="0"/>
        <v>3630</v>
      </c>
      <c r="H22" s="16">
        <f t="shared" si="1"/>
        <v>3.34</v>
      </c>
      <c r="I22" s="15">
        <f t="shared" si="2"/>
        <v>1.0999999999999999E-2</v>
      </c>
      <c r="J22" s="15">
        <f>ROUND(G22/2740-1,2)</f>
        <v>0.32</v>
      </c>
    </row>
    <row r="23" spans="1:10" x14ac:dyDescent="0.25">
      <c r="A23" s="1" t="s">
        <v>16</v>
      </c>
      <c r="B23" s="1" t="s">
        <v>40</v>
      </c>
      <c r="C23" s="10"/>
      <c r="D23" s="10"/>
      <c r="E23" s="10"/>
      <c r="F23" s="10">
        <v>1800</v>
      </c>
      <c r="G23" s="10">
        <f t="shared" si="0"/>
        <v>1800</v>
      </c>
      <c r="H23" s="16">
        <f t="shared" si="1"/>
        <v>1.66</v>
      </c>
      <c r="I23" s="15">
        <f t="shared" si="2"/>
        <v>5.0000000000000001E-3</v>
      </c>
      <c r="J23" s="15">
        <f>ROUND(G23/1460-1,2)</f>
        <v>0.23</v>
      </c>
    </row>
    <row r="24" spans="1:10" x14ac:dyDescent="0.25">
      <c r="A24" s="1" t="s">
        <v>16</v>
      </c>
      <c r="B24" s="1" t="s">
        <v>41</v>
      </c>
      <c r="C24" s="10"/>
      <c r="D24" s="10"/>
      <c r="E24" s="10"/>
      <c r="F24" s="10">
        <v>31140</v>
      </c>
      <c r="G24" s="10">
        <f t="shared" si="0"/>
        <v>31140</v>
      </c>
      <c r="H24" s="16">
        <f t="shared" si="1"/>
        <v>28.67</v>
      </c>
      <c r="I24" s="15">
        <f t="shared" si="2"/>
        <v>9.0999999999999998E-2</v>
      </c>
      <c r="J24" s="15">
        <f>ROUND(G24/24340-1,2)</f>
        <v>0.28000000000000003</v>
      </c>
    </row>
    <row r="25" spans="1:10" x14ac:dyDescent="0.25">
      <c r="A25" s="1" t="s">
        <v>16</v>
      </c>
      <c r="B25" s="1" t="s">
        <v>95</v>
      </c>
      <c r="C25" s="10"/>
      <c r="D25" s="10"/>
      <c r="E25" s="10"/>
      <c r="F25" s="10"/>
      <c r="G25" s="10">
        <f t="shared" si="0"/>
        <v>0</v>
      </c>
      <c r="H25" s="16">
        <f t="shared" si="1"/>
        <v>0</v>
      </c>
      <c r="I25" s="15">
        <f t="shared" si="2"/>
        <v>0</v>
      </c>
      <c r="J25" s="15">
        <f>ROUND(G25/11-1,2)</f>
        <v>-1</v>
      </c>
    </row>
    <row r="26" spans="1:10" x14ac:dyDescent="0.25">
      <c r="A26" s="1" t="s">
        <v>16</v>
      </c>
      <c r="B26" s="1" t="s">
        <v>34</v>
      </c>
      <c r="C26" s="10"/>
      <c r="D26" s="10"/>
      <c r="E26" s="10"/>
      <c r="F26" s="10"/>
      <c r="G26" s="10">
        <f t="shared" si="0"/>
        <v>0</v>
      </c>
      <c r="H26" s="16">
        <f t="shared" si="1"/>
        <v>0</v>
      </c>
      <c r="I26" s="15">
        <f t="shared" si="2"/>
        <v>0</v>
      </c>
      <c r="J26" s="15"/>
    </row>
    <row r="27" spans="1:10" x14ac:dyDescent="0.25">
      <c r="A27" s="1" t="s">
        <v>44</v>
      </c>
      <c r="B27" s="1" t="s">
        <v>45</v>
      </c>
      <c r="C27" s="10">
        <v>86510</v>
      </c>
      <c r="D27" s="10"/>
      <c r="E27" s="10"/>
      <c r="F27" s="10"/>
      <c r="G27" s="10">
        <f t="shared" si="0"/>
        <v>86510</v>
      </c>
      <c r="H27" s="16">
        <f t="shared" si="1"/>
        <v>79.66</v>
      </c>
      <c r="I27" s="15">
        <f t="shared" si="2"/>
        <v>0.252</v>
      </c>
      <c r="J27" s="15">
        <f>ROUND(G27/89330-1,2)</f>
        <v>-0.03</v>
      </c>
    </row>
    <row r="28" spans="1:10" x14ac:dyDescent="0.25">
      <c r="A28" s="1" t="s">
        <v>44</v>
      </c>
      <c r="B28" s="1" t="s">
        <v>46</v>
      </c>
      <c r="C28" s="10"/>
      <c r="D28" s="10"/>
      <c r="E28" s="10"/>
      <c r="F28" s="10">
        <v>8160</v>
      </c>
      <c r="G28" s="10">
        <f t="shared" si="0"/>
        <v>8160</v>
      </c>
      <c r="H28" s="16">
        <f t="shared" si="1"/>
        <v>7.51</v>
      </c>
      <c r="I28" s="15">
        <f t="shared" si="2"/>
        <v>2.4E-2</v>
      </c>
      <c r="J28" s="15">
        <f>ROUND(G28/8040-1,2)</f>
        <v>0.01</v>
      </c>
    </row>
    <row r="29" spans="1:10" x14ac:dyDescent="0.25">
      <c r="A29" s="1" t="s">
        <v>44</v>
      </c>
      <c r="B29" s="1" t="s">
        <v>47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/>
    </row>
    <row r="30" spans="1:10" x14ac:dyDescent="0.25">
      <c r="A30" s="27" t="s">
        <v>12</v>
      </c>
      <c r="B30" s="27"/>
      <c r="C30" s="11">
        <f t="shared" ref="C30:H30" si="3">SUM(C8:C29)</f>
        <v>295610</v>
      </c>
      <c r="D30" s="11">
        <f t="shared" si="3"/>
        <v>185</v>
      </c>
      <c r="E30" s="11">
        <f t="shared" si="3"/>
        <v>1270</v>
      </c>
      <c r="F30" s="11">
        <f t="shared" si="3"/>
        <v>45658</v>
      </c>
      <c r="G30" s="11">
        <f t="shared" si="3"/>
        <v>342723</v>
      </c>
      <c r="H30" s="14">
        <f t="shared" si="3"/>
        <v>315.56999999999994</v>
      </c>
      <c r="I30" s="17"/>
      <c r="J30" s="17"/>
    </row>
    <row r="31" spans="1:10" x14ac:dyDescent="0.25">
      <c r="A31" s="27" t="s">
        <v>14</v>
      </c>
      <c r="B31" s="27"/>
      <c r="C31" s="12">
        <f>ROUND(C30/G30,2)</f>
        <v>0.86</v>
      </c>
      <c r="D31" s="12">
        <f>ROUND(D30/G30,2)</f>
        <v>0</v>
      </c>
      <c r="E31" s="12">
        <f>ROUND(E30/G30,2)</f>
        <v>0</v>
      </c>
      <c r="F31" s="12">
        <f>ROUND(F30/G30,2)</f>
        <v>0.13</v>
      </c>
      <c r="G31" s="13"/>
      <c r="H31" s="13"/>
      <c r="I31" s="17"/>
      <c r="J31" s="17"/>
    </row>
    <row r="32" spans="1:10" x14ac:dyDescent="0.25">
      <c r="A32" s="2" t="s">
        <v>52</v>
      </c>
      <c r="B32" s="2"/>
      <c r="C32" s="13"/>
      <c r="D32" s="13"/>
      <c r="E32" s="13"/>
      <c r="F32" s="13"/>
      <c r="G32" s="13"/>
      <c r="H32" s="13"/>
      <c r="I32" s="17"/>
      <c r="J32" s="17"/>
    </row>
    <row r="33" spans="1:10" x14ac:dyDescent="0.25">
      <c r="C33" s="8"/>
      <c r="D33" s="8"/>
      <c r="E33" s="8"/>
      <c r="F33" s="8"/>
      <c r="G33" s="8"/>
      <c r="H33" s="8"/>
      <c r="I33" s="9"/>
      <c r="J33" s="9"/>
    </row>
    <row r="34" spans="1:10" x14ac:dyDescent="0.25">
      <c r="C34" s="8"/>
      <c r="D34" s="8"/>
      <c r="E34" s="8"/>
      <c r="F34" s="8"/>
      <c r="G34" s="8"/>
      <c r="H34" s="8"/>
      <c r="I34" s="9"/>
      <c r="J34" s="9"/>
    </row>
    <row r="35" spans="1:10" x14ac:dyDescent="0.25">
      <c r="C35" s="8"/>
      <c r="D35" s="8"/>
      <c r="E35" s="8"/>
      <c r="F35" s="8"/>
      <c r="G35" s="8"/>
      <c r="H35" s="8"/>
      <c r="I35" s="9"/>
      <c r="J35" s="9"/>
    </row>
    <row r="36" spans="1:10" x14ac:dyDescent="0.25">
      <c r="A36" s="27" t="s">
        <v>53</v>
      </c>
      <c r="B36" s="27"/>
      <c r="C36" s="11" t="s">
        <v>8</v>
      </c>
      <c r="D36" s="11" t="s">
        <v>9</v>
      </c>
      <c r="E36" s="11" t="s">
        <v>10</v>
      </c>
      <c r="F36" s="11" t="s">
        <v>11</v>
      </c>
      <c r="G36" s="11" t="s">
        <v>12</v>
      </c>
      <c r="H36" s="14" t="s">
        <v>13</v>
      </c>
      <c r="I36" s="17"/>
      <c r="J36" s="17"/>
    </row>
    <row r="37" spans="1:10" x14ac:dyDescent="0.25">
      <c r="A37" s="22" t="s">
        <v>54</v>
      </c>
      <c r="B37" s="22"/>
      <c r="C37" s="10">
        <v>209100</v>
      </c>
      <c r="D37" s="10">
        <v>185</v>
      </c>
      <c r="E37" s="10">
        <v>1270</v>
      </c>
      <c r="F37" s="10">
        <v>37007</v>
      </c>
      <c r="G37" s="10">
        <f>SUM(C37:F37)</f>
        <v>247562</v>
      </c>
      <c r="H37" s="16">
        <f>ROUND(G37/1086,2)</f>
        <v>227.96</v>
      </c>
      <c r="I37" s="9"/>
      <c r="J37" s="9"/>
    </row>
    <row r="38" spans="1:10" x14ac:dyDescent="0.25">
      <c r="A38" s="22" t="s">
        <v>55</v>
      </c>
      <c r="B38" s="22"/>
      <c r="C38" s="10">
        <v>86510</v>
      </c>
      <c r="D38" s="10">
        <v>0</v>
      </c>
      <c r="E38" s="10">
        <v>0</v>
      </c>
      <c r="F38" s="10">
        <v>8160</v>
      </c>
      <c r="G38" s="10">
        <f>SUM(C38:F38)</f>
        <v>94670</v>
      </c>
      <c r="H38" s="16">
        <f>ROUND(G38/1086,2)</f>
        <v>87.17</v>
      </c>
      <c r="I38" s="9"/>
      <c r="J38" s="9"/>
    </row>
    <row r="39" spans="1:10" x14ac:dyDescent="0.25">
      <c r="A39" s="22" t="s">
        <v>56</v>
      </c>
      <c r="B39" s="22"/>
      <c r="C39" s="10">
        <v>0</v>
      </c>
      <c r="D39" s="10">
        <v>0</v>
      </c>
      <c r="E39" s="10">
        <v>0</v>
      </c>
      <c r="F39" s="10">
        <v>491</v>
      </c>
      <c r="G39" s="10">
        <f>SUM(C39:F39)</f>
        <v>491</v>
      </c>
      <c r="H39" s="16">
        <f>ROUND(G39/1086,2)</f>
        <v>0.45</v>
      </c>
      <c r="I39" s="9"/>
      <c r="J39" s="9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A44" s="27" t="s">
        <v>57</v>
      </c>
      <c r="B44" s="27"/>
      <c r="C44" s="14" t="s">
        <v>2</v>
      </c>
      <c r="D44" s="14">
        <v>2023</v>
      </c>
      <c r="E44" s="14" t="s">
        <v>59</v>
      </c>
      <c r="F44" s="13"/>
      <c r="G44" s="14" t="s">
        <v>60</v>
      </c>
      <c r="H44" s="14" t="s">
        <v>2</v>
      </c>
      <c r="I44" s="12" t="s">
        <v>61</v>
      </c>
      <c r="J44" s="12" t="s">
        <v>59</v>
      </c>
    </row>
    <row r="45" spans="1:10" x14ac:dyDescent="0.25">
      <c r="A45" s="22" t="s">
        <v>58</v>
      </c>
      <c r="B45" s="22"/>
      <c r="C45" s="15">
        <f>ROUND(0.7465, 4)</f>
        <v>0.74650000000000005</v>
      </c>
      <c r="D45" s="15">
        <f>ROUND(0.7399, 4)</f>
        <v>0.7399</v>
      </c>
      <c r="E45" s="15">
        <f>ROUND(0.777, 4)</f>
        <v>0.77700000000000002</v>
      </c>
      <c r="F45" s="8"/>
      <c r="G45" s="14" t="s">
        <v>62</v>
      </c>
      <c r="H45" s="28" t="s">
        <v>63</v>
      </c>
      <c r="I45" s="25" t="s">
        <v>64</v>
      </c>
      <c r="J45" s="25" t="s">
        <v>65</v>
      </c>
    </row>
    <row r="46" spans="1:10" x14ac:dyDescent="0.25">
      <c r="A46" s="22" t="s">
        <v>66</v>
      </c>
      <c r="B46" s="22"/>
      <c r="C46" s="15">
        <f>ROUND(0.7339, 4)</f>
        <v>0.7339</v>
      </c>
      <c r="D46" s="15">
        <f>ROUND(0.7282, 4)</f>
        <v>0.72819999999999996</v>
      </c>
      <c r="E46" s="15">
        <f>ROUND(0.7608, 4)</f>
        <v>0.76080000000000003</v>
      </c>
      <c r="F46" s="8"/>
      <c r="G46" s="14" t="s">
        <v>67</v>
      </c>
      <c r="H46" s="29"/>
      <c r="I46" s="26"/>
      <c r="J46" s="26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68</v>
      </c>
      <c r="B50" s="27"/>
      <c r="C50" s="14" t="s">
        <v>2</v>
      </c>
      <c r="D50" s="14" t="s">
        <v>165</v>
      </c>
      <c r="E50" s="14" t="s">
        <v>70</v>
      </c>
      <c r="F50" s="14" t="s">
        <v>71</v>
      </c>
      <c r="G50" s="14" t="s">
        <v>72</v>
      </c>
      <c r="H50" s="13"/>
      <c r="I50" s="17"/>
      <c r="J50" s="17"/>
    </row>
    <row r="51" spans="1:10" x14ac:dyDescent="0.25">
      <c r="A51" s="22" t="s">
        <v>73</v>
      </c>
      <c r="B51" s="22"/>
      <c r="C51" s="16">
        <v>79.66</v>
      </c>
      <c r="D51" s="16">
        <v>85.32</v>
      </c>
      <c r="E51" s="16">
        <v>92.53</v>
      </c>
      <c r="F51" s="16">
        <v>56.06</v>
      </c>
      <c r="G51" s="16">
        <f>12/11*C51</f>
        <v>86.901818181818172</v>
      </c>
      <c r="H51" s="8"/>
      <c r="I51" s="9"/>
      <c r="J51" s="9"/>
    </row>
    <row r="52" spans="1:10" x14ac:dyDescent="0.25">
      <c r="A52" s="22" t="s">
        <v>74</v>
      </c>
      <c r="B52" s="22"/>
      <c r="C52" s="16">
        <v>79.66</v>
      </c>
      <c r="D52" s="16">
        <v>97.2</v>
      </c>
      <c r="E52" s="16">
        <v>61.98</v>
      </c>
      <c r="F52" s="16">
        <v>64.09</v>
      </c>
      <c r="G52" s="16">
        <f>12/11*C52</f>
        <v>86.901818181818172</v>
      </c>
      <c r="H52" s="8"/>
      <c r="I52" s="9"/>
      <c r="J52" s="9"/>
    </row>
    <row r="53" spans="1:10" x14ac:dyDescent="0.25">
      <c r="A53" s="22" t="s">
        <v>75</v>
      </c>
      <c r="B53" s="22"/>
      <c r="C53" s="16">
        <v>227.96</v>
      </c>
      <c r="D53" s="16">
        <v>248.26</v>
      </c>
      <c r="E53" s="16">
        <v>291.51</v>
      </c>
      <c r="F53" s="16">
        <v>284.45</v>
      </c>
      <c r="G53" s="16">
        <f>12/11*C53</f>
        <v>248.68363636363637</v>
      </c>
      <c r="H53" s="8"/>
      <c r="I53" s="9"/>
      <c r="J53" s="9"/>
    </row>
    <row r="54" spans="1:10" x14ac:dyDescent="0.25">
      <c r="A54" s="22" t="s">
        <v>76</v>
      </c>
      <c r="B54" s="22"/>
      <c r="C54" s="16">
        <v>87.17</v>
      </c>
      <c r="D54" s="16">
        <v>95.83</v>
      </c>
      <c r="E54" s="16">
        <v>116.46</v>
      </c>
      <c r="F54" s="16">
        <v>79.959999999999994</v>
      </c>
      <c r="G54" s="16">
        <f>12/11*C54</f>
        <v>95.094545454545454</v>
      </c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3" t="s">
        <v>60</v>
      </c>
      <c r="B57" s="24"/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3" t="s">
        <v>77</v>
      </c>
      <c r="B58" s="1" t="s">
        <v>166</v>
      </c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3" t="s">
        <v>70</v>
      </c>
      <c r="B59" s="1" t="s">
        <v>79</v>
      </c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3" t="s">
        <v>71</v>
      </c>
      <c r="B60" s="1" t="s">
        <v>80</v>
      </c>
      <c r="C60" s="8"/>
      <c r="D60" s="8"/>
      <c r="E60" s="8"/>
      <c r="F60" s="8"/>
      <c r="G60" s="8"/>
      <c r="H60" s="8"/>
      <c r="I60" s="9"/>
      <c r="J60" s="9"/>
    </row>
    <row r="61" spans="1:10" x14ac:dyDescent="0.25">
      <c r="A61" s="3" t="s">
        <v>72</v>
      </c>
      <c r="B61" s="1" t="s">
        <v>81</v>
      </c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3:10" x14ac:dyDescent="0.25">
      <c r="C65" s="8"/>
      <c r="D65" s="8"/>
      <c r="E65" s="8"/>
      <c r="F65" s="8"/>
      <c r="G65" s="8"/>
      <c r="H65" s="8"/>
      <c r="I65" s="9"/>
      <c r="J65" s="9"/>
    </row>
    <row r="66" spans="3:10" x14ac:dyDescent="0.25">
      <c r="C66" s="8"/>
      <c r="D66" s="8"/>
      <c r="E66" s="8"/>
      <c r="F66" s="8"/>
      <c r="G66" s="8"/>
      <c r="H66" s="8"/>
      <c r="I66" s="9"/>
      <c r="J66" s="9"/>
    </row>
    <row r="67" spans="3:10" x14ac:dyDescent="0.25">
      <c r="C67" s="8"/>
      <c r="D67" s="8"/>
      <c r="E67" s="8"/>
      <c r="F67" s="8"/>
      <c r="G67" s="8"/>
      <c r="H67" s="8"/>
      <c r="I67" s="9"/>
      <c r="J67" s="9"/>
    </row>
    <row r="68" spans="3:10" x14ac:dyDescent="0.25">
      <c r="C68" s="8"/>
      <c r="D68" s="8"/>
      <c r="E68" s="8"/>
      <c r="F68" s="8"/>
      <c r="G68" s="8"/>
      <c r="H68" s="8"/>
      <c r="I68" s="9"/>
      <c r="J68" s="9"/>
    </row>
    <row r="69" spans="3:10" x14ac:dyDescent="0.25">
      <c r="C69" s="8"/>
      <c r="D69" s="8"/>
      <c r="E69" s="8"/>
      <c r="F69" s="8"/>
      <c r="G69" s="8"/>
      <c r="H69" s="8"/>
      <c r="I69" s="9"/>
      <c r="J69" s="9"/>
    </row>
    <row r="70" spans="3:10" x14ac:dyDescent="0.25">
      <c r="C70" s="8"/>
      <c r="D70" s="8"/>
      <c r="E70" s="8"/>
      <c r="F70" s="8"/>
      <c r="G70" s="8"/>
      <c r="H70" s="8"/>
      <c r="I70" s="9"/>
      <c r="J70" s="9"/>
    </row>
    <row r="71" spans="3:10" x14ac:dyDescent="0.25">
      <c r="C71" s="8"/>
      <c r="D71" s="8"/>
      <c r="E71" s="8"/>
      <c r="F71" s="8"/>
      <c r="G71" s="8"/>
      <c r="H71" s="8"/>
      <c r="I71" s="9"/>
      <c r="J71" s="9"/>
    </row>
  </sheetData>
  <mergeCells count="19">
    <mergeCell ref="C7:G7"/>
    <mergeCell ref="A30:B30"/>
    <mergeCell ref="A31:B31"/>
    <mergeCell ref="A36:B36"/>
    <mergeCell ref="A37:B37"/>
    <mergeCell ref="J45:J46"/>
    <mergeCell ref="A46:B46"/>
    <mergeCell ref="A50:B50"/>
    <mergeCell ref="A51:B51"/>
    <mergeCell ref="A38:B38"/>
    <mergeCell ref="A39:B39"/>
    <mergeCell ref="A44:B44"/>
    <mergeCell ref="A45:B45"/>
    <mergeCell ref="H45:H46"/>
    <mergeCell ref="A52:B52"/>
    <mergeCell ref="A53:B53"/>
    <mergeCell ref="A54:B54"/>
    <mergeCell ref="A57:B57"/>
    <mergeCell ref="I45:I4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J74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3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167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1689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159</v>
      </c>
      <c r="C9" s="10"/>
      <c r="D9" s="10"/>
      <c r="E9" s="10">
        <v>23342</v>
      </c>
      <c r="F9" s="10"/>
      <c r="G9" s="10">
        <f t="shared" ref="G9:G39" si="0">SUM(C9:F9)</f>
        <v>23342</v>
      </c>
      <c r="H9" s="16">
        <f t="shared" ref="H9:H39" si="1">ROUND(G9/1689,2)</f>
        <v>13.82</v>
      </c>
      <c r="I9" s="15">
        <f t="shared" ref="I9:I39" si="2">ROUND(G9/$G$40,3)</f>
        <v>3.7999999999999999E-2</v>
      </c>
      <c r="J9" s="15">
        <f>ROUND(G9/33660-1,2)</f>
        <v>-0.31</v>
      </c>
    </row>
    <row r="10" spans="1:10" x14ac:dyDescent="0.25">
      <c r="A10" s="1" t="s">
        <v>48</v>
      </c>
      <c r="B10" s="1" t="s">
        <v>168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/>
    </row>
    <row r="11" spans="1:10" x14ac:dyDescent="0.25">
      <c r="A11" s="1" t="s">
        <v>48</v>
      </c>
      <c r="B11" s="1" t="s">
        <v>51</v>
      </c>
      <c r="C11" s="10"/>
      <c r="D11" s="10"/>
      <c r="E11" s="10"/>
      <c r="F11" s="10"/>
      <c r="G11" s="10">
        <f t="shared" si="0"/>
        <v>0</v>
      </c>
      <c r="H11" s="16">
        <f t="shared" si="1"/>
        <v>0</v>
      </c>
      <c r="I11" s="15">
        <f t="shared" si="2"/>
        <v>0</v>
      </c>
      <c r="J11" s="15"/>
    </row>
    <row r="12" spans="1:10" x14ac:dyDescent="0.25">
      <c r="A12" s="1" t="s">
        <v>16</v>
      </c>
      <c r="B12" s="1" t="s">
        <v>19</v>
      </c>
      <c r="C12" s="10">
        <v>53750</v>
      </c>
      <c r="D12" s="10"/>
      <c r="E12" s="10"/>
      <c r="F12" s="10"/>
      <c r="G12" s="10">
        <f t="shared" si="0"/>
        <v>53750</v>
      </c>
      <c r="H12" s="16">
        <f t="shared" si="1"/>
        <v>31.82</v>
      </c>
      <c r="I12" s="15">
        <f t="shared" si="2"/>
        <v>8.6999999999999994E-2</v>
      </c>
      <c r="J12" s="15">
        <f>ROUND(G12/51000-1,2)</f>
        <v>0.05</v>
      </c>
    </row>
    <row r="13" spans="1:10" x14ac:dyDescent="0.25">
      <c r="A13" s="1" t="s">
        <v>16</v>
      </c>
      <c r="B13" s="1" t="s">
        <v>20</v>
      </c>
      <c r="C13" s="10">
        <v>69640</v>
      </c>
      <c r="D13" s="10"/>
      <c r="E13" s="10"/>
      <c r="F13" s="10"/>
      <c r="G13" s="10">
        <f t="shared" si="0"/>
        <v>69640</v>
      </c>
      <c r="H13" s="16">
        <f t="shared" si="1"/>
        <v>41.23</v>
      </c>
      <c r="I13" s="15">
        <f t="shared" si="2"/>
        <v>0.112</v>
      </c>
      <c r="J13" s="15">
        <f>ROUND(G13/68180-1,2)</f>
        <v>0.02</v>
      </c>
    </row>
    <row r="14" spans="1:10" x14ac:dyDescent="0.25">
      <c r="A14" s="1" t="s">
        <v>16</v>
      </c>
      <c r="B14" s="1" t="s">
        <v>95</v>
      </c>
      <c r="C14" s="10"/>
      <c r="D14" s="10"/>
      <c r="E14" s="10">
        <v>56</v>
      </c>
      <c r="F14" s="10"/>
      <c r="G14" s="10">
        <f t="shared" si="0"/>
        <v>56</v>
      </c>
      <c r="H14" s="16">
        <f t="shared" si="1"/>
        <v>0.03</v>
      </c>
      <c r="I14" s="15">
        <f t="shared" si="2"/>
        <v>0</v>
      </c>
      <c r="J14" s="15">
        <f>ROUND(G14/52-1,2)</f>
        <v>0.08</v>
      </c>
    </row>
    <row r="15" spans="1:10" x14ac:dyDescent="0.25">
      <c r="A15" s="1" t="s">
        <v>16</v>
      </c>
      <c r="B15" s="1" t="s">
        <v>21</v>
      </c>
      <c r="C15" s="10"/>
      <c r="D15" s="10"/>
      <c r="E15" s="10">
        <v>224</v>
      </c>
      <c r="F15" s="10"/>
      <c r="G15" s="10">
        <f t="shared" si="0"/>
        <v>224</v>
      </c>
      <c r="H15" s="16">
        <f t="shared" si="1"/>
        <v>0.13</v>
      </c>
      <c r="I15" s="15">
        <f t="shared" si="2"/>
        <v>0</v>
      </c>
      <c r="J15" s="15">
        <f>ROUND(G15/345-1,2)</f>
        <v>-0.35</v>
      </c>
    </row>
    <row r="16" spans="1:10" x14ac:dyDescent="0.25">
      <c r="A16" s="1" t="s">
        <v>16</v>
      </c>
      <c r="B16" s="1" t="s">
        <v>22</v>
      </c>
      <c r="C16" s="10"/>
      <c r="D16" s="10"/>
      <c r="E16" s="10">
        <v>2400</v>
      </c>
      <c r="F16" s="10"/>
      <c r="G16" s="10">
        <f t="shared" si="0"/>
        <v>2400</v>
      </c>
      <c r="H16" s="16">
        <f t="shared" si="1"/>
        <v>1.42</v>
      </c>
      <c r="I16" s="15">
        <f t="shared" si="2"/>
        <v>4.0000000000000001E-3</v>
      </c>
      <c r="J16" s="15">
        <f>ROUND(G16/1920-1,2)</f>
        <v>0.25</v>
      </c>
    </row>
    <row r="17" spans="1:10" x14ac:dyDescent="0.25">
      <c r="A17" s="1" t="s">
        <v>16</v>
      </c>
      <c r="B17" s="1" t="s">
        <v>24</v>
      </c>
      <c r="C17" s="10">
        <v>60280</v>
      </c>
      <c r="D17" s="10"/>
      <c r="E17" s="10"/>
      <c r="F17" s="10"/>
      <c r="G17" s="10">
        <f t="shared" si="0"/>
        <v>60280</v>
      </c>
      <c r="H17" s="16">
        <f t="shared" si="1"/>
        <v>35.69</v>
      </c>
      <c r="I17" s="15">
        <f t="shared" si="2"/>
        <v>9.7000000000000003E-2</v>
      </c>
      <c r="J17" s="15">
        <f>ROUND(G17/66320-1,2)</f>
        <v>-0.09</v>
      </c>
    </row>
    <row r="18" spans="1:10" x14ac:dyDescent="0.25">
      <c r="A18" s="1" t="s">
        <v>16</v>
      </c>
      <c r="B18" s="1" t="s">
        <v>25</v>
      </c>
      <c r="C18" s="10"/>
      <c r="D18" s="10"/>
      <c r="E18" s="10">
        <v>2035</v>
      </c>
      <c r="F18" s="10"/>
      <c r="G18" s="10">
        <f t="shared" si="0"/>
        <v>2035</v>
      </c>
      <c r="H18" s="16">
        <f t="shared" si="1"/>
        <v>1.2</v>
      </c>
      <c r="I18" s="15">
        <f t="shared" si="2"/>
        <v>3.0000000000000001E-3</v>
      </c>
      <c r="J18" s="15">
        <f>ROUND(G18/2410-1,2)</f>
        <v>-0.16</v>
      </c>
    </row>
    <row r="19" spans="1:10" x14ac:dyDescent="0.25">
      <c r="A19" s="1" t="s">
        <v>16</v>
      </c>
      <c r="B19" s="1" t="s">
        <v>26</v>
      </c>
      <c r="C19" s="10">
        <v>117060</v>
      </c>
      <c r="D19" s="10"/>
      <c r="E19" s="10"/>
      <c r="F19" s="10">
        <v>670</v>
      </c>
      <c r="G19" s="10">
        <f t="shared" si="0"/>
        <v>117730</v>
      </c>
      <c r="H19" s="16">
        <f t="shared" si="1"/>
        <v>69.7</v>
      </c>
      <c r="I19" s="15">
        <f t="shared" si="2"/>
        <v>0.19</v>
      </c>
      <c r="J19" s="15">
        <f>ROUND(G19/111660-1,2)</f>
        <v>0.05</v>
      </c>
    </row>
    <row r="20" spans="1:10" x14ac:dyDescent="0.25">
      <c r="A20" s="1" t="s">
        <v>16</v>
      </c>
      <c r="B20" s="1" t="s">
        <v>27</v>
      </c>
      <c r="C20" s="10"/>
      <c r="D20" s="10"/>
      <c r="E20" s="10">
        <v>1282</v>
      </c>
      <c r="F20" s="10"/>
      <c r="G20" s="10">
        <f t="shared" si="0"/>
        <v>1282</v>
      </c>
      <c r="H20" s="16">
        <f t="shared" si="1"/>
        <v>0.76</v>
      </c>
      <c r="I20" s="15">
        <f t="shared" si="2"/>
        <v>2E-3</v>
      </c>
      <c r="J20" s="15">
        <f>ROUND(G20/1325-1,2)</f>
        <v>-0.03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2200</v>
      </c>
      <c r="F21" s="10"/>
      <c r="G21" s="10">
        <f t="shared" si="0"/>
        <v>2200</v>
      </c>
      <c r="H21" s="16">
        <f t="shared" si="1"/>
        <v>1.3</v>
      </c>
      <c r="I21" s="15">
        <f t="shared" si="2"/>
        <v>4.0000000000000001E-3</v>
      </c>
      <c r="J21" s="15">
        <f>ROUND(G21/3949-1,2)</f>
        <v>-0.44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440</v>
      </c>
      <c r="F22" s="10"/>
      <c r="G22" s="10">
        <f t="shared" si="0"/>
        <v>440</v>
      </c>
      <c r="H22" s="16">
        <f t="shared" si="1"/>
        <v>0.26</v>
      </c>
      <c r="I22" s="15">
        <f t="shared" si="2"/>
        <v>1E-3</v>
      </c>
      <c r="J22" s="15">
        <f>ROUND(G22/700-1,2)</f>
        <v>-0.37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270</v>
      </c>
      <c r="F23" s="10"/>
      <c r="G23" s="10">
        <f t="shared" si="0"/>
        <v>270</v>
      </c>
      <c r="H23" s="16">
        <f t="shared" si="1"/>
        <v>0.16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32</v>
      </c>
      <c r="C24" s="10"/>
      <c r="D24" s="10"/>
      <c r="E24" s="10">
        <v>2120</v>
      </c>
      <c r="F24" s="10"/>
      <c r="G24" s="10">
        <f t="shared" si="0"/>
        <v>2120</v>
      </c>
      <c r="H24" s="16">
        <f t="shared" si="1"/>
        <v>1.26</v>
      </c>
      <c r="I24" s="15">
        <f t="shared" si="2"/>
        <v>3.0000000000000001E-3</v>
      </c>
      <c r="J24" s="15">
        <f>ROUND(G24/1160-1,2)</f>
        <v>0.83</v>
      </c>
    </row>
    <row r="25" spans="1:10" x14ac:dyDescent="0.25">
      <c r="A25" s="1" t="s">
        <v>16</v>
      </c>
      <c r="B25" s="1" t="s">
        <v>33</v>
      </c>
      <c r="C25" s="10"/>
      <c r="D25" s="10">
        <v>128</v>
      </c>
      <c r="E25" s="10">
        <v>34</v>
      </c>
      <c r="F25" s="10"/>
      <c r="G25" s="10">
        <f t="shared" si="0"/>
        <v>162</v>
      </c>
      <c r="H25" s="16">
        <f t="shared" si="1"/>
        <v>0.1</v>
      </c>
      <c r="I25" s="15">
        <f t="shared" si="2"/>
        <v>0</v>
      </c>
      <c r="J25" s="15">
        <f>ROUND(G25/192-1,2)</f>
        <v>-0.16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970</v>
      </c>
      <c r="F26" s="10"/>
      <c r="G26" s="10">
        <f t="shared" si="0"/>
        <v>970</v>
      </c>
      <c r="H26" s="16">
        <f t="shared" si="1"/>
        <v>0.56999999999999995</v>
      </c>
      <c r="I26" s="15">
        <f t="shared" si="2"/>
        <v>2E-3</v>
      </c>
      <c r="J26" s="15">
        <f>ROUND(G26/935-1,2)</f>
        <v>0.04</v>
      </c>
    </row>
    <row r="27" spans="1:10" x14ac:dyDescent="0.25">
      <c r="A27" s="1" t="s">
        <v>16</v>
      </c>
      <c r="B27" s="1" t="s">
        <v>35</v>
      </c>
      <c r="C27" s="10"/>
      <c r="D27" s="10">
        <v>40</v>
      </c>
      <c r="E27" s="10"/>
      <c r="F27" s="10"/>
      <c r="G27" s="10">
        <f t="shared" si="0"/>
        <v>40</v>
      </c>
      <c r="H27" s="16">
        <f t="shared" si="1"/>
        <v>0.02</v>
      </c>
      <c r="I27" s="15">
        <f t="shared" si="2"/>
        <v>0</v>
      </c>
      <c r="J27" s="15">
        <f>ROUND(G27/300-1,2)</f>
        <v>-0.87</v>
      </c>
    </row>
    <row r="28" spans="1:10" x14ac:dyDescent="0.25">
      <c r="A28" s="1" t="s">
        <v>16</v>
      </c>
      <c r="B28" s="1" t="s">
        <v>37</v>
      </c>
      <c r="C28" s="10"/>
      <c r="D28" s="10"/>
      <c r="E28" s="10">
        <v>3530</v>
      </c>
      <c r="F28" s="10"/>
      <c r="G28" s="10">
        <f t="shared" si="0"/>
        <v>3530</v>
      </c>
      <c r="H28" s="16">
        <f t="shared" si="1"/>
        <v>2.09</v>
      </c>
      <c r="I28" s="15">
        <f t="shared" si="2"/>
        <v>6.0000000000000001E-3</v>
      </c>
      <c r="J28" s="15">
        <f>ROUND(G28/3640-1,2)</f>
        <v>-0.03</v>
      </c>
    </row>
    <row r="29" spans="1:10" x14ac:dyDescent="0.25">
      <c r="A29" s="1" t="s">
        <v>16</v>
      </c>
      <c r="B29" s="1" t="s">
        <v>43</v>
      </c>
      <c r="C29" s="10"/>
      <c r="D29" s="10"/>
      <c r="E29" s="10">
        <v>2560</v>
      </c>
      <c r="F29" s="10"/>
      <c r="G29" s="10">
        <f t="shared" si="0"/>
        <v>2560</v>
      </c>
      <c r="H29" s="16">
        <f t="shared" si="1"/>
        <v>1.52</v>
      </c>
      <c r="I29" s="15">
        <f t="shared" si="2"/>
        <v>4.0000000000000001E-3</v>
      </c>
      <c r="J29" s="15">
        <f>ROUND(G29/4454-1,2)</f>
        <v>-0.43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63380</v>
      </c>
      <c r="F30" s="10"/>
      <c r="G30" s="10">
        <f t="shared" si="0"/>
        <v>63380</v>
      </c>
      <c r="H30" s="16">
        <f t="shared" si="1"/>
        <v>37.53</v>
      </c>
      <c r="I30" s="15">
        <f t="shared" si="2"/>
        <v>0.10199999999999999</v>
      </c>
      <c r="J30" s="15">
        <f>ROUND(G30/46050-1,2)</f>
        <v>0.38</v>
      </c>
    </row>
    <row r="31" spans="1:10" x14ac:dyDescent="0.25">
      <c r="A31" s="1" t="s">
        <v>16</v>
      </c>
      <c r="B31" s="1" t="s">
        <v>40</v>
      </c>
      <c r="C31" s="10"/>
      <c r="D31" s="10"/>
      <c r="E31" s="10">
        <v>18350</v>
      </c>
      <c r="F31" s="10"/>
      <c r="G31" s="10">
        <f t="shared" si="0"/>
        <v>18350</v>
      </c>
      <c r="H31" s="16">
        <f t="shared" si="1"/>
        <v>10.86</v>
      </c>
      <c r="I31" s="15">
        <f t="shared" si="2"/>
        <v>0.03</v>
      </c>
      <c r="J31" s="15">
        <f>ROUND(G31/16700-1,2)</f>
        <v>0.1</v>
      </c>
    </row>
    <row r="32" spans="1:10" x14ac:dyDescent="0.25">
      <c r="A32" s="1" t="s">
        <v>16</v>
      </c>
      <c r="B32" s="1" t="s">
        <v>41</v>
      </c>
      <c r="C32" s="10"/>
      <c r="D32" s="10"/>
      <c r="E32" s="10">
        <v>29880</v>
      </c>
      <c r="F32" s="10"/>
      <c r="G32" s="10">
        <f t="shared" si="0"/>
        <v>29880</v>
      </c>
      <c r="H32" s="16">
        <f t="shared" si="1"/>
        <v>17.690000000000001</v>
      </c>
      <c r="I32" s="15">
        <f t="shared" si="2"/>
        <v>4.8000000000000001E-2</v>
      </c>
      <c r="J32" s="15">
        <f>ROUND(G32/21040-1,2)</f>
        <v>0.42</v>
      </c>
    </row>
    <row r="33" spans="1:10" x14ac:dyDescent="0.25">
      <c r="A33" s="1" t="s">
        <v>16</v>
      </c>
      <c r="B33" s="1" t="s">
        <v>90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133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16</v>
      </c>
      <c r="B35" s="1" t="s">
        <v>36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ROUND(G35/2420-1,2)</f>
        <v>-1</v>
      </c>
    </row>
    <row r="36" spans="1:10" x14ac:dyDescent="0.25">
      <c r="A36" s="1" t="s">
        <v>16</v>
      </c>
      <c r="B36" s="1" t="s">
        <v>42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44</v>
      </c>
      <c r="B37" s="1" t="s">
        <v>45</v>
      </c>
      <c r="C37" s="10">
        <v>125260</v>
      </c>
      <c r="D37" s="10"/>
      <c r="E37" s="10"/>
      <c r="F37" s="10"/>
      <c r="G37" s="10">
        <f t="shared" si="0"/>
        <v>125260</v>
      </c>
      <c r="H37" s="16">
        <f t="shared" si="1"/>
        <v>74.16</v>
      </c>
      <c r="I37" s="15">
        <f t="shared" si="2"/>
        <v>0.20200000000000001</v>
      </c>
      <c r="J37" s="15">
        <f>ROUND(G37/122250-1,2)</f>
        <v>0.02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41310</v>
      </c>
      <c r="F38" s="10"/>
      <c r="G38" s="10">
        <f t="shared" si="0"/>
        <v>41310</v>
      </c>
      <c r="H38" s="16">
        <f t="shared" si="1"/>
        <v>24.46</v>
      </c>
      <c r="I38" s="15">
        <f t="shared" si="2"/>
        <v>6.6000000000000003E-2</v>
      </c>
      <c r="J38" s="15">
        <f>ROUND(G38/36220-1,2)</f>
        <v>0.14000000000000001</v>
      </c>
    </row>
    <row r="39" spans="1:10" x14ac:dyDescent="0.25">
      <c r="A39" s="1" t="s">
        <v>44</v>
      </c>
      <c r="B39" s="1" t="s">
        <v>47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27" t="s">
        <v>12</v>
      </c>
      <c r="B40" s="27"/>
      <c r="C40" s="11">
        <f t="shared" ref="C40:H40" si="3">SUM(C8:C39)</f>
        <v>425990</v>
      </c>
      <c r="D40" s="11">
        <f t="shared" si="3"/>
        <v>168</v>
      </c>
      <c r="E40" s="11">
        <f t="shared" si="3"/>
        <v>194383</v>
      </c>
      <c r="F40" s="11">
        <f t="shared" si="3"/>
        <v>670</v>
      </c>
      <c r="G40" s="11">
        <f t="shared" si="3"/>
        <v>621211</v>
      </c>
      <c r="H40" s="14">
        <f t="shared" si="3"/>
        <v>367.78000000000003</v>
      </c>
      <c r="I40" s="17"/>
      <c r="J40" s="17"/>
    </row>
    <row r="41" spans="1:10" x14ac:dyDescent="0.25">
      <c r="A41" s="27" t="s">
        <v>14</v>
      </c>
      <c r="B41" s="27"/>
      <c r="C41" s="12">
        <f>ROUND(C40/G40,2)</f>
        <v>0.69</v>
      </c>
      <c r="D41" s="12">
        <f>ROUND(D40/G40,2)</f>
        <v>0</v>
      </c>
      <c r="E41" s="12">
        <f>ROUND(E40/G40,2)</f>
        <v>0.31</v>
      </c>
      <c r="F41" s="12">
        <f>ROUND(F40/G40,2)</f>
        <v>0</v>
      </c>
      <c r="G41" s="13"/>
      <c r="H41" s="13"/>
      <c r="I41" s="17"/>
      <c r="J41" s="17"/>
    </row>
    <row r="42" spans="1:10" x14ac:dyDescent="0.25">
      <c r="A42" s="2" t="s">
        <v>52</v>
      </c>
      <c r="B42" s="2"/>
      <c r="C42" s="13"/>
      <c r="D42" s="13"/>
      <c r="E42" s="13"/>
      <c r="F42" s="13"/>
      <c r="G42" s="13"/>
      <c r="H42" s="13"/>
      <c r="I42" s="17"/>
      <c r="J42" s="17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7" t="s">
        <v>53</v>
      </c>
      <c r="B46" s="27"/>
      <c r="C46" s="11" t="s">
        <v>8</v>
      </c>
      <c r="D46" s="11" t="s">
        <v>9</v>
      </c>
      <c r="E46" s="11" t="s">
        <v>10</v>
      </c>
      <c r="F46" s="11" t="s">
        <v>11</v>
      </c>
      <c r="G46" s="11" t="s">
        <v>12</v>
      </c>
      <c r="H46" s="14" t="s">
        <v>13</v>
      </c>
      <c r="I46" s="17"/>
      <c r="J46" s="17"/>
    </row>
    <row r="47" spans="1:10" x14ac:dyDescent="0.25">
      <c r="A47" s="22" t="s">
        <v>54</v>
      </c>
      <c r="B47" s="22"/>
      <c r="C47" s="10">
        <v>300730</v>
      </c>
      <c r="D47" s="10">
        <v>168</v>
      </c>
      <c r="E47" s="10">
        <v>129731</v>
      </c>
      <c r="F47" s="10">
        <v>670</v>
      </c>
      <c r="G47" s="10">
        <f>SUM(C47:F47)</f>
        <v>431299</v>
      </c>
      <c r="H47" s="16">
        <f>ROUND(G47/1689,2)</f>
        <v>255.36</v>
      </c>
      <c r="I47" s="9"/>
      <c r="J47" s="9"/>
    </row>
    <row r="48" spans="1:10" x14ac:dyDescent="0.25">
      <c r="A48" s="22" t="s">
        <v>55</v>
      </c>
      <c r="B48" s="22"/>
      <c r="C48" s="10">
        <v>125260</v>
      </c>
      <c r="D48" s="10">
        <v>0</v>
      </c>
      <c r="E48" s="10">
        <v>41310</v>
      </c>
      <c r="F48" s="10">
        <v>0</v>
      </c>
      <c r="G48" s="10">
        <f>SUM(C48:F48)</f>
        <v>166570</v>
      </c>
      <c r="H48" s="16">
        <f>ROUND(G48/1689,2)</f>
        <v>98.62</v>
      </c>
      <c r="I48" s="9"/>
      <c r="J48" s="9"/>
    </row>
    <row r="49" spans="1:10" x14ac:dyDescent="0.25">
      <c r="A49" s="22" t="s">
        <v>56</v>
      </c>
      <c r="B49" s="22"/>
      <c r="C49" s="10">
        <v>0</v>
      </c>
      <c r="D49" s="10">
        <v>0</v>
      </c>
      <c r="E49" s="10">
        <v>23342</v>
      </c>
      <c r="F49" s="10">
        <v>0</v>
      </c>
      <c r="G49" s="10">
        <f>SUM(C49:F49)</f>
        <v>23342</v>
      </c>
      <c r="H49" s="16">
        <f>ROUND(G49/1689,2)</f>
        <v>13.82</v>
      </c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57</v>
      </c>
      <c r="B54" s="27"/>
      <c r="C54" s="14" t="s">
        <v>2</v>
      </c>
      <c r="D54" s="14">
        <v>2023</v>
      </c>
      <c r="E54" s="14" t="s">
        <v>59</v>
      </c>
      <c r="F54" s="13"/>
      <c r="G54" s="14" t="s">
        <v>60</v>
      </c>
      <c r="H54" s="14" t="s">
        <v>2</v>
      </c>
      <c r="I54" s="12" t="s">
        <v>61</v>
      </c>
      <c r="J54" s="12" t="s">
        <v>59</v>
      </c>
    </row>
    <row r="55" spans="1:10" x14ac:dyDescent="0.25">
      <c r="A55" s="22" t="s">
        <v>58</v>
      </c>
      <c r="B55" s="22"/>
      <c r="C55" s="15">
        <f>ROUND(0.7883, 4)</f>
        <v>0.7883</v>
      </c>
      <c r="D55" s="15">
        <f>ROUND(0.771, 4)</f>
        <v>0.77100000000000002</v>
      </c>
      <c r="E55" s="15">
        <f>ROUND(0.777, 4)</f>
        <v>0.77700000000000002</v>
      </c>
      <c r="F55" s="8"/>
      <c r="G55" s="14" t="s">
        <v>62</v>
      </c>
      <c r="H55" s="28" t="s">
        <v>63</v>
      </c>
      <c r="I55" s="25" t="s">
        <v>64</v>
      </c>
      <c r="J55" s="25" t="s">
        <v>65</v>
      </c>
    </row>
    <row r="56" spans="1:10" x14ac:dyDescent="0.25">
      <c r="A56" s="22" t="s">
        <v>66</v>
      </c>
      <c r="B56" s="22"/>
      <c r="C56" s="15">
        <f>ROUND(0.7767, 4)</f>
        <v>0.77669999999999995</v>
      </c>
      <c r="D56" s="15">
        <f>ROUND(0.7593, 4)</f>
        <v>0.75929999999999997</v>
      </c>
      <c r="E56" s="15">
        <f>ROUND(0.7608, 4)</f>
        <v>0.76080000000000003</v>
      </c>
      <c r="F56" s="8"/>
      <c r="G56" s="14" t="s">
        <v>67</v>
      </c>
      <c r="H56" s="29"/>
      <c r="I56" s="26"/>
      <c r="J56" s="26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68</v>
      </c>
      <c r="B60" s="27"/>
      <c r="C60" s="14" t="s">
        <v>2</v>
      </c>
      <c r="D60" s="14" t="s">
        <v>169</v>
      </c>
      <c r="E60" s="14" t="s">
        <v>70</v>
      </c>
      <c r="F60" s="14" t="s">
        <v>71</v>
      </c>
      <c r="G60" s="14" t="s">
        <v>72</v>
      </c>
      <c r="H60" s="13"/>
      <c r="I60" s="17"/>
      <c r="J60" s="17"/>
    </row>
    <row r="61" spans="1:10" x14ac:dyDescent="0.25">
      <c r="A61" s="22" t="s">
        <v>73</v>
      </c>
      <c r="B61" s="22"/>
      <c r="C61" s="16">
        <v>74.16</v>
      </c>
      <c r="D61" s="16">
        <v>72.819999999999993</v>
      </c>
      <c r="E61" s="16">
        <v>92.53</v>
      </c>
      <c r="F61" s="16">
        <v>56.06</v>
      </c>
      <c r="G61" s="16">
        <f>12/11*C61</f>
        <v>80.901818181818172</v>
      </c>
      <c r="H61" s="8"/>
      <c r="I61" s="9"/>
      <c r="J61" s="9"/>
    </row>
    <row r="62" spans="1:10" x14ac:dyDescent="0.25">
      <c r="A62" s="22" t="s">
        <v>74</v>
      </c>
      <c r="B62" s="22"/>
      <c r="C62" s="16">
        <v>69.7</v>
      </c>
      <c r="D62" s="16">
        <v>74.06</v>
      </c>
      <c r="E62" s="16">
        <v>61.98</v>
      </c>
      <c r="F62" s="16">
        <v>64.09</v>
      </c>
      <c r="G62" s="16">
        <f>12/11*C62</f>
        <v>76.036363636363632</v>
      </c>
      <c r="H62" s="8"/>
      <c r="I62" s="9"/>
      <c r="J62" s="9"/>
    </row>
    <row r="63" spans="1:10" x14ac:dyDescent="0.25">
      <c r="A63" s="22" t="s">
        <v>75</v>
      </c>
      <c r="B63" s="22"/>
      <c r="C63" s="16">
        <v>255.36</v>
      </c>
      <c r="D63" s="16">
        <v>269.38</v>
      </c>
      <c r="E63" s="16">
        <v>291.51</v>
      </c>
      <c r="F63" s="16">
        <v>284.45</v>
      </c>
      <c r="G63" s="16">
        <f>12/11*C63</f>
        <v>278.57454545454544</v>
      </c>
      <c r="H63" s="8"/>
      <c r="I63" s="9"/>
      <c r="J63" s="9"/>
    </row>
    <row r="64" spans="1:10" x14ac:dyDescent="0.25">
      <c r="A64" s="22" t="s">
        <v>76</v>
      </c>
      <c r="B64" s="22"/>
      <c r="C64" s="16">
        <v>98.62</v>
      </c>
      <c r="D64" s="16">
        <v>96.67</v>
      </c>
      <c r="E64" s="16">
        <v>116.46</v>
      </c>
      <c r="F64" s="16">
        <v>79.959999999999994</v>
      </c>
      <c r="G64" s="16">
        <f>12/11*C64</f>
        <v>107.58545454545454</v>
      </c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3" t="s">
        <v>60</v>
      </c>
      <c r="B67" s="24"/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77</v>
      </c>
      <c r="B68" s="1" t="s">
        <v>170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70</v>
      </c>
      <c r="B69" s="1" t="s">
        <v>79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71</v>
      </c>
      <c r="B70" s="1" t="s">
        <v>80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72</v>
      </c>
      <c r="B71" s="1" t="s">
        <v>81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</sheetData>
  <mergeCells count="19">
    <mergeCell ref="C7:G7"/>
    <mergeCell ref="A40:B40"/>
    <mergeCell ref="A41:B41"/>
    <mergeCell ref="A46:B46"/>
    <mergeCell ref="A47:B47"/>
    <mergeCell ref="J55:J56"/>
    <mergeCell ref="A56:B56"/>
    <mergeCell ref="A60:B60"/>
    <mergeCell ref="A61:B61"/>
    <mergeCell ref="A48:B48"/>
    <mergeCell ref="A49:B49"/>
    <mergeCell ref="A54:B54"/>
    <mergeCell ref="A55:B55"/>
    <mergeCell ref="H55:H56"/>
    <mergeCell ref="A62:B62"/>
    <mergeCell ref="A63:B63"/>
    <mergeCell ref="A64:B64"/>
    <mergeCell ref="A67:B67"/>
    <mergeCell ref="I55:I5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J74"/>
  <sheetViews>
    <sheetView workbookViewId="0"/>
  </sheetViews>
  <sheetFormatPr defaultRowHeight="15" x14ac:dyDescent="0.25"/>
  <cols>
    <col min="1" max="1" width="28.42578125" bestFit="1" customWidth="1"/>
    <col min="2" max="2" width="72" bestFit="1" customWidth="1"/>
    <col min="3" max="3" width="12.7109375" bestFit="1" customWidth="1"/>
    <col min="4" max="4" width="28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171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501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11</v>
      </c>
      <c r="F9" s="10"/>
      <c r="G9" s="10">
        <f t="shared" ref="G9:G42" si="0">SUM(C9:F9)</f>
        <v>11</v>
      </c>
      <c r="H9" s="16">
        <f t="shared" ref="H9:H42" si="1">ROUND(G9/501,2)</f>
        <v>0.02</v>
      </c>
      <c r="I9" s="15">
        <f t="shared" ref="I9:I42" si="2">ROUND(G9/$G$43,3)</f>
        <v>0</v>
      </c>
      <c r="J9" s="15"/>
    </row>
    <row r="10" spans="1:10" x14ac:dyDescent="0.25">
      <c r="A10" s="1" t="s">
        <v>16</v>
      </c>
      <c r="B10" s="1" t="s">
        <v>19</v>
      </c>
      <c r="C10" s="10">
        <v>23200</v>
      </c>
      <c r="D10" s="10"/>
      <c r="E10" s="10">
        <v>1443</v>
      </c>
      <c r="F10" s="10">
        <v>80</v>
      </c>
      <c r="G10" s="10">
        <f t="shared" si="0"/>
        <v>24723</v>
      </c>
      <c r="H10" s="16">
        <f t="shared" si="1"/>
        <v>49.35</v>
      </c>
      <c r="I10" s="15">
        <f t="shared" si="2"/>
        <v>9.4E-2</v>
      </c>
      <c r="J10" s="15">
        <f>ROUND(G10/25389.15-1,2)</f>
        <v>-0.03</v>
      </c>
    </row>
    <row r="11" spans="1:10" x14ac:dyDescent="0.25">
      <c r="A11" s="1" t="s">
        <v>16</v>
      </c>
      <c r="B11" s="1" t="s">
        <v>20</v>
      </c>
      <c r="C11" s="10">
        <v>38680</v>
      </c>
      <c r="D11" s="10"/>
      <c r="E11" s="10"/>
      <c r="F11" s="10"/>
      <c r="G11" s="10">
        <f t="shared" si="0"/>
        <v>38680</v>
      </c>
      <c r="H11" s="16">
        <f t="shared" si="1"/>
        <v>77.209999999999994</v>
      </c>
      <c r="I11" s="15">
        <f t="shared" si="2"/>
        <v>0.14699999999999999</v>
      </c>
      <c r="J11" s="15">
        <f>ROUND(G11/33040-1,2)</f>
        <v>0.17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53</v>
      </c>
      <c r="F12" s="10"/>
      <c r="G12" s="10">
        <f t="shared" si="0"/>
        <v>53</v>
      </c>
      <c r="H12" s="16">
        <f t="shared" si="1"/>
        <v>0.11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22</v>
      </c>
      <c r="C13" s="10"/>
      <c r="D13" s="10"/>
      <c r="E13" s="10">
        <v>182</v>
      </c>
      <c r="F13" s="10">
        <v>1400</v>
      </c>
      <c r="G13" s="10">
        <f t="shared" si="0"/>
        <v>1582</v>
      </c>
      <c r="H13" s="16">
        <f t="shared" si="1"/>
        <v>3.16</v>
      </c>
      <c r="I13" s="15">
        <f t="shared" si="2"/>
        <v>6.0000000000000001E-3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28740</v>
      </c>
      <c r="F14" s="10"/>
      <c r="G14" s="10">
        <f t="shared" si="0"/>
        <v>28740</v>
      </c>
      <c r="H14" s="16">
        <f t="shared" si="1"/>
        <v>57.37</v>
      </c>
      <c r="I14" s="15">
        <f t="shared" si="2"/>
        <v>0.109</v>
      </c>
      <c r="J14" s="15">
        <f>ROUND(G14/3249.33-1,2)</f>
        <v>7.84</v>
      </c>
    </row>
    <row r="15" spans="1:10" x14ac:dyDescent="0.25">
      <c r="A15" s="1" t="s">
        <v>16</v>
      </c>
      <c r="B15" s="1" t="s">
        <v>24</v>
      </c>
      <c r="C15" s="10">
        <v>29370</v>
      </c>
      <c r="D15" s="10"/>
      <c r="E15" s="10">
        <v>4758</v>
      </c>
      <c r="F15" s="10">
        <v>100</v>
      </c>
      <c r="G15" s="10">
        <f t="shared" si="0"/>
        <v>34228</v>
      </c>
      <c r="H15" s="16">
        <f t="shared" si="1"/>
        <v>68.319999999999993</v>
      </c>
      <c r="I15" s="15">
        <f t="shared" si="2"/>
        <v>0.13</v>
      </c>
      <c r="J15" s="15">
        <f>ROUND(G15/32296.22-1,2)</f>
        <v>0.06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901</v>
      </c>
      <c r="F16" s="10"/>
      <c r="G16" s="10">
        <f t="shared" si="0"/>
        <v>901</v>
      </c>
      <c r="H16" s="16">
        <f t="shared" si="1"/>
        <v>1.8</v>
      </c>
      <c r="I16" s="15">
        <f t="shared" si="2"/>
        <v>3.0000000000000001E-3</v>
      </c>
      <c r="J16" s="15"/>
    </row>
    <row r="17" spans="1:10" x14ac:dyDescent="0.25">
      <c r="A17" s="1" t="s">
        <v>16</v>
      </c>
      <c r="B17" s="1" t="s">
        <v>26</v>
      </c>
      <c r="C17" s="10">
        <v>33980</v>
      </c>
      <c r="D17" s="10"/>
      <c r="E17" s="10"/>
      <c r="F17" s="10">
        <v>40</v>
      </c>
      <c r="G17" s="10">
        <f t="shared" si="0"/>
        <v>34020</v>
      </c>
      <c r="H17" s="16">
        <f t="shared" si="1"/>
        <v>67.900000000000006</v>
      </c>
      <c r="I17" s="15">
        <f t="shared" si="2"/>
        <v>0.13</v>
      </c>
      <c r="J17" s="15">
        <f>ROUND(G17/31130-1,2)</f>
        <v>0.09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270</v>
      </c>
      <c r="F18" s="10"/>
      <c r="G18" s="10">
        <f t="shared" si="0"/>
        <v>270</v>
      </c>
      <c r="H18" s="16">
        <f t="shared" si="1"/>
        <v>0.54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142</v>
      </c>
      <c r="F19" s="10"/>
      <c r="G19" s="10">
        <f t="shared" si="0"/>
        <v>142</v>
      </c>
      <c r="H19" s="16">
        <f t="shared" si="1"/>
        <v>0.28000000000000003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29</v>
      </c>
      <c r="C20" s="10"/>
      <c r="D20" s="10"/>
      <c r="E20" s="10">
        <v>518</v>
      </c>
      <c r="F20" s="10"/>
      <c r="G20" s="10">
        <f t="shared" si="0"/>
        <v>518</v>
      </c>
      <c r="H20" s="16">
        <f t="shared" si="1"/>
        <v>1.03</v>
      </c>
      <c r="I20" s="15">
        <f t="shared" si="2"/>
        <v>2E-3</v>
      </c>
      <c r="J20" s="15">
        <f>ROUND(G20/354.44-1,2)</f>
        <v>0.46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228</v>
      </c>
      <c r="F21" s="10"/>
      <c r="G21" s="10">
        <f t="shared" si="0"/>
        <v>228</v>
      </c>
      <c r="H21" s="16">
        <f t="shared" si="1"/>
        <v>0.46</v>
      </c>
      <c r="I21" s="15">
        <f t="shared" si="2"/>
        <v>1E-3</v>
      </c>
      <c r="J21" s="15">
        <f>ROUND(G21/156.01-1,2)</f>
        <v>0.46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548</v>
      </c>
      <c r="F22" s="10"/>
      <c r="G22" s="10">
        <f t="shared" si="0"/>
        <v>548</v>
      </c>
      <c r="H22" s="16">
        <f t="shared" si="1"/>
        <v>1.0900000000000001</v>
      </c>
      <c r="I22" s="15">
        <f t="shared" si="2"/>
        <v>2E-3</v>
      </c>
      <c r="J22" s="15"/>
    </row>
    <row r="23" spans="1:10" x14ac:dyDescent="0.25">
      <c r="A23" s="1" t="s">
        <v>16</v>
      </c>
      <c r="B23" s="1" t="s">
        <v>33</v>
      </c>
      <c r="C23" s="10"/>
      <c r="D23" s="10"/>
      <c r="E23" s="10">
        <v>62</v>
      </c>
      <c r="F23" s="10"/>
      <c r="G23" s="10">
        <f t="shared" si="0"/>
        <v>62</v>
      </c>
      <c r="H23" s="16">
        <f t="shared" si="1"/>
        <v>0.12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34</v>
      </c>
      <c r="C24" s="10"/>
      <c r="D24" s="10"/>
      <c r="E24" s="10">
        <v>73</v>
      </c>
      <c r="F24" s="10"/>
      <c r="G24" s="10">
        <f t="shared" si="0"/>
        <v>73</v>
      </c>
      <c r="H24" s="16">
        <f t="shared" si="1"/>
        <v>0.15</v>
      </c>
      <c r="I24" s="15">
        <f t="shared" si="2"/>
        <v>0</v>
      </c>
      <c r="J24" s="15"/>
    </row>
    <row r="25" spans="1:10" x14ac:dyDescent="0.25">
      <c r="A25" s="1" t="s">
        <v>16</v>
      </c>
      <c r="B25" s="1" t="s">
        <v>37</v>
      </c>
      <c r="C25" s="10"/>
      <c r="D25" s="10"/>
      <c r="E25" s="10">
        <v>794</v>
      </c>
      <c r="F25" s="10"/>
      <c r="G25" s="10">
        <f t="shared" si="0"/>
        <v>794</v>
      </c>
      <c r="H25" s="16">
        <f t="shared" si="1"/>
        <v>1.58</v>
      </c>
      <c r="I25" s="15">
        <f t="shared" si="2"/>
        <v>3.0000000000000001E-3</v>
      </c>
      <c r="J25" s="15">
        <f>ROUND(G25/233.19-1,2)</f>
        <v>2.4</v>
      </c>
    </row>
    <row r="26" spans="1:10" x14ac:dyDescent="0.25">
      <c r="A26" s="1" t="s">
        <v>16</v>
      </c>
      <c r="B26" s="1" t="s">
        <v>43</v>
      </c>
      <c r="C26" s="10"/>
      <c r="D26" s="10"/>
      <c r="E26" s="10">
        <v>663</v>
      </c>
      <c r="F26" s="10"/>
      <c r="G26" s="10">
        <f t="shared" si="0"/>
        <v>663</v>
      </c>
      <c r="H26" s="16">
        <f t="shared" si="1"/>
        <v>1.32</v>
      </c>
      <c r="I26" s="15">
        <f t="shared" si="2"/>
        <v>3.0000000000000001E-3</v>
      </c>
      <c r="J26" s="15"/>
    </row>
    <row r="27" spans="1:10" x14ac:dyDescent="0.25">
      <c r="A27" s="1" t="s">
        <v>16</v>
      </c>
      <c r="B27" s="1" t="s">
        <v>38</v>
      </c>
      <c r="C27" s="10"/>
      <c r="D27" s="10"/>
      <c r="E27" s="10">
        <v>17296</v>
      </c>
      <c r="F27" s="10"/>
      <c r="G27" s="10">
        <f t="shared" si="0"/>
        <v>17296</v>
      </c>
      <c r="H27" s="16">
        <f t="shared" si="1"/>
        <v>34.520000000000003</v>
      </c>
      <c r="I27" s="15">
        <f t="shared" si="2"/>
        <v>6.6000000000000003E-2</v>
      </c>
      <c r="J27" s="15">
        <f>ROUND(G27/2184.09-1,2)</f>
        <v>6.92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6327</v>
      </c>
      <c r="F28" s="10"/>
      <c r="G28" s="10">
        <f t="shared" si="0"/>
        <v>6327</v>
      </c>
      <c r="H28" s="16">
        <f t="shared" si="1"/>
        <v>12.63</v>
      </c>
      <c r="I28" s="15">
        <f t="shared" si="2"/>
        <v>2.4E-2</v>
      </c>
      <c r="J28" s="15">
        <f>ROUND(G28/1081.93-1,2)</f>
        <v>4.8499999999999996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2900</v>
      </c>
      <c r="F29" s="10"/>
      <c r="G29" s="10">
        <f t="shared" si="0"/>
        <v>2900</v>
      </c>
      <c r="H29" s="16">
        <f t="shared" si="1"/>
        <v>5.79</v>
      </c>
      <c r="I29" s="15">
        <f t="shared" si="2"/>
        <v>1.0999999999999999E-2</v>
      </c>
      <c r="J29" s="15">
        <f>ROUND(G29/95.73-1,2)</f>
        <v>29.29</v>
      </c>
    </row>
    <row r="30" spans="1:10" x14ac:dyDescent="0.25">
      <c r="A30" s="1" t="s">
        <v>16</v>
      </c>
      <c r="B30" s="1" t="s">
        <v>36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ROUND(G30/393.54-1,2)</f>
        <v>-1</v>
      </c>
    </row>
    <row r="31" spans="1:10" x14ac:dyDescent="0.25">
      <c r="A31" s="1" t="s">
        <v>16</v>
      </c>
      <c r="B31" s="1" t="s">
        <v>172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/>
    </row>
    <row r="32" spans="1:10" x14ac:dyDescent="0.25">
      <c r="A32" s="1" t="s">
        <v>16</v>
      </c>
      <c r="B32" s="1" t="s">
        <v>173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ROUND(G32/217-1,2)</f>
        <v>-1</v>
      </c>
    </row>
    <row r="33" spans="1:10" x14ac:dyDescent="0.25">
      <c r="A33" s="1" t="s">
        <v>16</v>
      </c>
      <c r="B33" s="1" t="s">
        <v>35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42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16</v>
      </c>
      <c r="B35" s="1" t="s">
        <v>120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16</v>
      </c>
      <c r="B36" s="1" t="s">
        <v>174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16</v>
      </c>
      <c r="B37" s="1" t="s">
        <v>31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16</v>
      </c>
      <c r="B38" s="1" t="s">
        <v>39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44</v>
      </c>
      <c r="B39" s="1" t="s">
        <v>45</v>
      </c>
      <c r="C39" s="10">
        <v>59660</v>
      </c>
      <c r="D39" s="10"/>
      <c r="E39" s="10"/>
      <c r="F39" s="10">
        <v>600</v>
      </c>
      <c r="G39" s="10">
        <f t="shared" si="0"/>
        <v>60260</v>
      </c>
      <c r="H39" s="16">
        <f t="shared" si="1"/>
        <v>120.28</v>
      </c>
      <c r="I39" s="15">
        <f t="shared" si="2"/>
        <v>0.23</v>
      </c>
      <c r="J39" s="15">
        <f>ROUND(G39/79480-1,2)</f>
        <v>-0.24</v>
      </c>
    </row>
    <row r="40" spans="1:10" x14ac:dyDescent="0.25">
      <c r="A40" s="1" t="s">
        <v>44</v>
      </c>
      <c r="B40" s="1" t="s">
        <v>46</v>
      </c>
      <c r="C40" s="10"/>
      <c r="D40" s="10"/>
      <c r="E40" s="10">
        <v>9517</v>
      </c>
      <c r="F40" s="10"/>
      <c r="G40" s="10">
        <f t="shared" si="0"/>
        <v>9517</v>
      </c>
      <c r="H40" s="16">
        <f t="shared" si="1"/>
        <v>19</v>
      </c>
      <c r="I40" s="15">
        <f t="shared" si="2"/>
        <v>3.5999999999999997E-2</v>
      </c>
      <c r="J40" s="15">
        <f>ROUND(G40/1604.15-1,2)</f>
        <v>4.93</v>
      </c>
    </row>
    <row r="41" spans="1:10" x14ac:dyDescent="0.25">
      <c r="A41" s="1" t="s">
        <v>44</v>
      </c>
      <c r="B41" s="1" t="s">
        <v>47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1" t="s">
        <v>48</v>
      </c>
      <c r="B42" s="1" t="s">
        <v>51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>
        <f>ROUND(G42/11-1,2)</f>
        <v>-1</v>
      </c>
    </row>
    <row r="43" spans="1:10" x14ac:dyDescent="0.25">
      <c r="A43" s="27" t="s">
        <v>12</v>
      </c>
      <c r="B43" s="27"/>
      <c r="C43" s="11">
        <f t="shared" ref="C43:H43" si="3">SUM(C8:C42)</f>
        <v>184890</v>
      </c>
      <c r="D43" s="11">
        <f t="shared" si="3"/>
        <v>0</v>
      </c>
      <c r="E43" s="11">
        <f t="shared" si="3"/>
        <v>75426</v>
      </c>
      <c r="F43" s="11">
        <f t="shared" si="3"/>
        <v>2220</v>
      </c>
      <c r="G43" s="11">
        <f t="shared" si="3"/>
        <v>262536</v>
      </c>
      <c r="H43" s="14">
        <f t="shared" si="3"/>
        <v>524.02999999999986</v>
      </c>
      <c r="I43" s="17"/>
      <c r="J43" s="17"/>
    </row>
    <row r="44" spans="1:10" x14ac:dyDescent="0.25">
      <c r="A44" s="27" t="s">
        <v>14</v>
      </c>
      <c r="B44" s="27"/>
      <c r="C44" s="12">
        <f>ROUND(C43/G43,2)</f>
        <v>0.7</v>
      </c>
      <c r="D44" s="12">
        <f>ROUND(D43/G43,2)</f>
        <v>0</v>
      </c>
      <c r="E44" s="12">
        <f>ROUND(E43/G43,2)</f>
        <v>0.28999999999999998</v>
      </c>
      <c r="F44" s="12">
        <f>ROUND(F43/G43,2)</f>
        <v>0.01</v>
      </c>
      <c r="G44" s="13"/>
      <c r="H44" s="13"/>
      <c r="I44" s="17"/>
      <c r="J44" s="17"/>
    </row>
    <row r="45" spans="1:10" x14ac:dyDescent="0.25">
      <c r="A45" s="2" t="s">
        <v>52</v>
      </c>
      <c r="B45" s="2"/>
      <c r="C45" s="13"/>
      <c r="D45" s="13"/>
      <c r="E45" s="13"/>
      <c r="F45" s="13"/>
      <c r="G45" s="13"/>
      <c r="H45" s="13"/>
      <c r="I45" s="17"/>
      <c r="J45" s="17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A49" s="27" t="s">
        <v>53</v>
      </c>
      <c r="B49" s="27"/>
      <c r="C49" s="11" t="s">
        <v>8</v>
      </c>
      <c r="D49" s="11" t="s">
        <v>9</v>
      </c>
      <c r="E49" s="11" t="s">
        <v>10</v>
      </c>
      <c r="F49" s="11" t="s">
        <v>11</v>
      </c>
      <c r="G49" s="11" t="s">
        <v>12</v>
      </c>
      <c r="H49" s="14" t="s">
        <v>13</v>
      </c>
      <c r="I49" s="17"/>
      <c r="J49" s="17"/>
    </row>
    <row r="50" spans="1:10" x14ac:dyDescent="0.25">
      <c r="A50" s="22" t="s">
        <v>54</v>
      </c>
      <c r="B50" s="22"/>
      <c r="C50" s="10">
        <v>125230</v>
      </c>
      <c r="D50" s="10">
        <v>0</v>
      </c>
      <c r="E50" s="10">
        <v>65909</v>
      </c>
      <c r="F50" s="10">
        <v>1620</v>
      </c>
      <c r="G50" s="10">
        <f>SUM(C50:F50)</f>
        <v>192759</v>
      </c>
      <c r="H50" s="16">
        <f>ROUND(G50/501,2)</f>
        <v>384.75</v>
      </c>
      <c r="I50" s="9"/>
      <c r="J50" s="9"/>
    </row>
    <row r="51" spans="1:10" x14ac:dyDescent="0.25">
      <c r="A51" s="22" t="s">
        <v>55</v>
      </c>
      <c r="B51" s="22"/>
      <c r="C51" s="10">
        <v>59660</v>
      </c>
      <c r="D51" s="10">
        <v>0</v>
      </c>
      <c r="E51" s="10">
        <v>9517</v>
      </c>
      <c r="F51" s="10">
        <v>600</v>
      </c>
      <c r="G51" s="10">
        <f>SUM(C51:F51)</f>
        <v>69777</v>
      </c>
      <c r="H51" s="16">
        <f>ROUND(G51/501,2)</f>
        <v>139.28</v>
      </c>
      <c r="I51" s="9"/>
      <c r="J51" s="9"/>
    </row>
    <row r="52" spans="1:10" x14ac:dyDescent="0.25">
      <c r="A52" s="22" t="s">
        <v>56</v>
      </c>
      <c r="B52" s="22"/>
      <c r="C52" s="10">
        <v>0</v>
      </c>
      <c r="D52" s="10">
        <v>0</v>
      </c>
      <c r="E52" s="10">
        <v>0</v>
      </c>
      <c r="F52" s="10">
        <v>0</v>
      </c>
      <c r="G52" s="10">
        <f>SUM(C52:F52)</f>
        <v>0</v>
      </c>
      <c r="H52" s="16">
        <f>ROUND(G52/501,2)</f>
        <v>0</v>
      </c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7" t="s">
        <v>57</v>
      </c>
      <c r="B57" s="27"/>
      <c r="C57" s="14" t="s">
        <v>2</v>
      </c>
      <c r="D57" s="14">
        <v>2023</v>
      </c>
      <c r="E57" s="14" t="s">
        <v>59</v>
      </c>
      <c r="F57" s="13"/>
      <c r="G57" s="14" t="s">
        <v>60</v>
      </c>
      <c r="H57" s="14" t="s">
        <v>2</v>
      </c>
      <c r="I57" s="12" t="s">
        <v>61</v>
      </c>
      <c r="J57" s="12" t="s">
        <v>59</v>
      </c>
    </row>
    <row r="58" spans="1:10" x14ac:dyDescent="0.25">
      <c r="A58" s="22" t="s">
        <v>58</v>
      </c>
      <c r="B58" s="22"/>
      <c r="C58" s="15">
        <f>ROUND(0.7396, 4)</f>
        <v>0.73960000000000004</v>
      </c>
      <c r="D58" s="15">
        <f>ROUND(0.6214, 4)</f>
        <v>0.62139999999999995</v>
      </c>
      <c r="E58" s="15">
        <f>ROUND(0.777, 4)</f>
        <v>0.77700000000000002</v>
      </c>
      <c r="F58" s="8"/>
      <c r="G58" s="14" t="s">
        <v>62</v>
      </c>
      <c r="H58" s="28" t="s">
        <v>63</v>
      </c>
      <c r="I58" s="25" t="s">
        <v>64</v>
      </c>
      <c r="J58" s="25" t="s">
        <v>65</v>
      </c>
    </row>
    <row r="59" spans="1:10" x14ac:dyDescent="0.25">
      <c r="A59" s="22" t="s">
        <v>66</v>
      </c>
      <c r="B59" s="22"/>
      <c r="C59" s="15">
        <f>ROUND(0.7001, 4)</f>
        <v>0.70009999999999994</v>
      </c>
      <c r="D59" s="15">
        <f>ROUND(0.5774, 4)</f>
        <v>0.57740000000000002</v>
      </c>
      <c r="E59" s="15">
        <f>ROUND(0.7608, 4)</f>
        <v>0.76080000000000003</v>
      </c>
      <c r="F59" s="8"/>
      <c r="G59" s="14" t="s">
        <v>67</v>
      </c>
      <c r="H59" s="29"/>
      <c r="I59" s="26"/>
      <c r="J59" s="26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27" t="s">
        <v>68</v>
      </c>
      <c r="B63" s="27"/>
      <c r="C63" s="14" t="s">
        <v>2</v>
      </c>
      <c r="D63" s="14" t="s">
        <v>175</v>
      </c>
      <c r="E63" s="14" t="s">
        <v>70</v>
      </c>
      <c r="F63" s="14" t="s">
        <v>71</v>
      </c>
      <c r="G63" s="14" t="s">
        <v>72</v>
      </c>
      <c r="H63" s="13"/>
      <c r="I63" s="17"/>
      <c r="J63" s="17"/>
    </row>
    <row r="64" spans="1:10" x14ac:dyDescent="0.25">
      <c r="A64" s="22" t="s">
        <v>73</v>
      </c>
      <c r="B64" s="22"/>
      <c r="C64" s="16">
        <v>120.28</v>
      </c>
      <c r="D64" s="16">
        <v>136.07</v>
      </c>
      <c r="E64" s="16">
        <v>92.53</v>
      </c>
      <c r="F64" s="16">
        <v>56.06</v>
      </c>
      <c r="G64" s="16">
        <f>12/11*C64</f>
        <v>131.21454545454546</v>
      </c>
      <c r="H64" s="8"/>
      <c r="I64" s="9"/>
      <c r="J64" s="9"/>
    </row>
    <row r="65" spans="1:10" x14ac:dyDescent="0.25">
      <c r="A65" s="22" t="s">
        <v>74</v>
      </c>
      <c r="B65" s="22"/>
      <c r="C65" s="16">
        <v>67.900000000000006</v>
      </c>
      <c r="D65" s="16">
        <v>69.459999999999994</v>
      </c>
      <c r="E65" s="16">
        <v>61.98</v>
      </c>
      <c r="F65" s="16">
        <v>64.09</v>
      </c>
      <c r="G65" s="16">
        <f>12/11*C65</f>
        <v>74.072727272727278</v>
      </c>
      <c r="H65" s="8"/>
      <c r="I65" s="9"/>
      <c r="J65" s="9"/>
    </row>
    <row r="66" spans="1:10" x14ac:dyDescent="0.25">
      <c r="A66" s="22" t="s">
        <v>75</v>
      </c>
      <c r="B66" s="22"/>
      <c r="C66" s="16">
        <v>384.75</v>
      </c>
      <c r="D66" s="16">
        <v>297.08999999999997</v>
      </c>
      <c r="E66" s="16">
        <v>291.51</v>
      </c>
      <c r="F66" s="16">
        <v>284.45</v>
      </c>
      <c r="G66" s="16">
        <f>12/11*C66</f>
        <v>419.72727272727269</v>
      </c>
      <c r="H66" s="8"/>
      <c r="I66" s="9"/>
      <c r="J66" s="9"/>
    </row>
    <row r="67" spans="1:10" x14ac:dyDescent="0.25">
      <c r="A67" s="22" t="s">
        <v>76</v>
      </c>
      <c r="B67" s="22"/>
      <c r="C67" s="16">
        <v>139.28</v>
      </c>
      <c r="D67" s="16">
        <v>143.69</v>
      </c>
      <c r="E67" s="16">
        <v>116.46</v>
      </c>
      <c r="F67" s="16">
        <v>79.959999999999994</v>
      </c>
      <c r="G67" s="16">
        <f>12/11*C67</f>
        <v>151.94181818181818</v>
      </c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23" t="s">
        <v>60</v>
      </c>
      <c r="B70" s="24"/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77</v>
      </c>
      <c r="B71" s="1" t="s">
        <v>176</v>
      </c>
    </row>
    <row r="72" spans="1:10" x14ac:dyDescent="0.25">
      <c r="A72" s="3" t="s">
        <v>70</v>
      </c>
      <c r="B72" s="1" t="s">
        <v>79</v>
      </c>
    </row>
    <row r="73" spans="1:10" x14ac:dyDescent="0.25">
      <c r="A73" s="3" t="s">
        <v>71</v>
      </c>
      <c r="B73" s="1" t="s">
        <v>80</v>
      </c>
    </row>
    <row r="74" spans="1:10" x14ac:dyDescent="0.25">
      <c r="A74" s="3" t="s">
        <v>72</v>
      </c>
      <c r="B74" s="1" t="s">
        <v>81</v>
      </c>
    </row>
  </sheetData>
  <mergeCells count="19">
    <mergeCell ref="C7:G7"/>
    <mergeCell ref="A43:B43"/>
    <mergeCell ref="A44:B44"/>
    <mergeCell ref="A49:B49"/>
    <mergeCell ref="A50:B50"/>
    <mergeCell ref="J58:J59"/>
    <mergeCell ref="A59:B59"/>
    <mergeCell ref="A63:B63"/>
    <mergeCell ref="A64:B64"/>
    <mergeCell ref="A51:B51"/>
    <mergeCell ref="A52:B52"/>
    <mergeCell ref="A57:B57"/>
    <mergeCell ref="A58:B58"/>
    <mergeCell ref="H58:H59"/>
    <mergeCell ref="A65:B65"/>
    <mergeCell ref="A66:B66"/>
    <mergeCell ref="A67:B67"/>
    <mergeCell ref="A70:B70"/>
    <mergeCell ref="I58:I5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J70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8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177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914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34</v>
      </c>
      <c r="F9" s="10"/>
      <c r="G9" s="10">
        <f t="shared" ref="G9:G38" si="0">SUM(C9:F9)</f>
        <v>34</v>
      </c>
      <c r="H9" s="16">
        <f t="shared" ref="H9:H38" si="1">ROUND(G9/914,2)</f>
        <v>0.04</v>
      </c>
      <c r="I9" s="15">
        <f t="shared" ref="I9:I38" si="2">ROUND(G9/$G$39,3)</f>
        <v>0</v>
      </c>
      <c r="J9" s="15">
        <f>ROUND(G9/30-1,2)</f>
        <v>0.13</v>
      </c>
    </row>
    <row r="10" spans="1:10" x14ac:dyDescent="0.25">
      <c r="A10" s="1" t="s">
        <v>16</v>
      </c>
      <c r="B10" s="1" t="s">
        <v>19</v>
      </c>
      <c r="C10" s="10">
        <v>48400</v>
      </c>
      <c r="D10" s="10"/>
      <c r="E10" s="10">
        <v>4925</v>
      </c>
      <c r="F10" s="10"/>
      <c r="G10" s="10">
        <f t="shared" si="0"/>
        <v>53325</v>
      </c>
      <c r="H10" s="16">
        <f t="shared" si="1"/>
        <v>58.34</v>
      </c>
      <c r="I10" s="15">
        <f t="shared" si="2"/>
        <v>9.2999999999999999E-2</v>
      </c>
      <c r="J10" s="15">
        <f>ROUND(G10/50191.55-1,2)</f>
        <v>0.06</v>
      </c>
    </row>
    <row r="11" spans="1:10" x14ac:dyDescent="0.25">
      <c r="A11" s="1" t="s">
        <v>16</v>
      </c>
      <c r="B11" s="1" t="s">
        <v>20</v>
      </c>
      <c r="C11" s="10">
        <v>67840</v>
      </c>
      <c r="D11" s="10"/>
      <c r="E11" s="10">
        <v>1431</v>
      </c>
      <c r="F11" s="10"/>
      <c r="G11" s="10">
        <f t="shared" si="0"/>
        <v>69271</v>
      </c>
      <c r="H11" s="16">
        <f t="shared" si="1"/>
        <v>75.790000000000006</v>
      </c>
      <c r="I11" s="15">
        <f t="shared" si="2"/>
        <v>0.121</v>
      </c>
      <c r="J11" s="15">
        <f>ROUND(G11/77221.32-1,2)</f>
        <v>-0.1</v>
      </c>
    </row>
    <row r="12" spans="1:10" x14ac:dyDescent="0.25">
      <c r="A12" s="1" t="s">
        <v>16</v>
      </c>
      <c r="B12" s="1" t="s">
        <v>22</v>
      </c>
      <c r="C12" s="10"/>
      <c r="D12" s="10"/>
      <c r="E12" s="10">
        <v>1013</v>
      </c>
      <c r="F12" s="10"/>
      <c r="G12" s="10">
        <f t="shared" si="0"/>
        <v>1013</v>
      </c>
      <c r="H12" s="16">
        <f t="shared" si="1"/>
        <v>1.1100000000000001</v>
      </c>
      <c r="I12" s="15">
        <f t="shared" si="2"/>
        <v>2E-3</v>
      </c>
      <c r="J12" s="15">
        <f>ROUND(G12/2120-1,2)</f>
        <v>-0.52</v>
      </c>
    </row>
    <row r="13" spans="1:10" x14ac:dyDescent="0.25">
      <c r="A13" s="1" t="s">
        <v>16</v>
      </c>
      <c r="B13" s="1" t="s">
        <v>23</v>
      </c>
      <c r="C13" s="10"/>
      <c r="D13" s="10"/>
      <c r="E13" s="10">
        <v>60647</v>
      </c>
      <c r="F13" s="10"/>
      <c r="G13" s="10">
        <f t="shared" si="0"/>
        <v>60647</v>
      </c>
      <c r="H13" s="16">
        <f t="shared" si="1"/>
        <v>66.349999999999994</v>
      </c>
      <c r="I13" s="15">
        <f t="shared" si="2"/>
        <v>0.106</v>
      </c>
      <c r="J13" s="15">
        <f>ROUND(G13/103710.73-1,2)</f>
        <v>-0.42</v>
      </c>
    </row>
    <row r="14" spans="1:10" x14ac:dyDescent="0.25">
      <c r="A14" s="1" t="s">
        <v>16</v>
      </c>
      <c r="B14" s="1" t="s">
        <v>24</v>
      </c>
      <c r="C14" s="10">
        <v>52850</v>
      </c>
      <c r="D14" s="10"/>
      <c r="E14" s="10">
        <v>15003</v>
      </c>
      <c r="F14" s="10"/>
      <c r="G14" s="10">
        <f t="shared" si="0"/>
        <v>67853</v>
      </c>
      <c r="H14" s="16">
        <f t="shared" si="1"/>
        <v>74.239999999999995</v>
      </c>
      <c r="I14" s="15">
        <f t="shared" si="2"/>
        <v>0.11799999999999999</v>
      </c>
      <c r="J14" s="15">
        <f>ROUND(G14/67842.43-1,2)</f>
        <v>0</v>
      </c>
    </row>
    <row r="15" spans="1:10" x14ac:dyDescent="0.25">
      <c r="A15" s="1" t="s">
        <v>16</v>
      </c>
      <c r="B15" s="1" t="s">
        <v>25</v>
      </c>
      <c r="C15" s="10"/>
      <c r="D15" s="10"/>
      <c r="E15" s="10">
        <v>2652</v>
      </c>
      <c r="F15" s="10"/>
      <c r="G15" s="10">
        <f t="shared" si="0"/>
        <v>2652</v>
      </c>
      <c r="H15" s="16">
        <f t="shared" si="1"/>
        <v>2.9</v>
      </c>
      <c r="I15" s="15">
        <f t="shared" si="2"/>
        <v>5.0000000000000001E-3</v>
      </c>
      <c r="J15" s="15">
        <f>ROUND(G15/4420-1,2)</f>
        <v>-0.4</v>
      </c>
    </row>
    <row r="16" spans="1:10" x14ac:dyDescent="0.25">
      <c r="A16" s="1" t="s">
        <v>16</v>
      </c>
      <c r="B16" s="1" t="s">
        <v>26</v>
      </c>
      <c r="C16" s="10">
        <v>69890</v>
      </c>
      <c r="D16" s="10"/>
      <c r="E16" s="10"/>
      <c r="F16" s="10"/>
      <c r="G16" s="10">
        <f t="shared" si="0"/>
        <v>69890</v>
      </c>
      <c r="H16" s="16">
        <f t="shared" si="1"/>
        <v>76.47</v>
      </c>
      <c r="I16" s="15">
        <f t="shared" si="2"/>
        <v>0.122</v>
      </c>
      <c r="J16" s="15">
        <f>ROUND(G16/60360-1,2)</f>
        <v>0.16</v>
      </c>
    </row>
    <row r="17" spans="1:10" x14ac:dyDescent="0.25">
      <c r="A17" s="1" t="s">
        <v>16</v>
      </c>
      <c r="B17" s="1" t="s">
        <v>27</v>
      </c>
      <c r="C17" s="10"/>
      <c r="D17" s="10"/>
      <c r="E17" s="10">
        <v>759</v>
      </c>
      <c r="F17" s="10"/>
      <c r="G17" s="10">
        <f t="shared" si="0"/>
        <v>759</v>
      </c>
      <c r="H17" s="16">
        <f t="shared" si="1"/>
        <v>0.83</v>
      </c>
      <c r="I17" s="15">
        <f t="shared" si="2"/>
        <v>1E-3</v>
      </c>
      <c r="J17" s="15">
        <f>ROUND(G17/778-1,2)</f>
        <v>-0.02</v>
      </c>
    </row>
    <row r="18" spans="1:10" x14ac:dyDescent="0.25">
      <c r="A18" s="1" t="s">
        <v>16</v>
      </c>
      <c r="B18" s="1" t="s">
        <v>28</v>
      </c>
      <c r="C18" s="10"/>
      <c r="D18" s="10"/>
      <c r="E18" s="10">
        <v>258</v>
      </c>
      <c r="F18" s="10"/>
      <c r="G18" s="10">
        <f t="shared" si="0"/>
        <v>258</v>
      </c>
      <c r="H18" s="16">
        <f t="shared" si="1"/>
        <v>0.28000000000000003</v>
      </c>
      <c r="I18" s="15">
        <f t="shared" si="2"/>
        <v>0</v>
      </c>
      <c r="J18" s="15">
        <f>ROUND(G18/502-1,2)</f>
        <v>-0.49</v>
      </c>
    </row>
    <row r="19" spans="1:10" x14ac:dyDescent="0.25">
      <c r="A19" s="1" t="s">
        <v>16</v>
      </c>
      <c r="B19" s="1" t="s">
        <v>42</v>
      </c>
      <c r="C19" s="10"/>
      <c r="D19" s="10"/>
      <c r="E19" s="10">
        <v>85</v>
      </c>
      <c r="F19" s="10"/>
      <c r="G19" s="10">
        <f t="shared" si="0"/>
        <v>85</v>
      </c>
      <c r="H19" s="16">
        <f t="shared" si="1"/>
        <v>0.09</v>
      </c>
      <c r="I19" s="15">
        <f t="shared" si="2"/>
        <v>0</v>
      </c>
      <c r="J19" s="15"/>
    </row>
    <row r="20" spans="1:10" x14ac:dyDescent="0.25">
      <c r="A20" s="1" t="s">
        <v>16</v>
      </c>
      <c r="B20" s="1" t="s">
        <v>29</v>
      </c>
      <c r="C20" s="10"/>
      <c r="D20" s="10"/>
      <c r="E20" s="10">
        <v>1304</v>
      </c>
      <c r="F20" s="10"/>
      <c r="G20" s="10">
        <f t="shared" si="0"/>
        <v>1304</v>
      </c>
      <c r="H20" s="16">
        <f t="shared" si="1"/>
        <v>1.43</v>
      </c>
      <c r="I20" s="15">
        <f t="shared" si="2"/>
        <v>2E-3</v>
      </c>
      <c r="J20" s="15">
        <f>ROUND(G20/4070-1,2)</f>
        <v>-0.68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488</v>
      </c>
      <c r="F21" s="10"/>
      <c r="G21" s="10">
        <f t="shared" si="0"/>
        <v>488</v>
      </c>
      <c r="H21" s="16">
        <f t="shared" si="1"/>
        <v>0.53</v>
      </c>
      <c r="I21" s="15">
        <f t="shared" si="2"/>
        <v>1E-3</v>
      </c>
      <c r="J21" s="15">
        <f>ROUND(G21/380-1,2)</f>
        <v>0.28000000000000003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494</v>
      </c>
      <c r="F22" s="10"/>
      <c r="G22" s="10">
        <f t="shared" si="0"/>
        <v>494</v>
      </c>
      <c r="H22" s="16">
        <f t="shared" si="1"/>
        <v>0.54</v>
      </c>
      <c r="I22" s="15">
        <f t="shared" si="2"/>
        <v>1E-3</v>
      </c>
      <c r="J22" s="15">
        <f>ROUND(G22/1260-1,2)</f>
        <v>-0.61</v>
      </c>
    </row>
    <row r="23" spans="1:10" x14ac:dyDescent="0.25">
      <c r="A23" s="1" t="s">
        <v>16</v>
      </c>
      <c r="B23" s="1" t="s">
        <v>33</v>
      </c>
      <c r="C23" s="10"/>
      <c r="D23" s="10"/>
      <c r="E23" s="10">
        <v>78</v>
      </c>
      <c r="F23" s="10"/>
      <c r="G23" s="10">
        <f t="shared" si="0"/>
        <v>78</v>
      </c>
      <c r="H23" s="16">
        <f t="shared" si="1"/>
        <v>0.09</v>
      </c>
      <c r="I23" s="15">
        <f t="shared" si="2"/>
        <v>0</v>
      </c>
      <c r="J23" s="15">
        <f>ROUND(G23/80-1,2)</f>
        <v>-0.03</v>
      </c>
    </row>
    <row r="24" spans="1:10" x14ac:dyDescent="0.25">
      <c r="A24" s="1" t="s">
        <v>16</v>
      </c>
      <c r="B24" s="1" t="s">
        <v>37</v>
      </c>
      <c r="C24" s="10"/>
      <c r="D24" s="10"/>
      <c r="E24" s="10">
        <v>3158</v>
      </c>
      <c r="F24" s="10"/>
      <c r="G24" s="10">
        <f t="shared" si="0"/>
        <v>3158</v>
      </c>
      <c r="H24" s="16">
        <f t="shared" si="1"/>
        <v>3.46</v>
      </c>
      <c r="I24" s="15">
        <f t="shared" si="2"/>
        <v>6.0000000000000001E-3</v>
      </c>
      <c r="J24" s="15">
        <f>ROUND(G24/4250-1,2)</f>
        <v>-0.26</v>
      </c>
    </row>
    <row r="25" spans="1:10" x14ac:dyDescent="0.25">
      <c r="A25" s="1" t="s">
        <v>16</v>
      </c>
      <c r="B25" s="1" t="s">
        <v>38</v>
      </c>
      <c r="C25" s="10"/>
      <c r="D25" s="10"/>
      <c r="E25" s="10">
        <v>31079</v>
      </c>
      <c r="F25" s="10"/>
      <c r="G25" s="10">
        <f t="shared" si="0"/>
        <v>31079</v>
      </c>
      <c r="H25" s="16">
        <f t="shared" si="1"/>
        <v>34</v>
      </c>
      <c r="I25" s="15">
        <f t="shared" si="2"/>
        <v>5.3999999999999999E-2</v>
      </c>
      <c r="J25" s="15">
        <f>ROUND(G25/48935.84-1,2)</f>
        <v>-0.36</v>
      </c>
    </row>
    <row r="26" spans="1:10" x14ac:dyDescent="0.25">
      <c r="A26" s="1" t="s">
        <v>16</v>
      </c>
      <c r="B26" s="1" t="s">
        <v>40</v>
      </c>
      <c r="C26" s="10"/>
      <c r="D26" s="10"/>
      <c r="E26" s="10">
        <v>12020</v>
      </c>
      <c r="F26" s="10"/>
      <c r="G26" s="10">
        <f t="shared" si="0"/>
        <v>12020</v>
      </c>
      <c r="H26" s="16">
        <f t="shared" si="1"/>
        <v>13.15</v>
      </c>
      <c r="I26" s="15">
        <f t="shared" si="2"/>
        <v>2.1000000000000001E-2</v>
      </c>
      <c r="J26" s="15">
        <f>ROUND(G26/18949.54-1,2)</f>
        <v>-0.37</v>
      </c>
    </row>
    <row r="27" spans="1:10" x14ac:dyDescent="0.25">
      <c r="A27" s="1" t="s">
        <v>16</v>
      </c>
      <c r="B27" s="1" t="s">
        <v>41</v>
      </c>
      <c r="C27" s="10"/>
      <c r="D27" s="10"/>
      <c r="E27" s="10">
        <v>7864</v>
      </c>
      <c r="F27" s="10"/>
      <c r="G27" s="10">
        <f t="shared" si="0"/>
        <v>7864</v>
      </c>
      <c r="H27" s="16">
        <f t="shared" si="1"/>
        <v>8.6</v>
      </c>
      <c r="I27" s="15">
        <f t="shared" si="2"/>
        <v>1.4E-2</v>
      </c>
      <c r="J27" s="15">
        <f>ROUND(G27/10218.91-1,2)</f>
        <v>-0.23</v>
      </c>
    </row>
    <row r="28" spans="1:10" x14ac:dyDescent="0.25">
      <c r="A28" s="1" t="s">
        <v>16</v>
      </c>
      <c r="B28" s="1" t="s">
        <v>34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ROUND(G28/921-1,2)</f>
        <v>-1</v>
      </c>
    </row>
    <row r="29" spans="1:10" x14ac:dyDescent="0.25">
      <c r="A29" s="1" t="s">
        <v>16</v>
      </c>
      <c r="B29" s="1" t="s">
        <v>43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ROUND(G29/9810-1,2)</f>
        <v>-1</v>
      </c>
    </row>
    <row r="30" spans="1:10" x14ac:dyDescent="0.25">
      <c r="A30" s="1" t="s">
        <v>16</v>
      </c>
      <c r="B30" s="1" t="s">
        <v>36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ROUND(G30/2298.89-1,2)</f>
        <v>-1</v>
      </c>
    </row>
    <row r="31" spans="1:10" x14ac:dyDescent="0.25">
      <c r="A31" s="1" t="s">
        <v>16</v>
      </c>
      <c r="B31" s="1" t="s">
        <v>35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ROUND(G31/240-1,2)</f>
        <v>-1</v>
      </c>
    </row>
    <row r="32" spans="1:10" x14ac:dyDescent="0.25">
      <c r="A32" s="1" t="s">
        <v>16</v>
      </c>
      <c r="B32" s="1" t="s">
        <v>21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31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39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44</v>
      </c>
      <c r="B35" s="1" t="s">
        <v>45</v>
      </c>
      <c r="C35" s="10">
        <v>158760</v>
      </c>
      <c r="D35" s="10"/>
      <c r="E35" s="10"/>
      <c r="F35" s="10"/>
      <c r="G35" s="10">
        <f t="shared" si="0"/>
        <v>158760</v>
      </c>
      <c r="H35" s="16">
        <f t="shared" si="1"/>
        <v>173.7</v>
      </c>
      <c r="I35" s="15">
        <f t="shared" si="2"/>
        <v>0.27700000000000002</v>
      </c>
      <c r="J35" s="15">
        <f>ROUND(G35/173920-1,2)</f>
        <v>-0.09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32927</v>
      </c>
      <c r="F36" s="10"/>
      <c r="G36" s="10">
        <f t="shared" si="0"/>
        <v>32927</v>
      </c>
      <c r="H36" s="16">
        <f t="shared" si="1"/>
        <v>36.03</v>
      </c>
      <c r="I36" s="15">
        <f t="shared" si="2"/>
        <v>5.7000000000000002E-2</v>
      </c>
      <c r="J36" s="15">
        <f>ROUND(G36/45732.48-1,2)</f>
        <v>-0.28000000000000003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48</v>
      </c>
      <c r="B38" s="1" t="s">
        <v>51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27" t="s">
        <v>12</v>
      </c>
      <c r="B39" s="27"/>
      <c r="C39" s="11">
        <f t="shared" ref="C39:H39" si="3">SUM(C8:C38)</f>
        <v>397740</v>
      </c>
      <c r="D39" s="11">
        <f t="shared" si="3"/>
        <v>0</v>
      </c>
      <c r="E39" s="11">
        <f t="shared" si="3"/>
        <v>176219</v>
      </c>
      <c r="F39" s="11">
        <f t="shared" si="3"/>
        <v>0</v>
      </c>
      <c r="G39" s="11">
        <f t="shared" si="3"/>
        <v>573959</v>
      </c>
      <c r="H39" s="14">
        <f t="shared" si="3"/>
        <v>627.9699999999998</v>
      </c>
      <c r="I39" s="17"/>
      <c r="J39" s="17"/>
    </row>
    <row r="40" spans="1:10" x14ac:dyDescent="0.25">
      <c r="A40" s="27" t="s">
        <v>14</v>
      </c>
      <c r="B40" s="27"/>
      <c r="C40" s="12">
        <f>ROUND(C39/G39,2)</f>
        <v>0.69</v>
      </c>
      <c r="D40" s="12">
        <f>ROUND(D39/G39,2)</f>
        <v>0</v>
      </c>
      <c r="E40" s="12">
        <f>ROUND(E39/G39,2)</f>
        <v>0.31</v>
      </c>
      <c r="F40" s="12">
        <f>ROUND(F39/G39,2)</f>
        <v>0</v>
      </c>
      <c r="G40" s="13"/>
      <c r="H40" s="13"/>
      <c r="I40" s="17"/>
      <c r="J40" s="17"/>
    </row>
    <row r="41" spans="1:10" x14ac:dyDescent="0.25">
      <c r="A41" s="2" t="s">
        <v>52</v>
      </c>
      <c r="B41" s="2"/>
      <c r="C41" s="13"/>
      <c r="D41" s="13"/>
      <c r="E41" s="13"/>
      <c r="F41" s="13"/>
      <c r="G41" s="13"/>
      <c r="H41" s="13"/>
      <c r="I41" s="17"/>
      <c r="J41" s="17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A45" s="27" t="s">
        <v>53</v>
      </c>
      <c r="B45" s="27"/>
      <c r="C45" s="11" t="s">
        <v>8</v>
      </c>
      <c r="D45" s="11" t="s">
        <v>9</v>
      </c>
      <c r="E45" s="11" t="s">
        <v>10</v>
      </c>
      <c r="F45" s="11" t="s">
        <v>11</v>
      </c>
      <c r="G45" s="11" t="s">
        <v>12</v>
      </c>
      <c r="H45" s="14" t="s">
        <v>13</v>
      </c>
      <c r="I45" s="17"/>
      <c r="J45" s="17"/>
    </row>
    <row r="46" spans="1:10" x14ac:dyDescent="0.25">
      <c r="A46" s="22" t="s">
        <v>54</v>
      </c>
      <c r="B46" s="22"/>
      <c r="C46" s="10">
        <v>238980</v>
      </c>
      <c r="D46" s="10">
        <v>0</v>
      </c>
      <c r="E46" s="10">
        <v>143292</v>
      </c>
      <c r="F46" s="10">
        <v>0</v>
      </c>
      <c r="G46" s="10">
        <f>SUM(C46:F46)</f>
        <v>382272</v>
      </c>
      <c r="H46" s="16">
        <f>ROUND(G46/914,2)</f>
        <v>418.24</v>
      </c>
      <c r="I46" s="9"/>
      <c r="J46" s="9"/>
    </row>
    <row r="47" spans="1:10" x14ac:dyDescent="0.25">
      <c r="A47" s="22" t="s">
        <v>55</v>
      </c>
      <c r="B47" s="22"/>
      <c r="C47" s="10">
        <v>158760</v>
      </c>
      <c r="D47" s="10">
        <v>0</v>
      </c>
      <c r="E47" s="10">
        <v>32927</v>
      </c>
      <c r="F47" s="10">
        <v>0</v>
      </c>
      <c r="G47" s="10">
        <f>SUM(C47:F47)</f>
        <v>191687</v>
      </c>
      <c r="H47" s="16">
        <f>ROUND(G47/914,2)</f>
        <v>209.72</v>
      </c>
      <c r="I47" s="9"/>
      <c r="J47" s="9"/>
    </row>
    <row r="48" spans="1:10" x14ac:dyDescent="0.25">
      <c r="A48" s="22" t="s">
        <v>56</v>
      </c>
      <c r="B48" s="22"/>
      <c r="C48" s="10">
        <v>0</v>
      </c>
      <c r="D48" s="10">
        <v>0</v>
      </c>
      <c r="E48" s="10">
        <v>0</v>
      </c>
      <c r="F48" s="10">
        <v>0</v>
      </c>
      <c r="G48" s="10">
        <f>SUM(C48:F48)</f>
        <v>0</v>
      </c>
      <c r="H48" s="16">
        <f>ROUND(G48/914,2)</f>
        <v>0</v>
      </c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A53" s="27" t="s">
        <v>57</v>
      </c>
      <c r="B53" s="27"/>
      <c r="C53" s="14" t="s">
        <v>2</v>
      </c>
      <c r="D53" s="14">
        <v>2023</v>
      </c>
      <c r="E53" s="14" t="s">
        <v>59</v>
      </c>
      <c r="F53" s="13"/>
      <c r="G53" s="14" t="s">
        <v>60</v>
      </c>
      <c r="H53" s="14" t="s">
        <v>2</v>
      </c>
      <c r="I53" s="12" t="s">
        <v>61</v>
      </c>
      <c r="J53" s="12" t="s">
        <v>59</v>
      </c>
    </row>
    <row r="54" spans="1:10" x14ac:dyDescent="0.25">
      <c r="A54" s="22" t="s">
        <v>58</v>
      </c>
      <c r="B54" s="22"/>
      <c r="C54" s="15">
        <f>ROUND(0.6836, 4)</f>
        <v>0.68359999999999999</v>
      </c>
      <c r="D54" s="15">
        <f>ROUND(0.6978, 4)</f>
        <v>0.69779999999999998</v>
      </c>
      <c r="E54" s="15">
        <f>ROUND(0.777, 4)</f>
        <v>0.77700000000000002</v>
      </c>
      <c r="F54" s="8"/>
      <c r="G54" s="14" t="s">
        <v>62</v>
      </c>
      <c r="H54" s="28" t="s">
        <v>63</v>
      </c>
      <c r="I54" s="25" t="s">
        <v>64</v>
      </c>
      <c r="J54" s="25" t="s">
        <v>65</v>
      </c>
    </row>
    <row r="55" spans="1:10" x14ac:dyDescent="0.25">
      <c r="A55" s="22" t="s">
        <v>66</v>
      </c>
      <c r="B55" s="22"/>
      <c r="C55" s="15">
        <f>ROUND(0.6449, 4)</f>
        <v>0.64490000000000003</v>
      </c>
      <c r="D55" s="15">
        <f>ROUND(0.6651, 4)</f>
        <v>0.66510000000000002</v>
      </c>
      <c r="E55" s="15">
        <f>ROUND(0.7608, 4)</f>
        <v>0.76080000000000003</v>
      </c>
      <c r="F55" s="8"/>
      <c r="G55" s="14" t="s">
        <v>67</v>
      </c>
      <c r="H55" s="29"/>
      <c r="I55" s="26"/>
      <c r="J55" s="26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68</v>
      </c>
      <c r="B59" s="27"/>
      <c r="C59" s="14" t="s">
        <v>2</v>
      </c>
      <c r="D59" s="14" t="s">
        <v>178</v>
      </c>
      <c r="E59" s="14" t="s">
        <v>70</v>
      </c>
      <c r="F59" s="14" t="s">
        <v>71</v>
      </c>
      <c r="G59" s="14" t="s">
        <v>72</v>
      </c>
      <c r="H59" s="13"/>
      <c r="I59" s="17"/>
      <c r="J59" s="17"/>
    </row>
    <row r="60" spans="1:10" x14ac:dyDescent="0.25">
      <c r="A60" s="22" t="s">
        <v>73</v>
      </c>
      <c r="B60" s="22"/>
      <c r="C60" s="16">
        <v>173.7</v>
      </c>
      <c r="D60" s="16">
        <v>163.26</v>
      </c>
      <c r="E60" s="16">
        <v>92.53</v>
      </c>
      <c r="F60" s="16">
        <v>56.06</v>
      </c>
      <c r="G60" s="16">
        <f>12/11*C60</f>
        <v>189.49090909090907</v>
      </c>
      <c r="H60" s="8"/>
      <c r="I60" s="9"/>
      <c r="J60" s="9"/>
    </row>
    <row r="61" spans="1:10" x14ac:dyDescent="0.25">
      <c r="A61" s="22" t="s">
        <v>74</v>
      </c>
      <c r="B61" s="22"/>
      <c r="C61" s="16">
        <v>76.47</v>
      </c>
      <c r="D61" s="16">
        <v>81.540000000000006</v>
      </c>
      <c r="E61" s="16">
        <v>61.98</v>
      </c>
      <c r="F61" s="16">
        <v>64.09</v>
      </c>
      <c r="G61" s="16">
        <f>12/11*C61</f>
        <v>83.421818181818168</v>
      </c>
      <c r="H61" s="8"/>
      <c r="I61" s="9"/>
      <c r="J61" s="9"/>
    </row>
    <row r="62" spans="1:10" x14ac:dyDescent="0.25">
      <c r="A62" s="22" t="s">
        <v>75</v>
      </c>
      <c r="B62" s="22"/>
      <c r="C62" s="16">
        <v>418.24</v>
      </c>
      <c r="D62" s="16">
        <v>506.17</v>
      </c>
      <c r="E62" s="16">
        <v>291.51</v>
      </c>
      <c r="F62" s="16">
        <v>284.45</v>
      </c>
      <c r="G62" s="16">
        <f>12/11*C62</f>
        <v>456.26181818181817</v>
      </c>
      <c r="H62" s="8"/>
      <c r="I62" s="9"/>
      <c r="J62" s="9"/>
    </row>
    <row r="63" spans="1:10" x14ac:dyDescent="0.25">
      <c r="A63" s="22" t="s">
        <v>76</v>
      </c>
      <c r="B63" s="22"/>
      <c r="C63" s="16">
        <v>209.72</v>
      </c>
      <c r="D63" s="16">
        <v>225.51</v>
      </c>
      <c r="E63" s="16">
        <v>116.46</v>
      </c>
      <c r="F63" s="16">
        <v>79.959999999999994</v>
      </c>
      <c r="G63" s="16">
        <f>12/11*C63</f>
        <v>228.78545454545451</v>
      </c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3" t="s">
        <v>60</v>
      </c>
      <c r="B66" s="24"/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77</v>
      </c>
      <c r="B67" s="1" t="s">
        <v>179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70</v>
      </c>
      <c r="B68" s="1" t="s">
        <v>79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71</v>
      </c>
      <c r="B69" s="1" t="s">
        <v>80</v>
      </c>
    </row>
    <row r="70" spans="1:10" x14ac:dyDescent="0.25">
      <c r="A70" s="3" t="s">
        <v>72</v>
      </c>
      <c r="B70" s="1" t="s">
        <v>81</v>
      </c>
    </row>
  </sheetData>
  <mergeCells count="19">
    <mergeCell ref="C7:G7"/>
    <mergeCell ref="A39:B39"/>
    <mergeCell ref="A40:B40"/>
    <mergeCell ref="A45:B45"/>
    <mergeCell ref="A46:B46"/>
    <mergeCell ref="J54:J55"/>
    <mergeCell ref="A55:B55"/>
    <mergeCell ref="A59:B59"/>
    <mergeCell ref="A60:B60"/>
    <mergeCell ref="A47:B47"/>
    <mergeCell ref="A48:B48"/>
    <mergeCell ref="A53:B53"/>
    <mergeCell ref="A54:B54"/>
    <mergeCell ref="H54:H55"/>
    <mergeCell ref="A61:B61"/>
    <mergeCell ref="A62:B62"/>
    <mergeCell ref="A63:B63"/>
    <mergeCell ref="A66:B66"/>
    <mergeCell ref="I54:I5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8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180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530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19</v>
      </c>
      <c r="F9" s="10"/>
      <c r="G9" s="10">
        <f t="shared" ref="G9:G36" si="0">SUM(C9:F9)</f>
        <v>19</v>
      </c>
      <c r="H9" s="16">
        <f t="shared" ref="H9:H36" si="1">ROUND(G9/530,2)</f>
        <v>0.04</v>
      </c>
      <c r="I9" s="15">
        <f t="shared" ref="I9:I36" si="2">ROUND(G9/$G$37,3)</f>
        <v>0</v>
      </c>
      <c r="J9" s="15"/>
    </row>
    <row r="10" spans="1:10" x14ac:dyDescent="0.25">
      <c r="A10" s="1" t="s">
        <v>16</v>
      </c>
      <c r="B10" s="1" t="s">
        <v>19</v>
      </c>
      <c r="C10" s="10">
        <v>16560</v>
      </c>
      <c r="D10" s="10"/>
      <c r="E10" s="10">
        <v>2855</v>
      </c>
      <c r="F10" s="10"/>
      <c r="G10" s="10">
        <f t="shared" si="0"/>
        <v>19415</v>
      </c>
      <c r="H10" s="16">
        <f t="shared" si="1"/>
        <v>36.630000000000003</v>
      </c>
      <c r="I10" s="15">
        <f t="shared" si="2"/>
        <v>7.2999999999999995E-2</v>
      </c>
      <c r="J10" s="15">
        <f>ROUND(G10/21018.45-1,2)</f>
        <v>-0.08</v>
      </c>
    </row>
    <row r="11" spans="1:10" x14ac:dyDescent="0.25">
      <c r="A11" s="1" t="s">
        <v>16</v>
      </c>
      <c r="B11" s="1" t="s">
        <v>20</v>
      </c>
      <c r="C11" s="10">
        <v>21230</v>
      </c>
      <c r="D11" s="10"/>
      <c r="E11" s="10">
        <v>1709</v>
      </c>
      <c r="F11" s="10"/>
      <c r="G11" s="10">
        <f t="shared" si="0"/>
        <v>22939</v>
      </c>
      <c r="H11" s="16">
        <f t="shared" si="1"/>
        <v>43.28</v>
      </c>
      <c r="I11" s="15">
        <f t="shared" si="2"/>
        <v>8.6999999999999994E-2</v>
      </c>
      <c r="J11" s="15">
        <f>ROUND(G11/22023.68-1,2)</f>
        <v>0.04</v>
      </c>
    </row>
    <row r="12" spans="1:10" x14ac:dyDescent="0.25">
      <c r="A12" s="1" t="s">
        <v>16</v>
      </c>
      <c r="B12" s="1" t="s">
        <v>22</v>
      </c>
      <c r="C12" s="10"/>
      <c r="D12" s="10"/>
      <c r="E12" s="10">
        <v>587</v>
      </c>
      <c r="F12" s="10"/>
      <c r="G12" s="10">
        <f t="shared" si="0"/>
        <v>587</v>
      </c>
      <c r="H12" s="16">
        <f t="shared" si="1"/>
        <v>1.1100000000000001</v>
      </c>
      <c r="I12" s="15">
        <f t="shared" si="2"/>
        <v>2E-3</v>
      </c>
      <c r="J12" s="15"/>
    </row>
    <row r="13" spans="1:10" x14ac:dyDescent="0.25">
      <c r="A13" s="1" t="s">
        <v>16</v>
      </c>
      <c r="B13" s="1" t="s">
        <v>23</v>
      </c>
      <c r="C13" s="10"/>
      <c r="D13" s="10"/>
      <c r="E13" s="10">
        <v>35163</v>
      </c>
      <c r="F13" s="10"/>
      <c r="G13" s="10">
        <f t="shared" si="0"/>
        <v>35163</v>
      </c>
      <c r="H13" s="16">
        <f t="shared" si="1"/>
        <v>66.349999999999994</v>
      </c>
      <c r="I13" s="15">
        <f t="shared" si="2"/>
        <v>0.13300000000000001</v>
      </c>
      <c r="J13" s="15">
        <f>ROUND(G13/6869.27-1,2)</f>
        <v>4.12</v>
      </c>
    </row>
    <row r="14" spans="1:10" x14ac:dyDescent="0.25">
      <c r="A14" s="1" t="s">
        <v>16</v>
      </c>
      <c r="B14" s="1" t="s">
        <v>24</v>
      </c>
      <c r="C14" s="10">
        <v>25550</v>
      </c>
      <c r="D14" s="10"/>
      <c r="E14" s="10">
        <v>8697</v>
      </c>
      <c r="F14" s="10"/>
      <c r="G14" s="10">
        <f t="shared" si="0"/>
        <v>34247</v>
      </c>
      <c r="H14" s="16">
        <f t="shared" si="1"/>
        <v>64.62</v>
      </c>
      <c r="I14" s="15">
        <f t="shared" si="2"/>
        <v>0.129</v>
      </c>
      <c r="J14" s="15">
        <f>ROUND(G14/27747.57-1,2)</f>
        <v>0.23</v>
      </c>
    </row>
    <row r="15" spans="1:10" x14ac:dyDescent="0.25">
      <c r="A15" s="1" t="s">
        <v>16</v>
      </c>
      <c r="B15" s="1" t="s">
        <v>25</v>
      </c>
      <c r="C15" s="10"/>
      <c r="D15" s="10"/>
      <c r="E15" s="10">
        <v>1538</v>
      </c>
      <c r="F15" s="10"/>
      <c r="G15" s="10">
        <f t="shared" si="0"/>
        <v>1538</v>
      </c>
      <c r="H15" s="16">
        <f t="shared" si="1"/>
        <v>2.9</v>
      </c>
      <c r="I15" s="15">
        <f t="shared" si="2"/>
        <v>6.0000000000000001E-3</v>
      </c>
      <c r="J15" s="15"/>
    </row>
    <row r="16" spans="1:10" x14ac:dyDescent="0.25">
      <c r="A16" s="1" t="s">
        <v>16</v>
      </c>
      <c r="B16" s="1" t="s">
        <v>26</v>
      </c>
      <c r="C16" s="10">
        <v>24610</v>
      </c>
      <c r="D16" s="10"/>
      <c r="E16" s="10"/>
      <c r="F16" s="10"/>
      <c r="G16" s="10">
        <f t="shared" si="0"/>
        <v>24610</v>
      </c>
      <c r="H16" s="16">
        <f t="shared" si="1"/>
        <v>46.43</v>
      </c>
      <c r="I16" s="15">
        <f t="shared" si="2"/>
        <v>9.2999999999999999E-2</v>
      </c>
      <c r="J16" s="15">
        <f>ROUND(G16/21810-1,2)</f>
        <v>0.13</v>
      </c>
    </row>
    <row r="17" spans="1:10" x14ac:dyDescent="0.25">
      <c r="A17" s="1" t="s">
        <v>16</v>
      </c>
      <c r="B17" s="1" t="s">
        <v>27</v>
      </c>
      <c r="C17" s="10"/>
      <c r="D17" s="10"/>
      <c r="E17" s="10">
        <v>439</v>
      </c>
      <c r="F17" s="10"/>
      <c r="G17" s="10">
        <f t="shared" si="0"/>
        <v>439</v>
      </c>
      <c r="H17" s="16">
        <f t="shared" si="1"/>
        <v>0.83</v>
      </c>
      <c r="I17" s="15">
        <f t="shared" si="2"/>
        <v>2E-3</v>
      </c>
      <c r="J17" s="15"/>
    </row>
    <row r="18" spans="1:10" x14ac:dyDescent="0.25">
      <c r="A18" s="1" t="s">
        <v>16</v>
      </c>
      <c r="B18" s="1" t="s">
        <v>28</v>
      </c>
      <c r="C18" s="10"/>
      <c r="D18" s="10"/>
      <c r="E18" s="10">
        <v>148</v>
      </c>
      <c r="F18" s="10"/>
      <c r="G18" s="10">
        <f t="shared" si="0"/>
        <v>148</v>
      </c>
      <c r="H18" s="16">
        <f t="shared" si="1"/>
        <v>0.28000000000000003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42</v>
      </c>
      <c r="C19" s="10"/>
      <c r="D19" s="10"/>
      <c r="E19" s="10">
        <v>50</v>
      </c>
      <c r="F19" s="10"/>
      <c r="G19" s="10">
        <f t="shared" si="0"/>
        <v>50</v>
      </c>
      <c r="H19" s="16">
        <f t="shared" si="1"/>
        <v>0.09</v>
      </c>
      <c r="I19" s="15">
        <f t="shared" si="2"/>
        <v>0</v>
      </c>
      <c r="J19" s="15"/>
    </row>
    <row r="20" spans="1:10" x14ac:dyDescent="0.25">
      <c r="A20" s="1" t="s">
        <v>16</v>
      </c>
      <c r="B20" s="1" t="s">
        <v>29</v>
      </c>
      <c r="C20" s="10"/>
      <c r="D20" s="10"/>
      <c r="E20" s="10">
        <v>755</v>
      </c>
      <c r="F20" s="10"/>
      <c r="G20" s="10">
        <f t="shared" si="0"/>
        <v>755</v>
      </c>
      <c r="H20" s="16">
        <f t="shared" si="1"/>
        <v>1.42</v>
      </c>
      <c r="I20" s="15">
        <f t="shared" si="2"/>
        <v>3.0000000000000001E-3</v>
      </c>
      <c r="J20" s="15"/>
    </row>
    <row r="21" spans="1:10" x14ac:dyDescent="0.25">
      <c r="A21" s="1" t="s">
        <v>16</v>
      </c>
      <c r="B21" s="1" t="s">
        <v>30</v>
      </c>
      <c r="C21" s="10"/>
      <c r="D21" s="10"/>
      <c r="E21" s="10">
        <v>282</v>
      </c>
      <c r="F21" s="10"/>
      <c r="G21" s="10">
        <f t="shared" si="0"/>
        <v>282</v>
      </c>
      <c r="H21" s="16">
        <f t="shared" si="1"/>
        <v>0.53</v>
      </c>
      <c r="I21" s="15">
        <f t="shared" si="2"/>
        <v>1E-3</v>
      </c>
      <c r="J21" s="15"/>
    </row>
    <row r="22" spans="1:10" x14ac:dyDescent="0.25">
      <c r="A22" s="1" t="s">
        <v>16</v>
      </c>
      <c r="B22" s="1" t="s">
        <v>32</v>
      </c>
      <c r="C22" s="10"/>
      <c r="D22" s="10"/>
      <c r="E22" s="10">
        <v>286</v>
      </c>
      <c r="F22" s="10"/>
      <c r="G22" s="10">
        <f t="shared" si="0"/>
        <v>286</v>
      </c>
      <c r="H22" s="16">
        <f t="shared" si="1"/>
        <v>0.54</v>
      </c>
      <c r="I22" s="15">
        <f t="shared" si="2"/>
        <v>1E-3</v>
      </c>
      <c r="J22" s="15"/>
    </row>
    <row r="23" spans="1:10" x14ac:dyDescent="0.25">
      <c r="A23" s="1" t="s">
        <v>16</v>
      </c>
      <c r="B23" s="1" t="s">
        <v>33</v>
      </c>
      <c r="C23" s="10"/>
      <c r="D23" s="10"/>
      <c r="E23" s="10">
        <v>46</v>
      </c>
      <c r="F23" s="10"/>
      <c r="G23" s="10">
        <f t="shared" si="0"/>
        <v>46</v>
      </c>
      <c r="H23" s="16">
        <f t="shared" si="1"/>
        <v>0.09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37</v>
      </c>
      <c r="C24" s="10"/>
      <c r="D24" s="10"/>
      <c r="E24" s="10">
        <v>1832</v>
      </c>
      <c r="F24" s="10"/>
      <c r="G24" s="10">
        <f t="shared" si="0"/>
        <v>1832</v>
      </c>
      <c r="H24" s="16">
        <f t="shared" si="1"/>
        <v>3.46</v>
      </c>
      <c r="I24" s="15">
        <f t="shared" si="2"/>
        <v>7.0000000000000001E-3</v>
      </c>
      <c r="J24" s="15"/>
    </row>
    <row r="25" spans="1:10" x14ac:dyDescent="0.25">
      <c r="A25" s="1" t="s">
        <v>16</v>
      </c>
      <c r="B25" s="1" t="s">
        <v>38</v>
      </c>
      <c r="C25" s="10"/>
      <c r="D25" s="10"/>
      <c r="E25" s="10">
        <v>18021</v>
      </c>
      <c r="F25" s="10"/>
      <c r="G25" s="10">
        <f t="shared" si="0"/>
        <v>18021</v>
      </c>
      <c r="H25" s="16">
        <f t="shared" si="1"/>
        <v>34</v>
      </c>
      <c r="I25" s="15">
        <f t="shared" si="2"/>
        <v>6.8000000000000005E-2</v>
      </c>
      <c r="J25" s="15">
        <f>ROUND(G25/4149.16-1,2)</f>
        <v>3.34</v>
      </c>
    </row>
    <row r="26" spans="1:10" x14ac:dyDescent="0.25">
      <c r="A26" s="1" t="s">
        <v>16</v>
      </c>
      <c r="B26" s="1" t="s">
        <v>40</v>
      </c>
      <c r="C26" s="10"/>
      <c r="D26" s="10"/>
      <c r="E26" s="10">
        <v>6970</v>
      </c>
      <c r="F26" s="10"/>
      <c r="G26" s="10">
        <f t="shared" si="0"/>
        <v>6970</v>
      </c>
      <c r="H26" s="16">
        <f t="shared" si="1"/>
        <v>13.15</v>
      </c>
      <c r="I26" s="15">
        <f t="shared" si="2"/>
        <v>2.5999999999999999E-2</v>
      </c>
      <c r="J26" s="15">
        <f>ROUND(G26/1500.46-1,2)</f>
        <v>3.65</v>
      </c>
    </row>
    <row r="27" spans="1:10" x14ac:dyDescent="0.25">
      <c r="A27" s="1" t="s">
        <v>16</v>
      </c>
      <c r="B27" s="1" t="s">
        <v>41</v>
      </c>
      <c r="C27" s="10"/>
      <c r="D27" s="10"/>
      <c r="E27" s="10">
        <v>8489</v>
      </c>
      <c r="F27" s="10"/>
      <c r="G27" s="10">
        <f t="shared" si="0"/>
        <v>8489</v>
      </c>
      <c r="H27" s="16">
        <f t="shared" si="1"/>
        <v>16.02</v>
      </c>
      <c r="I27" s="15">
        <f t="shared" si="2"/>
        <v>3.2000000000000001E-2</v>
      </c>
      <c r="J27" s="15">
        <f>ROUND(G27/1896.09-1,2)</f>
        <v>3.48</v>
      </c>
    </row>
    <row r="28" spans="1:10" x14ac:dyDescent="0.25">
      <c r="A28" s="1" t="s">
        <v>16</v>
      </c>
      <c r="B28" s="1" t="s">
        <v>36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ROUND(G28/621.11-1,2)</f>
        <v>-1</v>
      </c>
    </row>
    <row r="29" spans="1:10" x14ac:dyDescent="0.25">
      <c r="A29" s="1" t="s">
        <v>16</v>
      </c>
      <c r="B29" s="1" t="s">
        <v>21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/>
    </row>
    <row r="30" spans="1:10" x14ac:dyDescent="0.25">
      <c r="A30" s="1" t="s">
        <v>16</v>
      </c>
      <c r="B30" s="1" t="s">
        <v>31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/>
    </row>
    <row r="31" spans="1:10" x14ac:dyDescent="0.25">
      <c r="A31" s="1" t="s">
        <v>16</v>
      </c>
      <c r="B31" s="1" t="s">
        <v>35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/>
    </row>
    <row r="32" spans="1:10" x14ac:dyDescent="0.25">
      <c r="A32" s="1" t="s">
        <v>16</v>
      </c>
      <c r="B32" s="1" t="s">
        <v>39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44</v>
      </c>
      <c r="B33" s="1" t="s">
        <v>45</v>
      </c>
      <c r="C33" s="10">
        <v>62720</v>
      </c>
      <c r="D33" s="10"/>
      <c r="E33" s="10"/>
      <c r="F33" s="10"/>
      <c r="G33" s="10">
        <f t="shared" si="0"/>
        <v>62720</v>
      </c>
      <c r="H33" s="16">
        <f t="shared" si="1"/>
        <v>118.34</v>
      </c>
      <c r="I33" s="15">
        <f t="shared" si="2"/>
        <v>0.23699999999999999</v>
      </c>
      <c r="J33" s="15">
        <f>ROUND(G33/70400-1,2)</f>
        <v>-0.11</v>
      </c>
    </row>
    <row r="34" spans="1:10" x14ac:dyDescent="0.25">
      <c r="A34" s="1" t="s">
        <v>44</v>
      </c>
      <c r="B34" s="1" t="s">
        <v>47</v>
      </c>
      <c r="C34" s="10"/>
      <c r="D34" s="10"/>
      <c r="E34" s="10"/>
      <c r="F34" s="10">
        <v>7300</v>
      </c>
      <c r="G34" s="10">
        <f t="shared" si="0"/>
        <v>7300</v>
      </c>
      <c r="H34" s="16">
        <f t="shared" si="1"/>
        <v>13.77</v>
      </c>
      <c r="I34" s="15">
        <f t="shared" si="2"/>
        <v>2.8000000000000001E-2</v>
      </c>
      <c r="J34" s="15">
        <f>ROUND(G34/6765-1,2)</f>
        <v>0.08</v>
      </c>
    </row>
    <row r="35" spans="1:10" x14ac:dyDescent="0.25">
      <c r="A35" s="1" t="s">
        <v>44</v>
      </c>
      <c r="B35" s="1" t="s">
        <v>46</v>
      </c>
      <c r="C35" s="10"/>
      <c r="D35" s="10"/>
      <c r="E35" s="10">
        <v>19093</v>
      </c>
      <c r="F35" s="10"/>
      <c r="G35" s="10">
        <f t="shared" si="0"/>
        <v>19093</v>
      </c>
      <c r="H35" s="16">
        <f t="shared" si="1"/>
        <v>36.020000000000003</v>
      </c>
      <c r="I35" s="15">
        <f t="shared" si="2"/>
        <v>7.1999999999999995E-2</v>
      </c>
      <c r="J35" s="15">
        <f>ROUND(G35/4137.52-1,2)</f>
        <v>3.61</v>
      </c>
    </row>
    <row r="36" spans="1:10" x14ac:dyDescent="0.25">
      <c r="A36" s="1" t="s">
        <v>48</v>
      </c>
      <c r="B36" s="1" t="s">
        <v>51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27" t="s">
        <v>12</v>
      </c>
      <c r="B37" s="27"/>
      <c r="C37" s="11">
        <f t="shared" ref="C37:H37" si="3">SUM(C8:C36)</f>
        <v>150670</v>
      </c>
      <c r="D37" s="11">
        <f t="shared" si="3"/>
        <v>0</v>
      </c>
      <c r="E37" s="11">
        <f t="shared" si="3"/>
        <v>106979</v>
      </c>
      <c r="F37" s="11">
        <f t="shared" si="3"/>
        <v>7300</v>
      </c>
      <c r="G37" s="11">
        <f t="shared" si="3"/>
        <v>264949</v>
      </c>
      <c r="H37" s="14">
        <f t="shared" si="3"/>
        <v>499.89999999999986</v>
      </c>
      <c r="I37" s="17"/>
      <c r="J37" s="17"/>
    </row>
    <row r="38" spans="1:10" x14ac:dyDescent="0.25">
      <c r="A38" s="27" t="s">
        <v>14</v>
      </c>
      <c r="B38" s="27"/>
      <c r="C38" s="12">
        <f>ROUND(C37/G37,2)</f>
        <v>0.56999999999999995</v>
      </c>
      <c r="D38" s="12">
        <f>ROUND(D37/G37,2)</f>
        <v>0</v>
      </c>
      <c r="E38" s="12">
        <f>ROUND(E37/G37,2)</f>
        <v>0.4</v>
      </c>
      <c r="F38" s="12">
        <f>ROUND(F37/G37,2)</f>
        <v>0.03</v>
      </c>
      <c r="G38" s="13"/>
      <c r="H38" s="13"/>
      <c r="I38" s="17"/>
      <c r="J38" s="17"/>
    </row>
    <row r="39" spans="1:10" x14ac:dyDescent="0.25">
      <c r="A39" s="2" t="s">
        <v>52</v>
      </c>
      <c r="B39" s="2"/>
      <c r="C39" s="13"/>
      <c r="D39" s="13"/>
      <c r="E39" s="13"/>
      <c r="F39" s="13"/>
      <c r="G39" s="13"/>
      <c r="H39" s="13"/>
      <c r="I39" s="17"/>
      <c r="J39" s="17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A43" s="27" t="s">
        <v>53</v>
      </c>
      <c r="B43" s="27"/>
      <c r="C43" s="11" t="s">
        <v>8</v>
      </c>
      <c r="D43" s="11" t="s">
        <v>9</v>
      </c>
      <c r="E43" s="11" t="s">
        <v>10</v>
      </c>
      <c r="F43" s="11" t="s">
        <v>11</v>
      </c>
      <c r="G43" s="11" t="s">
        <v>12</v>
      </c>
      <c r="H43" s="14" t="s">
        <v>13</v>
      </c>
      <c r="I43" s="17"/>
      <c r="J43" s="17"/>
    </row>
    <row r="44" spans="1:10" x14ac:dyDescent="0.25">
      <c r="A44" s="22" t="s">
        <v>54</v>
      </c>
      <c r="B44" s="22"/>
      <c r="C44" s="10">
        <v>87950</v>
      </c>
      <c r="D44" s="10">
        <v>0</v>
      </c>
      <c r="E44" s="10">
        <v>87886</v>
      </c>
      <c r="F44" s="10">
        <v>0</v>
      </c>
      <c r="G44" s="10">
        <f>SUM(C44:F44)</f>
        <v>175836</v>
      </c>
      <c r="H44" s="16">
        <f>ROUND(G44/530,2)</f>
        <v>331.77</v>
      </c>
      <c r="I44" s="9"/>
      <c r="J44" s="9"/>
    </row>
    <row r="45" spans="1:10" x14ac:dyDescent="0.25">
      <c r="A45" s="22" t="s">
        <v>55</v>
      </c>
      <c r="B45" s="22"/>
      <c r="C45" s="10">
        <v>62720</v>
      </c>
      <c r="D45" s="10">
        <v>0</v>
      </c>
      <c r="E45" s="10">
        <v>19093</v>
      </c>
      <c r="F45" s="10">
        <v>7300</v>
      </c>
      <c r="G45" s="10">
        <f>SUM(C45:F45)</f>
        <v>89113</v>
      </c>
      <c r="H45" s="16">
        <f>ROUND(G45/530,2)</f>
        <v>168.14</v>
      </c>
      <c r="I45" s="9"/>
      <c r="J45" s="9"/>
    </row>
    <row r="46" spans="1:10" x14ac:dyDescent="0.25">
      <c r="A46" s="22" t="s">
        <v>56</v>
      </c>
      <c r="B46" s="22"/>
      <c r="C46" s="10">
        <v>0</v>
      </c>
      <c r="D46" s="10">
        <v>0</v>
      </c>
      <c r="E46" s="10">
        <v>0</v>
      </c>
      <c r="F46" s="10">
        <v>0</v>
      </c>
      <c r="G46" s="10">
        <f>SUM(C46:F46)</f>
        <v>0</v>
      </c>
      <c r="H46" s="16">
        <f>ROUND(G46/530,2)</f>
        <v>0</v>
      </c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27" t="s">
        <v>57</v>
      </c>
      <c r="B51" s="27"/>
      <c r="C51" s="14" t="s">
        <v>2</v>
      </c>
      <c r="D51" s="14">
        <v>2023</v>
      </c>
      <c r="E51" s="14" t="s">
        <v>59</v>
      </c>
      <c r="F51" s="13"/>
      <c r="G51" s="14" t="s">
        <v>60</v>
      </c>
      <c r="H51" s="14" t="s">
        <v>2</v>
      </c>
      <c r="I51" s="12" t="s">
        <v>61</v>
      </c>
      <c r="J51" s="12" t="s">
        <v>59</v>
      </c>
    </row>
    <row r="52" spans="1:10" x14ac:dyDescent="0.25">
      <c r="A52" s="22" t="s">
        <v>58</v>
      </c>
      <c r="B52" s="22"/>
      <c r="C52" s="15">
        <f>ROUND(0.7134, 4)</f>
        <v>0.71340000000000003</v>
      </c>
      <c r="D52" s="15">
        <f>ROUND(0.595, 4)</f>
        <v>0.59499999999999997</v>
      </c>
      <c r="E52" s="15">
        <f>ROUND(0.777, 4)</f>
        <v>0.77700000000000002</v>
      </c>
      <c r="F52" s="8"/>
      <c r="G52" s="14" t="s">
        <v>62</v>
      </c>
      <c r="H52" s="28" t="s">
        <v>63</v>
      </c>
      <c r="I52" s="25" t="s">
        <v>64</v>
      </c>
      <c r="J52" s="25" t="s">
        <v>65</v>
      </c>
    </row>
    <row r="53" spans="1:10" x14ac:dyDescent="0.25">
      <c r="A53" s="22" t="s">
        <v>66</v>
      </c>
      <c r="B53" s="22"/>
      <c r="C53" s="15">
        <f>ROUND(0.6819, 4)</f>
        <v>0.68189999999999995</v>
      </c>
      <c r="D53" s="15">
        <f>ROUND(0.5522, 4)</f>
        <v>0.55220000000000002</v>
      </c>
      <c r="E53" s="15">
        <f>ROUND(0.7608, 4)</f>
        <v>0.76080000000000003</v>
      </c>
      <c r="F53" s="8"/>
      <c r="G53" s="14" t="s">
        <v>67</v>
      </c>
      <c r="H53" s="29"/>
      <c r="I53" s="26"/>
      <c r="J53" s="26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7" t="s">
        <v>68</v>
      </c>
      <c r="B57" s="27"/>
      <c r="C57" s="14" t="s">
        <v>2</v>
      </c>
      <c r="D57" s="14" t="s">
        <v>181</v>
      </c>
      <c r="E57" s="14" t="s">
        <v>70</v>
      </c>
      <c r="F57" s="14" t="s">
        <v>71</v>
      </c>
      <c r="G57" s="14" t="s">
        <v>72</v>
      </c>
      <c r="H57" s="13"/>
      <c r="I57" s="17"/>
      <c r="J57" s="17"/>
    </row>
    <row r="58" spans="1:10" x14ac:dyDescent="0.25">
      <c r="A58" s="22" t="s">
        <v>73</v>
      </c>
      <c r="B58" s="22"/>
      <c r="C58" s="16">
        <v>118.34</v>
      </c>
      <c r="D58" s="16">
        <v>113.39</v>
      </c>
      <c r="E58" s="16">
        <v>92.53</v>
      </c>
      <c r="F58" s="16">
        <v>56.06</v>
      </c>
      <c r="G58" s="16">
        <f>12/11*C58</f>
        <v>129.09818181818181</v>
      </c>
      <c r="H58" s="8"/>
      <c r="I58" s="9"/>
      <c r="J58" s="9"/>
    </row>
    <row r="59" spans="1:10" x14ac:dyDescent="0.25">
      <c r="A59" s="22" t="s">
        <v>74</v>
      </c>
      <c r="B59" s="22"/>
      <c r="C59" s="16">
        <v>46.43</v>
      </c>
      <c r="D59" s="16">
        <v>50.44</v>
      </c>
      <c r="E59" s="16">
        <v>61.98</v>
      </c>
      <c r="F59" s="16">
        <v>64.09</v>
      </c>
      <c r="G59" s="16">
        <f>12/11*C59</f>
        <v>50.650909090909089</v>
      </c>
      <c r="H59" s="8"/>
      <c r="I59" s="9"/>
      <c r="J59" s="9"/>
    </row>
    <row r="60" spans="1:10" x14ac:dyDescent="0.25">
      <c r="A60" s="22" t="s">
        <v>75</v>
      </c>
      <c r="B60" s="22"/>
      <c r="C60" s="16">
        <v>331.77</v>
      </c>
      <c r="D60" s="16">
        <v>260.47000000000003</v>
      </c>
      <c r="E60" s="16">
        <v>291.51</v>
      </c>
      <c r="F60" s="16">
        <v>284.45</v>
      </c>
      <c r="G60" s="16">
        <f>12/11*C60</f>
        <v>361.93090909090904</v>
      </c>
      <c r="H60" s="8"/>
      <c r="I60" s="9"/>
      <c r="J60" s="9"/>
    </row>
    <row r="61" spans="1:10" x14ac:dyDescent="0.25">
      <c r="A61" s="22" t="s">
        <v>76</v>
      </c>
      <c r="B61" s="22"/>
      <c r="C61" s="16">
        <v>168.14</v>
      </c>
      <c r="D61" s="16">
        <v>148.61000000000001</v>
      </c>
      <c r="E61" s="16">
        <v>116.46</v>
      </c>
      <c r="F61" s="16">
        <v>79.959999999999994</v>
      </c>
      <c r="G61" s="16">
        <f>12/11*C61</f>
        <v>183.42545454545453</v>
      </c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3" t="s">
        <v>60</v>
      </c>
      <c r="B64" s="24"/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3" t="s">
        <v>77</v>
      </c>
      <c r="B65" s="1" t="s">
        <v>182</v>
      </c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70</v>
      </c>
      <c r="B66" s="1" t="s">
        <v>79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71</v>
      </c>
      <c r="B67" s="1" t="s">
        <v>80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72</v>
      </c>
      <c r="B68" s="1" t="s">
        <v>81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  <row r="78" spans="1:10" x14ac:dyDescent="0.25">
      <c r="C78" s="8"/>
      <c r="D78" s="8"/>
      <c r="E78" s="8"/>
      <c r="F78" s="8"/>
      <c r="G78" s="8"/>
      <c r="H78" s="8"/>
      <c r="I78" s="9"/>
      <c r="J78" s="9"/>
    </row>
    <row r="79" spans="1:10" x14ac:dyDescent="0.25">
      <c r="C79" s="8"/>
      <c r="D79" s="8"/>
      <c r="E79" s="8"/>
      <c r="F79" s="8"/>
      <c r="G79" s="8"/>
      <c r="H79" s="8"/>
      <c r="I79" s="9"/>
      <c r="J79" s="9"/>
    </row>
  </sheetData>
  <mergeCells count="19">
    <mergeCell ref="C7:G7"/>
    <mergeCell ref="A37:B37"/>
    <mergeCell ref="A38:B38"/>
    <mergeCell ref="A43:B43"/>
    <mergeCell ref="A44:B44"/>
    <mergeCell ref="J52:J53"/>
    <mergeCell ref="A53:B53"/>
    <mergeCell ref="A57:B57"/>
    <mergeCell ref="A58:B58"/>
    <mergeCell ref="A45:B45"/>
    <mergeCell ref="A46:B46"/>
    <mergeCell ref="A51:B51"/>
    <mergeCell ref="A52:B52"/>
    <mergeCell ref="H52:H53"/>
    <mergeCell ref="A59:B59"/>
    <mergeCell ref="A60:B60"/>
    <mergeCell ref="A61:B61"/>
    <mergeCell ref="A64:B64"/>
    <mergeCell ref="I52:I5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2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183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10520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211</v>
      </c>
      <c r="F9" s="10"/>
      <c r="G9" s="10">
        <f t="shared" ref="G9:G47" si="0">SUM(C9:F9)</f>
        <v>211</v>
      </c>
      <c r="H9" s="16">
        <f t="shared" ref="H9:H47" si="1">ROUND(G9/10520,2)</f>
        <v>0.02</v>
      </c>
      <c r="I9" s="15">
        <f t="shared" ref="I9:I47" si="2">ROUND(G9/$G$48,3)</f>
        <v>0</v>
      </c>
      <c r="J9" s="15">
        <f>ROUND(G9/485-1,2)</f>
        <v>-0.56000000000000005</v>
      </c>
    </row>
    <row r="10" spans="1:10" x14ac:dyDescent="0.25">
      <c r="A10" s="1" t="s">
        <v>16</v>
      </c>
      <c r="B10" s="1" t="s">
        <v>18</v>
      </c>
      <c r="C10" s="10"/>
      <c r="D10" s="10"/>
      <c r="E10" s="10">
        <v>39200</v>
      </c>
      <c r="F10" s="10">
        <v>26860</v>
      </c>
      <c r="G10" s="10">
        <f t="shared" si="0"/>
        <v>66060</v>
      </c>
      <c r="H10" s="16">
        <f t="shared" si="1"/>
        <v>6.28</v>
      </c>
      <c r="I10" s="15">
        <f t="shared" si="2"/>
        <v>1.6E-2</v>
      </c>
      <c r="J10" s="15">
        <f>ROUND(G10/51480-1,2)</f>
        <v>0.28000000000000003</v>
      </c>
    </row>
    <row r="11" spans="1:10" x14ac:dyDescent="0.25">
      <c r="A11" s="1" t="s">
        <v>16</v>
      </c>
      <c r="B11" s="1" t="s">
        <v>90</v>
      </c>
      <c r="C11" s="10"/>
      <c r="D11" s="10"/>
      <c r="E11" s="10">
        <v>12710</v>
      </c>
      <c r="F11" s="10">
        <v>1420</v>
      </c>
      <c r="G11" s="10">
        <f t="shared" si="0"/>
        <v>14130</v>
      </c>
      <c r="H11" s="16">
        <f t="shared" si="1"/>
        <v>1.34</v>
      </c>
      <c r="I11" s="15">
        <f t="shared" si="2"/>
        <v>3.0000000000000001E-3</v>
      </c>
      <c r="J11" s="15">
        <f>ROUND(G11/10560-1,2)</f>
        <v>0.34</v>
      </c>
    </row>
    <row r="12" spans="1:10" x14ac:dyDescent="0.25">
      <c r="A12" s="1" t="s">
        <v>16</v>
      </c>
      <c r="B12" s="1" t="s">
        <v>19</v>
      </c>
      <c r="C12" s="10">
        <v>349040</v>
      </c>
      <c r="D12" s="10"/>
      <c r="E12" s="10"/>
      <c r="F12" s="10">
        <v>6980</v>
      </c>
      <c r="G12" s="10">
        <f t="shared" si="0"/>
        <v>356020</v>
      </c>
      <c r="H12" s="16">
        <f t="shared" si="1"/>
        <v>33.840000000000003</v>
      </c>
      <c r="I12" s="15">
        <f t="shared" si="2"/>
        <v>8.6999999999999994E-2</v>
      </c>
      <c r="J12" s="15">
        <f>ROUND(G12/343180-1,2)</f>
        <v>0.04</v>
      </c>
    </row>
    <row r="13" spans="1:10" x14ac:dyDescent="0.25">
      <c r="A13" s="1" t="s">
        <v>16</v>
      </c>
      <c r="B13" s="1" t="s">
        <v>20</v>
      </c>
      <c r="C13" s="10">
        <v>448140</v>
      </c>
      <c r="D13" s="10"/>
      <c r="E13" s="10"/>
      <c r="F13" s="10">
        <v>1910</v>
      </c>
      <c r="G13" s="10">
        <f t="shared" si="0"/>
        <v>450050</v>
      </c>
      <c r="H13" s="16">
        <f t="shared" si="1"/>
        <v>42.78</v>
      </c>
      <c r="I13" s="15">
        <f t="shared" si="2"/>
        <v>0.11</v>
      </c>
      <c r="J13" s="15">
        <f>ROUND(G13/420180-1,2)</f>
        <v>7.0000000000000007E-2</v>
      </c>
    </row>
    <row r="14" spans="1:10" x14ac:dyDescent="0.25">
      <c r="A14" s="1" t="s">
        <v>16</v>
      </c>
      <c r="B14" s="1" t="s">
        <v>95</v>
      </c>
      <c r="C14" s="10"/>
      <c r="D14" s="10"/>
      <c r="E14" s="10">
        <v>293</v>
      </c>
      <c r="F14" s="10"/>
      <c r="G14" s="10">
        <f t="shared" si="0"/>
        <v>293</v>
      </c>
      <c r="H14" s="16">
        <f t="shared" si="1"/>
        <v>0.03</v>
      </c>
      <c r="I14" s="15">
        <f t="shared" si="2"/>
        <v>0</v>
      </c>
      <c r="J14" s="15">
        <f>ROUND(G14/411-1,2)</f>
        <v>-0.28999999999999998</v>
      </c>
    </row>
    <row r="15" spans="1:10" x14ac:dyDescent="0.25">
      <c r="A15" s="1" t="s">
        <v>16</v>
      </c>
      <c r="B15" s="1" t="s">
        <v>21</v>
      </c>
      <c r="C15" s="10"/>
      <c r="D15" s="10"/>
      <c r="E15" s="10">
        <v>1199</v>
      </c>
      <c r="F15" s="10"/>
      <c r="G15" s="10">
        <f t="shared" si="0"/>
        <v>1199</v>
      </c>
      <c r="H15" s="16">
        <f t="shared" si="1"/>
        <v>0.11</v>
      </c>
      <c r="I15" s="15">
        <f t="shared" si="2"/>
        <v>0</v>
      </c>
      <c r="J15" s="15">
        <f>ROUND(G15/1010-1,2)</f>
        <v>0.19</v>
      </c>
    </row>
    <row r="16" spans="1:10" x14ac:dyDescent="0.25">
      <c r="A16" s="1" t="s">
        <v>16</v>
      </c>
      <c r="B16" s="1" t="s">
        <v>22</v>
      </c>
      <c r="C16" s="10"/>
      <c r="D16" s="10"/>
      <c r="E16" s="10">
        <v>3800</v>
      </c>
      <c r="F16" s="10"/>
      <c r="G16" s="10">
        <f t="shared" si="0"/>
        <v>3800</v>
      </c>
      <c r="H16" s="16">
        <f t="shared" si="1"/>
        <v>0.36</v>
      </c>
      <c r="I16" s="15">
        <f t="shared" si="2"/>
        <v>1E-3</v>
      </c>
      <c r="J16" s="15">
        <f>ROUND(G16/5460-1,2)</f>
        <v>-0.3</v>
      </c>
    </row>
    <row r="17" spans="1:10" x14ac:dyDescent="0.25">
      <c r="A17" s="1" t="s">
        <v>16</v>
      </c>
      <c r="B17" s="1" t="s">
        <v>23</v>
      </c>
      <c r="C17" s="10"/>
      <c r="D17" s="10"/>
      <c r="E17" s="10">
        <v>231350</v>
      </c>
      <c r="F17" s="10"/>
      <c r="G17" s="10">
        <f t="shared" si="0"/>
        <v>231350</v>
      </c>
      <c r="H17" s="16">
        <f t="shared" si="1"/>
        <v>21.99</v>
      </c>
      <c r="I17" s="15">
        <f t="shared" si="2"/>
        <v>5.6000000000000001E-2</v>
      </c>
      <c r="J17" s="15">
        <f>ROUND(G17/219280-1,2)</f>
        <v>0.06</v>
      </c>
    </row>
    <row r="18" spans="1:10" x14ac:dyDescent="0.25">
      <c r="A18" s="1" t="s">
        <v>16</v>
      </c>
      <c r="B18" s="1" t="s">
        <v>24</v>
      </c>
      <c r="C18" s="10">
        <v>537970</v>
      </c>
      <c r="D18" s="10"/>
      <c r="E18" s="10">
        <v>29370</v>
      </c>
      <c r="F18" s="10">
        <v>2530</v>
      </c>
      <c r="G18" s="10">
        <f t="shared" si="0"/>
        <v>569870</v>
      </c>
      <c r="H18" s="16">
        <f t="shared" si="1"/>
        <v>54.17</v>
      </c>
      <c r="I18" s="15">
        <f t="shared" si="2"/>
        <v>0.13900000000000001</v>
      </c>
      <c r="J18" s="15">
        <f>ROUND(G18/548930-1,2)</f>
        <v>0.04</v>
      </c>
    </row>
    <row r="19" spans="1:10" x14ac:dyDescent="0.25">
      <c r="A19" s="1" t="s">
        <v>16</v>
      </c>
      <c r="B19" s="1" t="s">
        <v>25</v>
      </c>
      <c r="C19" s="10"/>
      <c r="D19" s="10"/>
      <c r="E19" s="10">
        <v>18610</v>
      </c>
      <c r="F19" s="10"/>
      <c r="G19" s="10">
        <f t="shared" si="0"/>
        <v>18610</v>
      </c>
      <c r="H19" s="16">
        <f t="shared" si="1"/>
        <v>1.77</v>
      </c>
      <c r="I19" s="15">
        <f t="shared" si="2"/>
        <v>5.0000000000000001E-3</v>
      </c>
      <c r="J19" s="15">
        <f>ROUND(G19/16835-1,2)</f>
        <v>0.11</v>
      </c>
    </row>
    <row r="20" spans="1:10" x14ac:dyDescent="0.25">
      <c r="A20" s="1" t="s">
        <v>16</v>
      </c>
      <c r="B20" s="1" t="s">
        <v>26</v>
      </c>
      <c r="C20" s="10">
        <v>706750</v>
      </c>
      <c r="D20" s="10"/>
      <c r="E20" s="10"/>
      <c r="F20" s="10">
        <v>4270</v>
      </c>
      <c r="G20" s="10">
        <f t="shared" si="0"/>
        <v>711020</v>
      </c>
      <c r="H20" s="16">
        <f t="shared" si="1"/>
        <v>67.59</v>
      </c>
      <c r="I20" s="15">
        <f t="shared" si="2"/>
        <v>0.17299999999999999</v>
      </c>
      <c r="J20" s="15">
        <f>ROUND(G20/685500-1,2)</f>
        <v>0.04</v>
      </c>
    </row>
    <row r="21" spans="1:10" x14ac:dyDescent="0.25">
      <c r="A21" s="1" t="s">
        <v>16</v>
      </c>
      <c r="B21" s="1" t="s">
        <v>27</v>
      </c>
      <c r="C21" s="10"/>
      <c r="D21" s="10"/>
      <c r="E21" s="10">
        <v>1532</v>
      </c>
      <c r="F21" s="10"/>
      <c r="G21" s="10">
        <f t="shared" si="0"/>
        <v>1532</v>
      </c>
      <c r="H21" s="16">
        <f t="shared" si="1"/>
        <v>0.15</v>
      </c>
      <c r="I21" s="15">
        <f t="shared" si="2"/>
        <v>0</v>
      </c>
      <c r="J21" s="15">
        <f>ROUND(G21/957-1,2)</f>
        <v>0.6</v>
      </c>
    </row>
    <row r="22" spans="1:10" x14ac:dyDescent="0.25">
      <c r="A22" s="1" t="s">
        <v>16</v>
      </c>
      <c r="B22" s="1" t="s">
        <v>28</v>
      </c>
      <c r="C22" s="10"/>
      <c r="D22" s="10"/>
      <c r="E22" s="10">
        <v>1075</v>
      </c>
      <c r="F22" s="10"/>
      <c r="G22" s="10">
        <f t="shared" si="0"/>
        <v>1075</v>
      </c>
      <c r="H22" s="16">
        <f t="shared" si="1"/>
        <v>0.1</v>
      </c>
      <c r="I22" s="15">
        <f t="shared" si="2"/>
        <v>0</v>
      </c>
      <c r="J22" s="15">
        <f>ROUND(G22/598-1,2)</f>
        <v>0.8</v>
      </c>
    </row>
    <row r="23" spans="1:10" x14ac:dyDescent="0.25">
      <c r="A23" s="1" t="s">
        <v>16</v>
      </c>
      <c r="B23" s="1" t="s">
        <v>42</v>
      </c>
      <c r="C23" s="10"/>
      <c r="D23" s="10"/>
      <c r="E23" s="10">
        <v>372</v>
      </c>
      <c r="F23" s="10"/>
      <c r="G23" s="10">
        <f t="shared" si="0"/>
        <v>372</v>
      </c>
      <c r="H23" s="16">
        <f t="shared" si="1"/>
        <v>0.04</v>
      </c>
      <c r="I23" s="15">
        <f t="shared" si="2"/>
        <v>0</v>
      </c>
      <c r="J23" s="15">
        <f>ROUND(G23/542-1,2)</f>
        <v>-0.31</v>
      </c>
    </row>
    <row r="24" spans="1:10" x14ac:dyDescent="0.25">
      <c r="A24" s="1" t="s">
        <v>16</v>
      </c>
      <c r="B24" s="1" t="s">
        <v>29</v>
      </c>
      <c r="C24" s="10"/>
      <c r="D24" s="10"/>
      <c r="E24" s="10">
        <v>12790</v>
      </c>
      <c r="F24" s="10"/>
      <c r="G24" s="10">
        <f t="shared" si="0"/>
        <v>12790</v>
      </c>
      <c r="H24" s="16">
        <f t="shared" si="1"/>
        <v>1.22</v>
      </c>
      <c r="I24" s="15">
        <f t="shared" si="2"/>
        <v>3.0000000000000001E-3</v>
      </c>
      <c r="J24" s="15">
        <f>ROUND(G24/23830-1,2)</f>
        <v>-0.46</v>
      </c>
    </row>
    <row r="25" spans="1:10" x14ac:dyDescent="0.25">
      <c r="A25" s="1" t="s">
        <v>16</v>
      </c>
      <c r="B25" s="1" t="s">
        <v>30</v>
      </c>
      <c r="C25" s="10"/>
      <c r="D25" s="10"/>
      <c r="E25" s="10">
        <v>3360</v>
      </c>
      <c r="F25" s="10"/>
      <c r="G25" s="10">
        <f t="shared" si="0"/>
        <v>3360</v>
      </c>
      <c r="H25" s="16">
        <f t="shared" si="1"/>
        <v>0.32</v>
      </c>
      <c r="I25" s="15">
        <f t="shared" si="2"/>
        <v>1E-3</v>
      </c>
      <c r="J25" s="15">
        <f>ROUND(G25/3470-1,2)</f>
        <v>-0.03</v>
      </c>
    </row>
    <row r="26" spans="1:10" x14ac:dyDescent="0.25">
      <c r="A26" s="1" t="s">
        <v>16</v>
      </c>
      <c r="B26" s="1" t="s">
        <v>31</v>
      </c>
      <c r="C26" s="10"/>
      <c r="D26" s="10"/>
      <c r="E26" s="10">
        <v>1950</v>
      </c>
      <c r="F26" s="10"/>
      <c r="G26" s="10">
        <f t="shared" si="0"/>
        <v>1950</v>
      </c>
      <c r="H26" s="16">
        <f t="shared" si="1"/>
        <v>0.19</v>
      </c>
      <c r="I26" s="15">
        <f t="shared" si="2"/>
        <v>0</v>
      </c>
      <c r="J26" s="15">
        <f>ROUND(G26/1600-1,2)</f>
        <v>0.22</v>
      </c>
    </row>
    <row r="27" spans="1:10" x14ac:dyDescent="0.25">
      <c r="A27" s="1" t="s">
        <v>16</v>
      </c>
      <c r="B27" s="1" t="s">
        <v>32</v>
      </c>
      <c r="C27" s="10"/>
      <c r="D27" s="10"/>
      <c r="E27" s="10">
        <v>9185</v>
      </c>
      <c r="F27" s="10"/>
      <c r="G27" s="10">
        <f t="shared" si="0"/>
        <v>9185</v>
      </c>
      <c r="H27" s="16">
        <f t="shared" si="1"/>
        <v>0.87</v>
      </c>
      <c r="I27" s="15">
        <f t="shared" si="2"/>
        <v>2E-3</v>
      </c>
      <c r="J27" s="15">
        <f>ROUND(G27/5750-1,2)</f>
        <v>0.6</v>
      </c>
    </row>
    <row r="28" spans="1:10" x14ac:dyDescent="0.25">
      <c r="A28" s="1" t="s">
        <v>16</v>
      </c>
      <c r="B28" s="1" t="s">
        <v>33</v>
      </c>
      <c r="C28" s="10"/>
      <c r="D28" s="10">
        <v>747</v>
      </c>
      <c r="E28" s="10">
        <v>143</v>
      </c>
      <c r="F28" s="10"/>
      <c r="G28" s="10">
        <f t="shared" si="0"/>
        <v>890</v>
      </c>
      <c r="H28" s="16">
        <f t="shared" si="1"/>
        <v>0.08</v>
      </c>
      <c r="I28" s="15">
        <f t="shared" si="2"/>
        <v>0</v>
      </c>
      <c r="J28" s="15">
        <f>ROUND(G28/1109-1,2)</f>
        <v>-0.2</v>
      </c>
    </row>
    <row r="29" spans="1:10" x14ac:dyDescent="0.25">
      <c r="A29" s="1" t="s">
        <v>16</v>
      </c>
      <c r="B29" s="1" t="s">
        <v>34</v>
      </c>
      <c r="C29" s="10"/>
      <c r="D29" s="10"/>
      <c r="E29" s="10">
        <v>5655</v>
      </c>
      <c r="F29" s="10"/>
      <c r="G29" s="10">
        <f t="shared" si="0"/>
        <v>5655</v>
      </c>
      <c r="H29" s="16">
        <f t="shared" si="1"/>
        <v>0.54</v>
      </c>
      <c r="I29" s="15">
        <f t="shared" si="2"/>
        <v>1E-3</v>
      </c>
      <c r="J29" s="15">
        <f>ROUND(G29/6140-1,2)</f>
        <v>-0.08</v>
      </c>
    </row>
    <row r="30" spans="1:10" x14ac:dyDescent="0.25">
      <c r="A30" s="1" t="s">
        <v>16</v>
      </c>
      <c r="B30" s="1" t="s">
        <v>35</v>
      </c>
      <c r="C30" s="10"/>
      <c r="D30" s="10">
        <v>240</v>
      </c>
      <c r="E30" s="10">
        <v>350</v>
      </c>
      <c r="F30" s="10"/>
      <c r="G30" s="10">
        <f t="shared" si="0"/>
        <v>590</v>
      </c>
      <c r="H30" s="16">
        <f t="shared" si="1"/>
        <v>0.06</v>
      </c>
      <c r="I30" s="15">
        <f t="shared" si="2"/>
        <v>0</v>
      </c>
      <c r="J30" s="15">
        <f>ROUND(G30/1380-1,2)</f>
        <v>-0.56999999999999995</v>
      </c>
    </row>
    <row r="31" spans="1:10" x14ac:dyDescent="0.25">
      <c r="A31" s="1" t="s">
        <v>16</v>
      </c>
      <c r="B31" s="1" t="s">
        <v>43</v>
      </c>
      <c r="C31" s="10"/>
      <c r="D31" s="10"/>
      <c r="E31" s="10">
        <v>4300</v>
      </c>
      <c r="F31" s="10"/>
      <c r="G31" s="10">
        <f t="shared" si="0"/>
        <v>4300</v>
      </c>
      <c r="H31" s="16">
        <f t="shared" si="1"/>
        <v>0.41</v>
      </c>
      <c r="I31" s="15">
        <f t="shared" si="2"/>
        <v>1E-3</v>
      </c>
      <c r="J31" s="15">
        <f>ROUND(G31/20460-1,2)</f>
        <v>-0.79</v>
      </c>
    </row>
    <row r="32" spans="1:10" x14ac:dyDescent="0.25">
      <c r="A32" s="1" t="s">
        <v>16</v>
      </c>
      <c r="B32" s="1" t="s">
        <v>37</v>
      </c>
      <c r="C32" s="10"/>
      <c r="D32" s="10"/>
      <c r="E32" s="10">
        <v>20400</v>
      </c>
      <c r="F32" s="10"/>
      <c r="G32" s="10">
        <f t="shared" si="0"/>
        <v>20400</v>
      </c>
      <c r="H32" s="16">
        <f t="shared" si="1"/>
        <v>1.94</v>
      </c>
      <c r="I32" s="15">
        <f t="shared" si="2"/>
        <v>5.0000000000000001E-3</v>
      </c>
      <c r="J32" s="15">
        <f>ROUND(G32/38480-1,2)</f>
        <v>-0.47</v>
      </c>
    </row>
    <row r="33" spans="1:10" x14ac:dyDescent="0.25">
      <c r="A33" s="1" t="s">
        <v>16</v>
      </c>
      <c r="B33" s="1" t="s">
        <v>38</v>
      </c>
      <c r="C33" s="10"/>
      <c r="D33" s="10"/>
      <c r="E33" s="10">
        <v>290480</v>
      </c>
      <c r="F33" s="10"/>
      <c r="G33" s="10">
        <f t="shared" si="0"/>
        <v>290480</v>
      </c>
      <c r="H33" s="16">
        <f t="shared" si="1"/>
        <v>27.61</v>
      </c>
      <c r="I33" s="15">
        <f t="shared" si="2"/>
        <v>7.0999999999999994E-2</v>
      </c>
      <c r="J33" s="15">
        <f>ROUND(G33/220080-1,2)</f>
        <v>0.32</v>
      </c>
    </row>
    <row r="34" spans="1:10" x14ac:dyDescent="0.25">
      <c r="A34" s="1" t="s">
        <v>16</v>
      </c>
      <c r="B34" s="1" t="s">
        <v>39</v>
      </c>
      <c r="C34" s="10"/>
      <c r="D34" s="10"/>
      <c r="E34" s="10">
        <v>14640</v>
      </c>
      <c r="F34" s="10"/>
      <c r="G34" s="10">
        <f t="shared" si="0"/>
        <v>14640</v>
      </c>
      <c r="H34" s="16">
        <f t="shared" si="1"/>
        <v>1.39</v>
      </c>
      <c r="I34" s="15">
        <f t="shared" si="2"/>
        <v>4.0000000000000001E-3</v>
      </c>
      <c r="J34" s="15">
        <f>ROUND(G34/15930-1,2)</f>
        <v>-0.08</v>
      </c>
    </row>
    <row r="35" spans="1:10" x14ac:dyDescent="0.25">
      <c r="A35" s="1" t="s">
        <v>16</v>
      </c>
      <c r="B35" s="1" t="s">
        <v>40</v>
      </c>
      <c r="C35" s="10"/>
      <c r="D35" s="10"/>
      <c r="E35" s="10">
        <v>65670</v>
      </c>
      <c r="F35" s="10"/>
      <c r="G35" s="10">
        <f t="shared" si="0"/>
        <v>65670</v>
      </c>
      <c r="H35" s="16">
        <f t="shared" si="1"/>
        <v>6.24</v>
      </c>
      <c r="I35" s="15">
        <f t="shared" si="2"/>
        <v>1.6E-2</v>
      </c>
      <c r="J35" s="15">
        <f>ROUND(G35/52660-1,2)</f>
        <v>0.25</v>
      </c>
    </row>
    <row r="36" spans="1:10" x14ac:dyDescent="0.25">
      <c r="A36" s="1" t="s">
        <v>16</v>
      </c>
      <c r="B36" s="1" t="s">
        <v>41</v>
      </c>
      <c r="C36" s="10"/>
      <c r="D36" s="10"/>
      <c r="E36" s="10">
        <v>251530</v>
      </c>
      <c r="F36" s="10">
        <v>1600</v>
      </c>
      <c r="G36" s="10">
        <f t="shared" si="0"/>
        <v>253130</v>
      </c>
      <c r="H36" s="16">
        <f t="shared" si="1"/>
        <v>24.06</v>
      </c>
      <c r="I36" s="15">
        <f t="shared" si="2"/>
        <v>6.2E-2</v>
      </c>
      <c r="J36" s="15">
        <f>ROUND(G36/182030-1,2)</f>
        <v>0.39</v>
      </c>
    </row>
    <row r="37" spans="1:10" x14ac:dyDescent="0.25">
      <c r="A37" s="1" t="s">
        <v>16</v>
      </c>
      <c r="B37" s="1" t="s">
        <v>36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ROUND(G37/8320-1,2)</f>
        <v>-1</v>
      </c>
    </row>
    <row r="38" spans="1:10" x14ac:dyDescent="0.25">
      <c r="A38" s="1" t="s">
        <v>16</v>
      </c>
      <c r="B38" s="1" t="s">
        <v>99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16</v>
      </c>
      <c r="B39" s="1" t="s">
        <v>184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16</v>
      </c>
      <c r="B40" s="1" t="s">
        <v>172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44</v>
      </c>
      <c r="B41" s="1" t="s">
        <v>45</v>
      </c>
      <c r="C41" s="10">
        <v>731670</v>
      </c>
      <c r="D41" s="10"/>
      <c r="E41" s="10"/>
      <c r="F41" s="10">
        <v>2900</v>
      </c>
      <c r="G41" s="10">
        <f t="shared" si="0"/>
        <v>734570</v>
      </c>
      <c r="H41" s="16">
        <f t="shared" si="1"/>
        <v>69.83</v>
      </c>
      <c r="I41" s="15">
        <f t="shared" si="2"/>
        <v>0.17899999999999999</v>
      </c>
      <c r="J41" s="15">
        <f>ROUND(G41/712940-1,2)</f>
        <v>0.03</v>
      </c>
    </row>
    <row r="42" spans="1:10" x14ac:dyDescent="0.25">
      <c r="A42" s="1" t="s">
        <v>44</v>
      </c>
      <c r="B42" s="1" t="s">
        <v>47</v>
      </c>
      <c r="C42" s="10"/>
      <c r="D42" s="10"/>
      <c r="E42" s="10"/>
      <c r="F42" s="10">
        <v>107360</v>
      </c>
      <c r="G42" s="10">
        <f t="shared" si="0"/>
        <v>107360</v>
      </c>
      <c r="H42" s="16">
        <f t="shared" si="1"/>
        <v>10.210000000000001</v>
      </c>
      <c r="I42" s="15">
        <f t="shared" si="2"/>
        <v>2.5999999999999999E-2</v>
      </c>
      <c r="J42" s="15">
        <f>ROUND(G42/56460-1,2)</f>
        <v>0.9</v>
      </c>
    </row>
    <row r="43" spans="1:10" x14ac:dyDescent="0.25">
      <c r="A43" s="1" t="s">
        <v>44</v>
      </c>
      <c r="B43" s="1" t="s">
        <v>46</v>
      </c>
      <c r="C43" s="10"/>
      <c r="D43" s="10"/>
      <c r="E43" s="10">
        <v>149850</v>
      </c>
      <c r="F43" s="10"/>
      <c r="G43" s="10">
        <f t="shared" si="0"/>
        <v>149850</v>
      </c>
      <c r="H43" s="16">
        <f t="shared" si="1"/>
        <v>14.24</v>
      </c>
      <c r="I43" s="15">
        <f t="shared" si="2"/>
        <v>3.6999999999999998E-2</v>
      </c>
      <c r="J43" s="15">
        <f>ROUND(G43/101340-1,2)</f>
        <v>0.48</v>
      </c>
    </row>
    <row r="44" spans="1:10" x14ac:dyDescent="0.25">
      <c r="A44" s="1" t="s">
        <v>48</v>
      </c>
      <c r="B44" s="1" t="s">
        <v>51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1" t="s">
        <v>48</v>
      </c>
      <c r="B45" s="1" t="s">
        <v>50</v>
      </c>
      <c r="C45" s="10"/>
      <c r="D45" s="10"/>
      <c r="E45" s="10"/>
      <c r="F45" s="10"/>
      <c r="G45" s="10">
        <f t="shared" si="0"/>
        <v>0</v>
      </c>
      <c r="H45" s="16">
        <f t="shared" si="1"/>
        <v>0</v>
      </c>
      <c r="I45" s="15">
        <f t="shared" si="2"/>
        <v>0</v>
      </c>
      <c r="J45" s="15"/>
    </row>
    <row r="46" spans="1:10" x14ac:dyDescent="0.25">
      <c r="A46" s="1" t="s">
        <v>48</v>
      </c>
      <c r="B46" s="1" t="s">
        <v>94</v>
      </c>
      <c r="C46" s="10"/>
      <c r="D46" s="10"/>
      <c r="E46" s="10"/>
      <c r="F46" s="10"/>
      <c r="G46" s="10">
        <f t="shared" si="0"/>
        <v>0</v>
      </c>
      <c r="H46" s="16">
        <f t="shared" si="1"/>
        <v>0</v>
      </c>
      <c r="I46" s="15">
        <f t="shared" si="2"/>
        <v>0</v>
      </c>
      <c r="J46" s="15"/>
    </row>
    <row r="47" spans="1:10" x14ac:dyDescent="0.25">
      <c r="A47" s="1" t="s">
        <v>48</v>
      </c>
      <c r="B47" s="1" t="s">
        <v>168</v>
      </c>
      <c r="C47" s="10"/>
      <c r="D47" s="10"/>
      <c r="E47" s="10"/>
      <c r="F47" s="10"/>
      <c r="G47" s="10">
        <f t="shared" si="0"/>
        <v>0</v>
      </c>
      <c r="H47" s="16">
        <f t="shared" si="1"/>
        <v>0</v>
      </c>
      <c r="I47" s="15">
        <f t="shared" si="2"/>
        <v>0</v>
      </c>
      <c r="J47" s="15"/>
    </row>
    <row r="48" spans="1:10" x14ac:dyDescent="0.25">
      <c r="A48" s="27" t="s">
        <v>12</v>
      </c>
      <c r="B48" s="27"/>
      <c r="C48" s="11">
        <f t="shared" ref="C48:H48" si="3">SUM(C8:C47)</f>
        <v>2773570</v>
      </c>
      <c r="D48" s="11">
        <f t="shared" si="3"/>
        <v>987</v>
      </c>
      <c r="E48" s="11">
        <f t="shared" si="3"/>
        <v>1170025</v>
      </c>
      <c r="F48" s="11">
        <f t="shared" si="3"/>
        <v>155830</v>
      </c>
      <c r="G48" s="11">
        <f t="shared" si="3"/>
        <v>4100412</v>
      </c>
      <c r="H48" s="14">
        <f t="shared" si="3"/>
        <v>389.78</v>
      </c>
      <c r="I48" s="17"/>
      <c r="J48" s="17"/>
    </row>
    <row r="49" spans="1:10" x14ac:dyDescent="0.25">
      <c r="A49" s="27" t="s">
        <v>14</v>
      </c>
      <c r="B49" s="27"/>
      <c r="C49" s="12">
        <f>ROUND(C48/G48,2)</f>
        <v>0.68</v>
      </c>
      <c r="D49" s="12">
        <f>ROUND(D48/G48,2)</f>
        <v>0</v>
      </c>
      <c r="E49" s="12">
        <f>ROUND(E48/G48,2)</f>
        <v>0.28999999999999998</v>
      </c>
      <c r="F49" s="12">
        <f>ROUND(F48/G48,2)</f>
        <v>0.04</v>
      </c>
      <c r="G49" s="13"/>
      <c r="H49" s="13"/>
      <c r="I49" s="17"/>
      <c r="J49" s="17"/>
    </row>
    <row r="50" spans="1:10" x14ac:dyDescent="0.25">
      <c r="A50" s="2" t="s">
        <v>52</v>
      </c>
      <c r="B50" s="2"/>
      <c r="C50" s="13"/>
      <c r="D50" s="13"/>
      <c r="E50" s="13"/>
      <c r="F50" s="13"/>
      <c r="G50" s="13"/>
      <c r="H50" s="13"/>
      <c r="I50" s="17"/>
      <c r="J50" s="17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53</v>
      </c>
      <c r="B54" s="27"/>
      <c r="C54" s="11" t="s">
        <v>8</v>
      </c>
      <c r="D54" s="11" t="s">
        <v>9</v>
      </c>
      <c r="E54" s="11" t="s">
        <v>10</v>
      </c>
      <c r="F54" s="11" t="s">
        <v>11</v>
      </c>
      <c r="G54" s="11" t="s">
        <v>12</v>
      </c>
      <c r="H54" s="14" t="s">
        <v>13</v>
      </c>
      <c r="I54" s="17"/>
      <c r="J54" s="17"/>
    </row>
    <row r="55" spans="1:10" x14ac:dyDescent="0.25">
      <c r="A55" s="22" t="s">
        <v>54</v>
      </c>
      <c r="B55" s="22"/>
      <c r="C55" s="10">
        <v>2041900</v>
      </c>
      <c r="D55" s="10">
        <v>987</v>
      </c>
      <c r="E55" s="10">
        <v>1020175</v>
      </c>
      <c r="F55" s="10">
        <v>45570</v>
      </c>
      <c r="G55" s="10">
        <f>SUM(C55:F55)</f>
        <v>3108632</v>
      </c>
      <c r="H55" s="16">
        <f>ROUND(G55/10520,2)</f>
        <v>295.5</v>
      </c>
      <c r="I55" s="9"/>
      <c r="J55" s="9"/>
    </row>
    <row r="56" spans="1:10" x14ac:dyDescent="0.25">
      <c r="A56" s="22" t="s">
        <v>55</v>
      </c>
      <c r="B56" s="22"/>
      <c r="C56" s="10">
        <v>731670</v>
      </c>
      <c r="D56" s="10">
        <v>0</v>
      </c>
      <c r="E56" s="10">
        <v>149850</v>
      </c>
      <c r="F56" s="10">
        <v>110260</v>
      </c>
      <c r="G56" s="10">
        <f>SUM(C56:F56)</f>
        <v>991780</v>
      </c>
      <c r="H56" s="16">
        <f>ROUND(G56/10520,2)</f>
        <v>94.28</v>
      </c>
      <c r="I56" s="9"/>
      <c r="J56" s="9"/>
    </row>
    <row r="57" spans="1:10" x14ac:dyDescent="0.25">
      <c r="A57" s="22" t="s">
        <v>56</v>
      </c>
      <c r="B57" s="22"/>
      <c r="C57" s="10">
        <v>0</v>
      </c>
      <c r="D57" s="10">
        <v>0</v>
      </c>
      <c r="E57" s="10">
        <v>0</v>
      </c>
      <c r="F57" s="10">
        <v>0</v>
      </c>
      <c r="G57" s="10">
        <f>SUM(C57:F57)</f>
        <v>0</v>
      </c>
      <c r="H57" s="16">
        <f>ROUND(G57/10520,2)</f>
        <v>0</v>
      </c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57</v>
      </c>
      <c r="B62" s="27"/>
      <c r="C62" s="14" t="s">
        <v>2</v>
      </c>
      <c r="D62" s="14">
        <v>2023</v>
      </c>
      <c r="E62" s="14" t="s">
        <v>59</v>
      </c>
      <c r="F62" s="13"/>
      <c r="G62" s="14" t="s">
        <v>60</v>
      </c>
      <c r="H62" s="14" t="s">
        <v>2</v>
      </c>
      <c r="I62" s="12" t="s">
        <v>61</v>
      </c>
      <c r="J62" s="12" t="s">
        <v>59</v>
      </c>
    </row>
    <row r="63" spans="1:10" x14ac:dyDescent="0.25">
      <c r="A63" s="22" t="s">
        <v>58</v>
      </c>
      <c r="B63" s="22"/>
      <c r="C63" s="15">
        <f>ROUND(0.8059, 4)</f>
        <v>0.80589999999999995</v>
      </c>
      <c r="D63" s="15">
        <f>ROUND(0.7897, 4)</f>
        <v>0.78969999999999996</v>
      </c>
      <c r="E63" s="15">
        <f>ROUND(0.777, 4)</f>
        <v>0.77700000000000002</v>
      </c>
      <c r="F63" s="8"/>
      <c r="G63" s="14" t="s">
        <v>62</v>
      </c>
      <c r="H63" s="28" t="s">
        <v>63</v>
      </c>
      <c r="I63" s="25" t="s">
        <v>64</v>
      </c>
      <c r="J63" s="25" t="s">
        <v>65</v>
      </c>
    </row>
    <row r="64" spans="1:10" x14ac:dyDescent="0.25">
      <c r="A64" s="22" t="s">
        <v>66</v>
      </c>
      <c r="B64" s="22"/>
      <c r="C64" s="15">
        <f>ROUND(0.7942, 4)</f>
        <v>0.79420000000000002</v>
      </c>
      <c r="D64" s="15">
        <f>ROUND(0.7772, 4)</f>
        <v>0.7772</v>
      </c>
      <c r="E64" s="15">
        <f>ROUND(0.7608, 4)</f>
        <v>0.76080000000000003</v>
      </c>
      <c r="F64" s="8"/>
      <c r="G64" s="14" t="s">
        <v>67</v>
      </c>
      <c r="H64" s="29"/>
      <c r="I64" s="26"/>
      <c r="J64" s="26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7" t="s">
        <v>68</v>
      </c>
      <c r="B68" s="27"/>
      <c r="C68" s="14" t="s">
        <v>2</v>
      </c>
      <c r="D68" s="14" t="s">
        <v>185</v>
      </c>
      <c r="E68" s="14" t="s">
        <v>70</v>
      </c>
      <c r="F68" s="14" t="s">
        <v>71</v>
      </c>
      <c r="G68" s="14" t="s">
        <v>72</v>
      </c>
      <c r="H68" s="13"/>
      <c r="I68" s="17"/>
      <c r="J68" s="17"/>
    </row>
    <row r="69" spans="1:10" x14ac:dyDescent="0.25">
      <c r="A69" s="22" t="s">
        <v>73</v>
      </c>
      <c r="B69" s="22"/>
      <c r="C69" s="16">
        <v>69.83</v>
      </c>
      <c r="D69" s="16">
        <v>71.2</v>
      </c>
      <c r="E69" s="16">
        <v>92.53</v>
      </c>
      <c r="F69" s="16">
        <v>56.06</v>
      </c>
      <c r="G69" s="16">
        <f>12/11*C69</f>
        <v>76.178181818181812</v>
      </c>
      <c r="H69" s="8"/>
      <c r="I69" s="9"/>
      <c r="J69" s="9"/>
    </row>
    <row r="70" spans="1:10" x14ac:dyDescent="0.25">
      <c r="A70" s="22" t="s">
        <v>74</v>
      </c>
      <c r="B70" s="22"/>
      <c r="C70" s="1">
        <v>67.59</v>
      </c>
      <c r="D70" s="1">
        <v>71.69</v>
      </c>
      <c r="E70" s="1">
        <v>61.98</v>
      </c>
      <c r="F70" s="1">
        <v>64.09</v>
      </c>
      <c r="G70" s="1">
        <f>12/11*C70</f>
        <v>73.734545454545454</v>
      </c>
    </row>
    <row r="71" spans="1:10" x14ac:dyDescent="0.25">
      <c r="A71" s="22" t="s">
        <v>75</v>
      </c>
      <c r="B71" s="22"/>
      <c r="C71" s="1">
        <v>299.01</v>
      </c>
      <c r="D71" s="1">
        <v>292.11</v>
      </c>
      <c r="E71" s="1">
        <v>291.51</v>
      </c>
      <c r="F71" s="1">
        <v>284.45</v>
      </c>
      <c r="G71" s="1">
        <f>12/11*C71</f>
        <v>326.19272727272721</v>
      </c>
    </row>
    <row r="72" spans="1:10" x14ac:dyDescent="0.25">
      <c r="A72" s="22" t="s">
        <v>76</v>
      </c>
      <c r="B72" s="22"/>
      <c r="C72" s="1">
        <v>94.28</v>
      </c>
      <c r="D72" s="1">
        <v>92.5</v>
      </c>
      <c r="E72" s="1">
        <v>116.46</v>
      </c>
      <c r="F72" s="1">
        <v>79.959999999999994</v>
      </c>
      <c r="G72" s="1">
        <f>12/11*C72</f>
        <v>102.85090909090908</v>
      </c>
    </row>
    <row r="75" spans="1:10" x14ac:dyDescent="0.25">
      <c r="A75" s="23" t="s">
        <v>60</v>
      </c>
      <c r="B75" s="24"/>
    </row>
    <row r="76" spans="1:10" x14ac:dyDescent="0.25">
      <c r="A76" s="3" t="s">
        <v>77</v>
      </c>
      <c r="B76" s="1" t="s">
        <v>186</v>
      </c>
    </row>
    <row r="77" spans="1:10" x14ac:dyDescent="0.25">
      <c r="A77" s="3" t="s">
        <v>70</v>
      </c>
      <c r="B77" s="1" t="s">
        <v>79</v>
      </c>
    </row>
    <row r="78" spans="1:10" x14ac:dyDescent="0.25">
      <c r="A78" s="3" t="s">
        <v>71</v>
      </c>
      <c r="B78" s="1" t="s">
        <v>80</v>
      </c>
    </row>
    <row r="79" spans="1:10" x14ac:dyDescent="0.25">
      <c r="A79" s="3" t="s">
        <v>72</v>
      </c>
      <c r="B79" s="1" t="s">
        <v>81</v>
      </c>
    </row>
  </sheetData>
  <mergeCells count="19">
    <mergeCell ref="C7:G7"/>
    <mergeCell ref="A48:B48"/>
    <mergeCell ref="A49:B49"/>
    <mergeCell ref="A54:B54"/>
    <mergeCell ref="A55:B55"/>
    <mergeCell ref="J63:J64"/>
    <mergeCell ref="A64:B64"/>
    <mergeCell ref="A68:B68"/>
    <mergeCell ref="A69:B69"/>
    <mergeCell ref="A56:B56"/>
    <mergeCell ref="A57:B57"/>
    <mergeCell ref="A62:B62"/>
    <mergeCell ref="A63:B63"/>
    <mergeCell ref="H63:H64"/>
    <mergeCell ref="A70:B70"/>
    <mergeCell ref="A71:B71"/>
    <mergeCell ref="A72:B72"/>
    <mergeCell ref="A75:B75"/>
    <mergeCell ref="I63:I6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J74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0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187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652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14</v>
      </c>
      <c r="F9" s="10"/>
      <c r="G9" s="10">
        <f t="shared" ref="G9:G37" si="0">SUM(C9:F9)</f>
        <v>14</v>
      </c>
      <c r="H9" s="16">
        <f t="shared" ref="H9:H37" si="1">ROUND(G9/652,2)</f>
        <v>0.02</v>
      </c>
      <c r="I9" s="15">
        <f t="shared" ref="I9:I37" si="2">ROUND(G9/$G$38,3)</f>
        <v>0</v>
      </c>
      <c r="J9" s="15"/>
    </row>
    <row r="10" spans="1:10" x14ac:dyDescent="0.25">
      <c r="A10" s="1" t="s">
        <v>16</v>
      </c>
      <c r="B10" s="1" t="s">
        <v>19</v>
      </c>
      <c r="C10" s="10">
        <v>22130</v>
      </c>
      <c r="D10" s="10"/>
      <c r="E10" s="10">
        <v>2606</v>
      </c>
      <c r="F10" s="10"/>
      <c r="G10" s="10">
        <f t="shared" si="0"/>
        <v>24736</v>
      </c>
      <c r="H10" s="16">
        <f t="shared" si="1"/>
        <v>37.94</v>
      </c>
      <c r="I10" s="15">
        <f t="shared" si="2"/>
        <v>0.107</v>
      </c>
      <c r="J10" s="15">
        <f>ROUND(G10/20279.54-1,2)</f>
        <v>0.22</v>
      </c>
    </row>
    <row r="11" spans="1:10" x14ac:dyDescent="0.25">
      <c r="A11" s="1" t="s">
        <v>16</v>
      </c>
      <c r="B11" s="1" t="s">
        <v>20</v>
      </c>
      <c r="C11" s="10">
        <v>20380</v>
      </c>
      <c r="D11" s="10"/>
      <c r="E11" s="10">
        <v>1169</v>
      </c>
      <c r="F11" s="10"/>
      <c r="G11" s="10">
        <f t="shared" si="0"/>
        <v>21549</v>
      </c>
      <c r="H11" s="16">
        <f t="shared" si="1"/>
        <v>33.049999999999997</v>
      </c>
      <c r="I11" s="15">
        <f t="shared" si="2"/>
        <v>9.2999999999999999E-2</v>
      </c>
      <c r="J11" s="15">
        <f>ROUND(G11/21530-1,2)</f>
        <v>0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58</v>
      </c>
      <c r="F12" s="10"/>
      <c r="G12" s="10">
        <f t="shared" si="0"/>
        <v>58</v>
      </c>
      <c r="H12" s="16">
        <f t="shared" si="1"/>
        <v>0.09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22</v>
      </c>
      <c r="C13" s="10"/>
      <c r="D13" s="10"/>
      <c r="E13" s="10">
        <v>722</v>
      </c>
      <c r="F13" s="10"/>
      <c r="G13" s="10">
        <f t="shared" si="0"/>
        <v>722</v>
      </c>
      <c r="H13" s="16">
        <f t="shared" si="1"/>
        <v>1.1100000000000001</v>
      </c>
      <c r="I13" s="15">
        <f t="shared" si="2"/>
        <v>3.0000000000000001E-3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18372</v>
      </c>
      <c r="F14" s="10"/>
      <c r="G14" s="10">
        <f t="shared" si="0"/>
        <v>18372</v>
      </c>
      <c r="H14" s="16">
        <f t="shared" si="1"/>
        <v>28.18</v>
      </c>
      <c r="I14" s="15">
        <f t="shared" si="2"/>
        <v>7.9000000000000001E-2</v>
      </c>
      <c r="J14" s="15">
        <f>ROUND(G14/5202.37-1,2)</f>
        <v>2.5299999999999998</v>
      </c>
    </row>
    <row r="15" spans="1:10" x14ac:dyDescent="0.25">
      <c r="A15" s="1" t="s">
        <v>16</v>
      </c>
      <c r="B15" s="1" t="s">
        <v>24</v>
      </c>
      <c r="C15" s="10">
        <v>17370</v>
      </c>
      <c r="D15" s="10"/>
      <c r="E15" s="10">
        <v>6774</v>
      </c>
      <c r="F15" s="10"/>
      <c r="G15" s="10">
        <f t="shared" si="0"/>
        <v>24144</v>
      </c>
      <c r="H15" s="16">
        <f t="shared" si="1"/>
        <v>37.03</v>
      </c>
      <c r="I15" s="15">
        <f t="shared" si="2"/>
        <v>0.104</v>
      </c>
      <c r="J15" s="15">
        <f>ROUND(G15/19272.97-1,2)</f>
        <v>0.25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1055</v>
      </c>
      <c r="F16" s="10"/>
      <c r="G16" s="10">
        <f t="shared" si="0"/>
        <v>1055</v>
      </c>
      <c r="H16" s="16">
        <f t="shared" si="1"/>
        <v>1.62</v>
      </c>
      <c r="I16" s="15">
        <f t="shared" si="2"/>
        <v>5.0000000000000001E-3</v>
      </c>
      <c r="J16" s="15"/>
    </row>
    <row r="17" spans="1:10" x14ac:dyDescent="0.25">
      <c r="A17" s="1" t="s">
        <v>16</v>
      </c>
      <c r="B17" s="1" t="s">
        <v>26</v>
      </c>
      <c r="C17" s="10">
        <v>20880</v>
      </c>
      <c r="D17" s="10"/>
      <c r="E17" s="10"/>
      <c r="F17" s="10"/>
      <c r="G17" s="10">
        <f t="shared" si="0"/>
        <v>20880</v>
      </c>
      <c r="H17" s="16">
        <f t="shared" si="1"/>
        <v>32.020000000000003</v>
      </c>
      <c r="I17" s="15">
        <f t="shared" si="2"/>
        <v>0.09</v>
      </c>
      <c r="J17" s="15">
        <f>ROUND(G17/21730-1,2)</f>
        <v>-0.04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217</v>
      </c>
      <c r="F18" s="10"/>
      <c r="G18" s="10">
        <f t="shared" si="0"/>
        <v>217</v>
      </c>
      <c r="H18" s="16">
        <f t="shared" si="1"/>
        <v>0.33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141</v>
      </c>
      <c r="F19" s="10"/>
      <c r="G19" s="10">
        <f t="shared" si="0"/>
        <v>141</v>
      </c>
      <c r="H19" s="16">
        <f t="shared" si="1"/>
        <v>0.22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42</v>
      </c>
      <c r="C20" s="10"/>
      <c r="D20" s="10"/>
      <c r="E20" s="10">
        <v>21</v>
      </c>
      <c r="F20" s="10"/>
      <c r="G20" s="10">
        <f t="shared" si="0"/>
        <v>21</v>
      </c>
      <c r="H20" s="16">
        <f t="shared" si="1"/>
        <v>0.03</v>
      </c>
      <c r="I20" s="15">
        <f t="shared" si="2"/>
        <v>0</v>
      </c>
      <c r="J20" s="15">
        <f>ROUND(G20/37.24-1,2)</f>
        <v>-0.44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499</v>
      </c>
      <c r="F21" s="10"/>
      <c r="G21" s="10">
        <f t="shared" si="0"/>
        <v>499</v>
      </c>
      <c r="H21" s="16">
        <f t="shared" si="1"/>
        <v>0.77</v>
      </c>
      <c r="I21" s="15">
        <f t="shared" si="2"/>
        <v>2E-3</v>
      </c>
      <c r="J21" s="15">
        <f>ROUND(G21/428.57-1,2)</f>
        <v>0.16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153</v>
      </c>
      <c r="F22" s="10"/>
      <c r="G22" s="10">
        <f t="shared" si="0"/>
        <v>153</v>
      </c>
      <c r="H22" s="16">
        <f t="shared" si="1"/>
        <v>0.23</v>
      </c>
      <c r="I22" s="15">
        <f t="shared" si="2"/>
        <v>1E-3</v>
      </c>
      <c r="J22" s="15">
        <f>ROUND(G22/33.62-1,2)</f>
        <v>3.55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137</v>
      </c>
      <c r="F23" s="10"/>
      <c r="G23" s="10">
        <f t="shared" si="0"/>
        <v>137</v>
      </c>
      <c r="H23" s="16">
        <f t="shared" si="1"/>
        <v>0.21</v>
      </c>
      <c r="I23" s="15">
        <f t="shared" si="2"/>
        <v>1E-3</v>
      </c>
      <c r="J23" s="15">
        <f>ROUND(G23/42.86-1,2)</f>
        <v>2.2000000000000002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393</v>
      </c>
      <c r="F24" s="10"/>
      <c r="G24" s="10">
        <f t="shared" si="0"/>
        <v>393</v>
      </c>
      <c r="H24" s="16">
        <f t="shared" si="1"/>
        <v>0.6</v>
      </c>
      <c r="I24" s="15">
        <f t="shared" si="2"/>
        <v>2E-3</v>
      </c>
      <c r="J24" s="15"/>
    </row>
    <row r="25" spans="1:10" x14ac:dyDescent="0.25">
      <c r="A25" s="1" t="s">
        <v>16</v>
      </c>
      <c r="B25" s="1" t="s">
        <v>33</v>
      </c>
      <c r="C25" s="10"/>
      <c r="D25" s="10"/>
      <c r="E25" s="10">
        <v>55</v>
      </c>
      <c r="F25" s="10"/>
      <c r="G25" s="10">
        <f t="shared" si="0"/>
        <v>55</v>
      </c>
      <c r="H25" s="16">
        <f t="shared" si="1"/>
        <v>0.08</v>
      </c>
      <c r="I25" s="15">
        <f t="shared" si="2"/>
        <v>0</v>
      </c>
      <c r="J25" s="15"/>
    </row>
    <row r="26" spans="1:10" x14ac:dyDescent="0.25">
      <c r="A26" s="1" t="s">
        <v>16</v>
      </c>
      <c r="B26" s="1" t="s">
        <v>37</v>
      </c>
      <c r="C26" s="10"/>
      <c r="D26" s="10"/>
      <c r="E26" s="10">
        <v>895</v>
      </c>
      <c r="F26" s="10"/>
      <c r="G26" s="10">
        <f t="shared" si="0"/>
        <v>895</v>
      </c>
      <c r="H26" s="16">
        <f t="shared" si="1"/>
        <v>1.37</v>
      </c>
      <c r="I26" s="15">
        <f t="shared" si="2"/>
        <v>4.0000000000000001E-3</v>
      </c>
      <c r="J26" s="15">
        <f>ROUND(G26/58.02-1,2)</f>
        <v>14.43</v>
      </c>
    </row>
    <row r="27" spans="1:10" x14ac:dyDescent="0.25">
      <c r="A27" s="1" t="s">
        <v>16</v>
      </c>
      <c r="B27" s="1" t="s">
        <v>43</v>
      </c>
      <c r="C27" s="10"/>
      <c r="D27" s="10"/>
      <c r="E27" s="10">
        <v>884</v>
      </c>
      <c r="F27" s="10"/>
      <c r="G27" s="10">
        <f t="shared" si="0"/>
        <v>884</v>
      </c>
      <c r="H27" s="16">
        <f t="shared" si="1"/>
        <v>1.36</v>
      </c>
      <c r="I27" s="15">
        <f t="shared" si="2"/>
        <v>4.0000000000000001E-3</v>
      </c>
      <c r="J27" s="15"/>
    </row>
    <row r="28" spans="1:10" x14ac:dyDescent="0.25">
      <c r="A28" s="1" t="s">
        <v>16</v>
      </c>
      <c r="B28" s="1" t="s">
        <v>38</v>
      </c>
      <c r="C28" s="10"/>
      <c r="D28" s="10"/>
      <c r="E28" s="10">
        <v>17630</v>
      </c>
      <c r="F28" s="10"/>
      <c r="G28" s="10">
        <f t="shared" si="0"/>
        <v>17630</v>
      </c>
      <c r="H28" s="16">
        <f t="shared" si="1"/>
        <v>27.04</v>
      </c>
      <c r="I28" s="15">
        <f t="shared" si="2"/>
        <v>7.5999999999999998E-2</v>
      </c>
      <c r="J28" s="15">
        <f>ROUND(G28/6507.65-1,2)</f>
        <v>1.71</v>
      </c>
    </row>
    <row r="29" spans="1:10" x14ac:dyDescent="0.25">
      <c r="A29" s="1" t="s">
        <v>16</v>
      </c>
      <c r="B29" s="1" t="s">
        <v>40</v>
      </c>
      <c r="C29" s="10"/>
      <c r="D29" s="10"/>
      <c r="E29" s="10">
        <v>6336</v>
      </c>
      <c r="F29" s="10"/>
      <c r="G29" s="10">
        <f t="shared" si="0"/>
        <v>6336</v>
      </c>
      <c r="H29" s="16">
        <f t="shared" si="1"/>
        <v>9.7200000000000006</v>
      </c>
      <c r="I29" s="15">
        <f t="shared" si="2"/>
        <v>2.7E-2</v>
      </c>
      <c r="J29" s="15">
        <f>ROUND(G29/2866.29-1,2)</f>
        <v>1.21</v>
      </c>
    </row>
    <row r="30" spans="1:10" x14ac:dyDescent="0.25">
      <c r="A30" s="1" t="s">
        <v>16</v>
      </c>
      <c r="B30" s="1" t="s">
        <v>41</v>
      </c>
      <c r="C30" s="10"/>
      <c r="D30" s="10"/>
      <c r="E30" s="10">
        <v>11921</v>
      </c>
      <c r="F30" s="10"/>
      <c r="G30" s="10">
        <f t="shared" si="0"/>
        <v>11921</v>
      </c>
      <c r="H30" s="16">
        <f t="shared" si="1"/>
        <v>18.28</v>
      </c>
      <c r="I30" s="15">
        <f t="shared" si="2"/>
        <v>5.0999999999999997E-2</v>
      </c>
      <c r="J30" s="15">
        <f>ROUND(G30/730.07-1,2)</f>
        <v>15.33</v>
      </c>
    </row>
    <row r="31" spans="1:10" x14ac:dyDescent="0.25">
      <c r="A31" s="1" t="s">
        <v>16</v>
      </c>
      <c r="B31" s="1" t="s">
        <v>36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ROUND(G31/499.69-1,2)</f>
        <v>-1</v>
      </c>
    </row>
    <row r="32" spans="1:10" x14ac:dyDescent="0.25">
      <c r="A32" s="1" t="s">
        <v>16</v>
      </c>
      <c r="B32" s="1" t="s">
        <v>35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39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44</v>
      </c>
      <c r="B34" s="1" t="s">
        <v>45</v>
      </c>
      <c r="C34" s="10">
        <v>70940</v>
      </c>
      <c r="D34" s="10"/>
      <c r="E34" s="10"/>
      <c r="F34" s="10"/>
      <c r="G34" s="10">
        <f t="shared" si="0"/>
        <v>70940</v>
      </c>
      <c r="H34" s="16">
        <f t="shared" si="1"/>
        <v>108.8</v>
      </c>
      <c r="I34" s="15">
        <f t="shared" si="2"/>
        <v>0.30599999999999999</v>
      </c>
      <c r="J34" s="15">
        <f>ROUND(G34/62140-1,2)</f>
        <v>0.14000000000000001</v>
      </c>
    </row>
    <row r="35" spans="1:10" x14ac:dyDescent="0.25">
      <c r="A35" s="1" t="s">
        <v>44</v>
      </c>
      <c r="B35" s="1" t="s">
        <v>46</v>
      </c>
      <c r="C35" s="10"/>
      <c r="D35" s="10"/>
      <c r="E35" s="10">
        <v>10438</v>
      </c>
      <c r="F35" s="10"/>
      <c r="G35" s="10">
        <f t="shared" si="0"/>
        <v>10438</v>
      </c>
      <c r="H35" s="16">
        <f t="shared" si="1"/>
        <v>16.010000000000002</v>
      </c>
      <c r="I35" s="15">
        <f t="shared" si="2"/>
        <v>4.4999999999999998E-2</v>
      </c>
      <c r="J35" s="15">
        <f>ROUND(G35/3473.55-1,2)</f>
        <v>2</v>
      </c>
    </row>
    <row r="36" spans="1:10" x14ac:dyDescent="0.25">
      <c r="A36" s="1" t="s">
        <v>44</v>
      </c>
      <c r="B36" s="1" t="s">
        <v>47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48</v>
      </c>
      <c r="B37" s="1" t="s">
        <v>51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27" t="s">
        <v>12</v>
      </c>
      <c r="B38" s="27"/>
      <c r="C38" s="11">
        <f t="shared" ref="C38:H38" si="3">SUM(C8:C37)</f>
        <v>151700</v>
      </c>
      <c r="D38" s="11">
        <f t="shared" si="3"/>
        <v>0</v>
      </c>
      <c r="E38" s="11">
        <f t="shared" si="3"/>
        <v>80490</v>
      </c>
      <c r="F38" s="11">
        <f t="shared" si="3"/>
        <v>0</v>
      </c>
      <c r="G38" s="11">
        <f t="shared" si="3"/>
        <v>232190</v>
      </c>
      <c r="H38" s="14">
        <f t="shared" si="3"/>
        <v>356.11</v>
      </c>
      <c r="I38" s="17"/>
      <c r="J38" s="17"/>
    </row>
    <row r="39" spans="1:10" x14ac:dyDescent="0.25">
      <c r="A39" s="27" t="s">
        <v>14</v>
      </c>
      <c r="B39" s="27"/>
      <c r="C39" s="12">
        <f>ROUND(C38/G38,2)</f>
        <v>0.65</v>
      </c>
      <c r="D39" s="12">
        <f>ROUND(D38/G38,2)</f>
        <v>0</v>
      </c>
      <c r="E39" s="12">
        <f>ROUND(E38/G38,2)</f>
        <v>0.35</v>
      </c>
      <c r="F39" s="12">
        <f>ROUND(F38/G38,2)</f>
        <v>0</v>
      </c>
      <c r="G39" s="13"/>
      <c r="H39" s="13"/>
      <c r="I39" s="17"/>
      <c r="J39" s="17"/>
    </row>
    <row r="40" spans="1:10" x14ac:dyDescent="0.25">
      <c r="A40" s="2" t="s">
        <v>52</v>
      </c>
      <c r="B40" s="2"/>
      <c r="C40" s="13"/>
      <c r="D40" s="13"/>
      <c r="E40" s="13"/>
      <c r="F40" s="13"/>
      <c r="G40" s="13"/>
      <c r="H40" s="13"/>
      <c r="I40" s="17"/>
      <c r="J40" s="17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A44" s="27" t="s">
        <v>53</v>
      </c>
      <c r="B44" s="27"/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4" t="s">
        <v>13</v>
      </c>
      <c r="I44" s="17"/>
      <c r="J44" s="17"/>
    </row>
    <row r="45" spans="1:10" x14ac:dyDescent="0.25">
      <c r="A45" s="22" t="s">
        <v>54</v>
      </c>
      <c r="B45" s="22"/>
      <c r="C45" s="10">
        <v>80760</v>
      </c>
      <c r="D45" s="10">
        <v>0</v>
      </c>
      <c r="E45" s="10">
        <v>70052</v>
      </c>
      <c r="F45" s="10">
        <v>0</v>
      </c>
      <c r="G45" s="10">
        <f>SUM(C45:F45)</f>
        <v>150812</v>
      </c>
      <c r="H45" s="16">
        <f>ROUND(G45/652,2)</f>
        <v>231.31</v>
      </c>
      <c r="I45" s="9"/>
      <c r="J45" s="9"/>
    </row>
    <row r="46" spans="1:10" x14ac:dyDescent="0.25">
      <c r="A46" s="22" t="s">
        <v>55</v>
      </c>
      <c r="B46" s="22"/>
      <c r="C46" s="10">
        <v>70940</v>
      </c>
      <c r="D46" s="10">
        <v>0</v>
      </c>
      <c r="E46" s="10">
        <v>10438</v>
      </c>
      <c r="F46" s="10">
        <v>0</v>
      </c>
      <c r="G46" s="10">
        <f>SUM(C46:F46)</f>
        <v>81378</v>
      </c>
      <c r="H46" s="16">
        <f>ROUND(G46/652,2)</f>
        <v>124.81</v>
      </c>
      <c r="I46" s="9"/>
      <c r="J46" s="9"/>
    </row>
    <row r="47" spans="1:10" x14ac:dyDescent="0.25">
      <c r="A47" s="22" t="s">
        <v>56</v>
      </c>
      <c r="B47" s="22"/>
      <c r="C47" s="10">
        <v>0</v>
      </c>
      <c r="D47" s="10">
        <v>0</v>
      </c>
      <c r="E47" s="10">
        <v>0</v>
      </c>
      <c r="F47" s="10">
        <v>0</v>
      </c>
      <c r="G47" s="10">
        <f>SUM(C47:F47)</f>
        <v>0</v>
      </c>
      <c r="H47" s="16">
        <f>ROUND(G47/652,2)</f>
        <v>0</v>
      </c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57</v>
      </c>
      <c r="B52" s="27"/>
      <c r="C52" s="14" t="s">
        <v>2</v>
      </c>
      <c r="D52" s="14">
        <v>2023</v>
      </c>
      <c r="E52" s="14" t="s">
        <v>59</v>
      </c>
      <c r="F52" s="13"/>
      <c r="G52" s="14" t="s">
        <v>60</v>
      </c>
      <c r="H52" s="14" t="s">
        <v>2</v>
      </c>
      <c r="I52" s="12" t="s">
        <v>61</v>
      </c>
      <c r="J52" s="12" t="s">
        <v>59</v>
      </c>
    </row>
    <row r="53" spans="1:10" x14ac:dyDescent="0.25">
      <c r="A53" s="22" t="s">
        <v>58</v>
      </c>
      <c r="B53" s="22"/>
      <c r="C53" s="15">
        <f>ROUND(0.664, 4)</f>
        <v>0.66400000000000003</v>
      </c>
      <c r="D53" s="15">
        <f>ROUND(0.5958, 4)</f>
        <v>0.5958</v>
      </c>
      <c r="E53" s="15">
        <f>ROUND(0.777, 4)</f>
        <v>0.77700000000000002</v>
      </c>
      <c r="F53" s="8"/>
      <c r="G53" s="14" t="s">
        <v>62</v>
      </c>
      <c r="H53" s="28" t="s">
        <v>63</v>
      </c>
      <c r="I53" s="25" t="s">
        <v>64</v>
      </c>
      <c r="J53" s="25" t="s">
        <v>65</v>
      </c>
    </row>
    <row r="54" spans="1:10" x14ac:dyDescent="0.25">
      <c r="A54" s="22" t="s">
        <v>66</v>
      </c>
      <c r="B54" s="22"/>
      <c r="C54" s="15">
        <f>ROUND(0.6208, 4)</f>
        <v>0.62080000000000002</v>
      </c>
      <c r="D54" s="15">
        <f>ROUND(0.5494, 4)</f>
        <v>0.5494</v>
      </c>
      <c r="E54" s="15">
        <f>ROUND(0.7608, 4)</f>
        <v>0.76080000000000003</v>
      </c>
      <c r="F54" s="8"/>
      <c r="G54" s="14" t="s">
        <v>67</v>
      </c>
      <c r="H54" s="29"/>
      <c r="I54" s="26"/>
      <c r="J54" s="26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68</v>
      </c>
      <c r="B58" s="27"/>
      <c r="C58" s="14" t="s">
        <v>2</v>
      </c>
      <c r="D58" s="14" t="s">
        <v>188</v>
      </c>
      <c r="E58" s="14" t="s">
        <v>70</v>
      </c>
      <c r="F58" s="14" t="s">
        <v>71</v>
      </c>
      <c r="G58" s="14" t="s">
        <v>72</v>
      </c>
      <c r="H58" s="13"/>
      <c r="I58" s="17"/>
      <c r="J58" s="17"/>
    </row>
    <row r="59" spans="1:10" x14ac:dyDescent="0.25">
      <c r="A59" s="22" t="s">
        <v>73</v>
      </c>
      <c r="B59" s="22"/>
      <c r="C59" s="16">
        <v>108.8</v>
      </c>
      <c r="D59" s="16">
        <v>95.93</v>
      </c>
      <c r="E59" s="16">
        <v>92.53</v>
      </c>
      <c r="F59" s="16">
        <v>56.06</v>
      </c>
      <c r="G59" s="16">
        <f>12/11*C59</f>
        <v>118.69090909090907</v>
      </c>
      <c r="H59" s="8"/>
      <c r="I59" s="9"/>
      <c r="J59" s="9"/>
    </row>
    <row r="60" spans="1:10" x14ac:dyDescent="0.25">
      <c r="A60" s="22" t="s">
        <v>74</v>
      </c>
      <c r="B60" s="22"/>
      <c r="C60" s="16">
        <v>32.020000000000003</v>
      </c>
      <c r="D60" s="16">
        <v>35.049999999999997</v>
      </c>
      <c r="E60" s="16">
        <v>61.98</v>
      </c>
      <c r="F60" s="16">
        <v>64.09</v>
      </c>
      <c r="G60" s="16">
        <f>12/11*C60</f>
        <v>34.93090909090909</v>
      </c>
      <c r="H60" s="8"/>
      <c r="I60" s="9"/>
      <c r="J60" s="9"/>
    </row>
    <row r="61" spans="1:10" x14ac:dyDescent="0.25">
      <c r="A61" s="22" t="s">
        <v>75</v>
      </c>
      <c r="B61" s="22"/>
      <c r="C61" s="16">
        <v>231.31</v>
      </c>
      <c r="D61" s="16">
        <v>194.99</v>
      </c>
      <c r="E61" s="16">
        <v>291.51</v>
      </c>
      <c r="F61" s="16">
        <v>284.45</v>
      </c>
      <c r="G61" s="16">
        <f>12/11*C61</f>
        <v>252.33818181818179</v>
      </c>
      <c r="H61" s="8"/>
      <c r="I61" s="9"/>
      <c r="J61" s="9"/>
    </row>
    <row r="62" spans="1:10" x14ac:dyDescent="0.25">
      <c r="A62" s="22" t="s">
        <v>76</v>
      </c>
      <c r="B62" s="22"/>
      <c r="C62" s="16">
        <v>124.81</v>
      </c>
      <c r="D62" s="16">
        <v>108.98</v>
      </c>
      <c r="E62" s="16">
        <v>116.46</v>
      </c>
      <c r="F62" s="16">
        <v>79.959999999999994</v>
      </c>
      <c r="G62" s="16">
        <f>12/11*C62</f>
        <v>136.15636363636364</v>
      </c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3" t="s">
        <v>60</v>
      </c>
      <c r="B65" s="24"/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77</v>
      </c>
      <c r="B66" s="1" t="s">
        <v>189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70</v>
      </c>
      <c r="B67" s="1" t="s">
        <v>79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71</v>
      </c>
      <c r="B68" s="1" t="s">
        <v>80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72</v>
      </c>
      <c r="B69" s="1" t="s">
        <v>81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</sheetData>
  <mergeCells count="19">
    <mergeCell ref="C7:G7"/>
    <mergeCell ref="A38:B38"/>
    <mergeCell ref="A39:B39"/>
    <mergeCell ref="A44:B44"/>
    <mergeCell ref="A45:B45"/>
    <mergeCell ref="J53:J54"/>
    <mergeCell ref="A54:B54"/>
    <mergeCell ref="A58:B58"/>
    <mergeCell ref="A59:B59"/>
    <mergeCell ref="A46:B46"/>
    <mergeCell ref="A47:B47"/>
    <mergeCell ref="A52:B52"/>
    <mergeCell ref="A53:B53"/>
    <mergeCell ref="H53:H54"/>
    <mergeCell ref="A60:B60"/>
    <mergeCell ref="A61:B61"/>
    <mergeCell ref="A62:B62"/>
    <mergeCell ref="A65:B65"/>
    <mergeCell ref="I53:I5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J74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2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190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3611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130</v>
      </c>
      <c r="F9" s="10"/>
      <c r="G9" s="10">
        <f t="shared" ref="G9:G42" si="0">SUM(C9:F9)</f>
        <v>130</v>
      </c>
      <c r="H9" s="16">
        <f t="shared" ref="H9:H42" si="1">ROUND(G9/3611,2)</f>
        <v>0.04</v>
      </c>
      <c r="I9" s="15">
        <f t="shared" ref="I9:I42" si="2">ROUND(G9/$G$43,3)</f>
        <v>0</v>
      </c>
      <c r="J9" s="15">
        <f>ROUND(G9/57-1,2)</f>
        <v>1.28</v>
      </c>
    </row>
    <row r="10" spans="1:10" x14ac:dyDescent="0.25">
      <c r="A10" s="1" t="s">
        <v>16</v>
      </c>
      <c r="B10" s="1" t="s">
        <v>19</v>
      </c>
      <c r="C10" s="10">
        <v>109090</v>
      </c>
      <c r="D10" s="10"/>
      <c r="E10" s="10">
        <v>4360</v>
      </c>
      <c r="F10" s="10">
        <v>170</v>
      </c>
      <c r="G10" s="10">
        <f t="shared" si="0"/>
        <v>113620</v>
      </c>
      <c r="H10" s="16">
        <f t="shared" si="1"/>
        <v>31.46</v>
      </c>
      <c r="I10" s="15">
        <f t="shared" si="2"/>
        <v>9.0999999999999998E-2</v>
      </c>
      <c r="J10" s="15">
        <f>ROUND(G10/110010-1,2)</f>
        <v>0.03</v>
      </c>
    </row>
    <row r="11" spans="1:10" x14ac:dyDescent="0.25">
      <c r="A11" s="1" t="s">
        <v>16</v>
      </c>
      <c r="B11" s="1" t="s">
        <v>20</v>
      </c>
      <c r="C11" s="10">
        <v>113760</v>
      </c>
      <c r="D11" s="10"/>
      <c r="E11" s="10"/>
      <c r="F11" s="10"/>
      <c r="G11" s="10">
        <f t="shared" si="0"/>
        <v>113760</v>
      </c>
      <c r="H11" s="16">
        <f t="shared" si="1"/>
        <v>31.5</v>
      </c>
      <c r="I11" s="15">
        <f t="shared" si="2"/>
        <v>9.0999999999999998E-2</v>
      </c>
      <c r="J11" s="15">
        <f>ROUND(G11/122810-1,2)</f>
        <v>-7.0000000000000007E-2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168</v>
      </c>
      <c r="F12" s="10"/>
      <c r="G12" s="10">
        <f t="shared" si="0"/>
        <v>168</v>
      </c>
      <c r="H12" s="16">
        <f t="shared" si="1"/>
        <v>0.05</v>
      </c>
      <c r="I12" s="15">
        <f t="shared" si="2"/>
        <v>0</v>
      </c>
      <c r="J12" s="15">
        <f>ROUND(G12/102-1,2)</f>
        <v>0.65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673</v>
      </c>
      <c r="F13" s="10"/>
      <c r="G13" s="10">
        <f t="shared" si="0"/>
        <v>673</v>
      </c>
      <c r="H13" s="16">
        <f t="shared" si="1"/>
        <v>0.19</v>
      </c>
      <c r="I13" s="15">
        <f t="shared" si="2"/>
        <v>1E-3</v>
      </c>
      <c r="J13" s="15">
        <f>ROUND(G13/316-1,2)</f>
        <v>1.1299999999999999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1280</v>
      </c>
      <c r="F14" s="10"/>
      <c r="G14" s="10">
        <f t="shared" si="0"/>
        <v>1280</v>
      </c>
      <c r="H14" s="16">
        <f t="shared" si="1"/>
        <v>0.35</v>
      </c>
      <c r="I14" s="15">
        <f t="shared" si="2"/>
        <v>1E-3</v>
      </c>
      <c r="J14" s="15">
        <f>ROUND(G14/2260-1,2)</f>
        <v>-0.43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143180</v>
      </c>
      <c r="F15" s="10"/>
      <c r="G15" s="10">
        <f t="shared" si="0"/>
        <v>143180</v>
      </c>
      <c r="H15" s="16">
        <f t="shared" si="1"/>
        <v>39.65</v>
      </c>
      <c r="I15" s="15">
        <f t="shared" si="2"/>
        <v>0.115</v>
      </c>
      <c r="J15" s="15">
        <f>ROUND(G15/20940-1,2)</f>
        <v>5.84</v>
      </c>
    </row>
    <row r="16" spans="1:10" x14ac:dyDescent="0.25">
      <c r="A16" s="1" t="s">
        <v>16</v>
      </c>
      <c r="B16" s="1" t="s">
        <v>24</v>
      </c>
      <c r="C16" s="10">
        <v>143000</v>
      </c>
      <c r="D16" s="10"/>
      <c r="E16" s="10">
        <v>16800</v>
      </c>
      <c r="F16" s="10"/>
      <c r="G16" s="10">
        <f t="shared" si="0"/>
        <v>159800</v>
      </c>
      <c r="H16" s="16">
        <f t="shared" si="1"/>
        <v>44.25</v>
      </c>
      <c r="I16" s="15">
        <f t="shared" si="2"/>
        <v>0.128</v>
      </c>
      <c r="J16" s="15">
        <f>ROUND(G16/160320-1,2)</f>
        <v>0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12390</v>
      </c>
      <c r="F17" s="10"/>
      <c r="G17" s="10">
        <f t="shared" si="0"/>
        <v>12390</v>
      </c>
      <c r="H17" s="16">
        <f t="shared" si="1"/>
        <v>3.43</v>
      </c>
      <c r="I17" s="15">
        <f t="shared" si="2"/>
        <v>0.01</v>
      </c>
      <c r="J17" s="15">
        <f>ROUND(G17/6300-1,2)</f>
        <v>0.97</v>
      </c>
    </row>
    <row r="18" spans="1:10" x14ac:dyDescent="0.25">
      <c r="A18" s="1" t="s">
        <v>16</v>
      </c>
      <c r="B18" s="1" t="s">
        <v>26</v>
      </c>
      <c r="C18" s="10">
        <v>182030</v>
      </c>
      <c r="D18" s="10"/>
      <c r="E18" s="10"/>
      <c r="F18" s="10">
        <v>1530</v>
      </c>
      <c r="G18" s="10">
        <f t="shared" si="0"/>
        <v>183560</v>
      </c>
      <c r="H18" s="16">
        <f t="shared" si="1"/>
        <v>50.83</v>
      </c>
      <c r="I18" s="15">
        <f t="shared" si="2"/>
        <v>0.14699999999999999</v>
      </c>
      <c r="J18" s="15">
        <f>ROUND(G18/173860-1,2)</f>
        <v>0.06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945</v>
      </c>
      <c r="F19" s="10"/>
      <c r="G19" s="10">
        <f t="shared" si="0"/>
        <v>945</v>
      </c>
      <c r="H19" s="16">
        <f t="shared" si="1"/>
        <v>0.26</v>
      </c>
      <c r="I19" s="15">
        <f t="shared" si="2"/>
        <v>1E-3</v>
      </c>
      <c r="J19" s="15">
        <f>ROUND(G19/674-1,2)</f>
        <v>0.4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934</v>
      </c>
      <c r="F20" s="10"/>
      <c r="G20" s="10">
        <f t="shared" si="0"/>
        <v>934</v>
      </c>
      <c r="H20" s="16">
        <f t="shared" si="1"/>
        <v>0.26</v>
      </c>
      <c r="I20" s="15">
        <f t="shared" si="2"/>
        <v>1E-3</v>
      </c>
      <c r="J20" s="15">
        <f>ROUND(G20/635-1,2)</f>
        <v>0.47</v>
      </c>
    </row>
    <row r="21" spans="1:10" x14ac:dyDescent="0.25">
      <c r="A21" s="1" t="s">
        <v>16</v>
      </c>
      <c r="B21" s="1" t="s">
        <v>42</v>
      </c>
      <c r="C21" s="10"/>
      <c r="D21" s="10"/>
      <c r="E21" s="10">
        <v>93</v>
      </c>
      <c r="F21" s="10"/>
      <c r="G21" s="10">
        <f t="shared" si="0"/>
        <v>93</v>
      </c>
      <c r="H21" s="16">
        <f t="shared" si="1"/>
        <v>0.03</v>
      </c>
      <c r="I21" s="15">
        <f t="shared" si="2"/>
        <v>0</v>
      </c>
      <c r="J21" s="15">
        <f>ROUND(G21/144-1,2)</f>
        <v>-0.35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3880</v>
      </c>
      <c r="F22" s="10"/>
      <c r="G22" s="10">
        <f t="shared" si="0"/>
        <v>3880</v>
      </c>
      <c r="H22" s="16">
        <f t="shared" si="1"/>
        <v>1.07</v>
      </c>
      <c r="I22" s="15">
        <f t="shared" si="2"/>
        <v>3.0000000000000001E-3</v>
      </c>
      <c r="J22" s="15">
        <f>ROUND(G22/6200-1,2)</f>
        <v>-0.37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1330</v>
      </c>
      <c r="F23" s="10"/>
      <c r="G23" s="10">
        <f t="shared" si="0"/>
        <v>1330</v>
      </c>
      <c r="H23" s="16">
        <f t="shared" si="1"/>
        <v>0.37</v>
      </c>
      <c r="I23" s="15">
        <f t="shared" si="2"/>
        <v>1E-3</v>
      </c>
      <c r="J23" s="15">
        <f>ROUND(G23/1060-1,2)</f>
        <v>0.25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850</v>
      </c>
      <c r="F24" s="10"/>
      <c r="G24" s="10">
        <f t="shared" si="0"/>
        <v>850</v>
      </c>
      <c r="H24" s="16">
        <f t="shared" si="1"/>
        <v>0.24</v>
      </c>
      <c r="I24" s="15">
        <f t="shared" si="2"/>
        <v>1E-3</v>
      </c>
      <c r="J24" s="15">
        <f>ROUND(G24/530-1,2)</f>
        <v>0.6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2155</v>
      </c>
      <c r="F25" s="10"/>
      <c r="G25" s="10">
        <f t="shared" si="0"/>
        <v>2155</v>
      </c>
      <c r="H25" s="16">
        <f t="shared" si="1"/>
        <v>0.6</v>
      </c>
      <c r="I25" s="15">
        <f t="shared" si="2"/>
        <v>2E-3</v>
      </c>
      <c r="J25" s="15">
        <f>ROUND(G25/745-1,2)</f>
        <v>1.89</v>
      </c>
    </row>
    <row r="26" spans="1:10" x14ac:dyDescent="0.25">
      <c r="A26" s="1" t="s">
        <v>16</v>
      </c>
      <c r="B26" s="1" t="s">
        <v>33</v>
      </c>
      <c r="C26" s="10"/>
      <c r="D26" s="10">
        <v>213</v>
      </c>
      <c r="E26" s="10">
        <v>104</v>
      </c>
      <c r="F26" s="10"/>
      <c r="G26" s="10">
        <f t="shared" si="0"/>
        <v>317</v>
      </c>
      <c r="H26" s="16">
        <f t="shared" si="1"/>
        <v>0.09</v>
      </c>
      <c r="I26" s="15">
        <f t="shared" si="2"/>
        <v>0</v>
      </c>
      <c r="J26" s="15">
        <f>ROUND(G26/253-1,2)</f>
        <v>0.25</v>
      </c>
    </row>
    <row r="27" spans="1:10" x14ac:dyDescent="0.25">
      <c r="A27" s="1" t="s">
        <v>16</v>
      </c>
      <c r="B27" s="1" t="s">
        <v>34</v>
      </c>
      <c r="C27" s="10"/>
      <c r="D27" s="10"/>
      <c r="E27" s="10">
        <v>600</v>
      </c>
      <c r="F27" s="10"/>
      <c r="G27" s="10">
        <f t="shared" si="0"/>
        <v>600</v>
      </c>
      <c r="H27" s="16">
        <f t="shared" si="1"/>
        <v>0.17</v>
      </c>
      <c r="I27" s="15">
        <f t="shared" si="2"/>
        <v>0</v>
      </c>
      <c r="J27" s="15"/>
    </row>
    <row r="28" spans="1:10" x14ac:dyDescent="0.25">
      <c r="A28" s="1" t="s">
        <v>16</v>
      </c>
      <c r="B28" s="1" t="s">
        <v>35</v>
      </c>
      <c r="C28" s="10"/>
      <c r="D28" s="10"/>
      <c r="E28" s="10">
        <v>190</v>
      </c>
      <c r="F28" s="10"/>
      <c r="G28" s="10">
        <f t="shared" si="0"/>
        <v>190</v>
      </c>
      <c r="H28" s="16">
        <f t="shared" si="1"/>
        <v>0.05</v>
      </c>
      <c r="I28" s="15">
        <f t="shared" si="2"/>
        <v>0</v>
      </c>
      <c r="J28" s="15">
        <f>ROUND(G28/741-1,2)</f>
        <v>-0.74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4330</v>
      </c>
      <c r="F29" s="10"/>
      <c r="G29" s="10">
        <f t="shared" si="0"/>
        <v>4330</v>
      </c>
      <c r="H29" s="16">
        <f t="shared" si="1"/>
        <v>1.2</v>
      </c>
      <c r="I29" s="15">
        <f t="shared" si="2"/>
        <v>3.0000000000000001E-3</v>
      </c>
      <c r="J29" s="15">
        <f>ROUND(G29/3050-1,2)</f>
        <v>0.42</v>
      </c>
    </row>
    <row r="30" spans="1:10" x14ac:dyDescent="0.25">
      <c r="A30" s="1" t="s">
        <v>16</v>
      </c>
      <c r="B30" s="1" t="s">
        <v>43</v>
      </c>
      <c r="C30" s="10"/>
      <c r="D30" s="10"/>
      <c r="E30" s="10">
        <v>11180</v>
      </c>
      <c r="F30" s="10"/>
      <c r="G30" s="10">
        <f t="shared" si="0"/>
        <v>11180</v>
      </c>
      <c r="H30" s="16">
        <f t="shared" si="1"/>
        <v>3.1</v>
      </c>
      <c r="I30" s="15">
        <f t="shared" si="2"/>
        <v>8.9999999999999993E-3</v>
      </c>
      <c r="J30" s="15">
        <f>ROUND(G30/6277-1,2)</f>
        <v>0.78</v>
      </c>
    </row>
    <row r="31" spans="1:10" x14ac:dyDescent="0.25">
      <c r="A31" s="1" t="s">
        <v>16</v>
      </c>
      <c r="B31" s="1" t="s">
        <v>38</v>
      </c>
      <c r="C31" s="10"/>
      <c r="D31" s="10"/>
      <c r="E31" s="10">
        <v>91640</v>
      </c>
      <c r="F31" s="10"/>
      <c r="G31" s="10">
        <f t="shared" si="0"/>
        <v>91640</v>
      </c>
      <c r="H31" s="16">
        <f t="shared" si="1"/>
        <v>25.38</v>
      </c>
      <c r="I31" s="15">
        <f t="shared" si="2"/>
        <v>7.3999999999999996E-2</v>
      </c>
      <c r="J31" s="15">
        <f>ROUND(G31/53030-1,2)</f>
        <v>0.73</v>
      </c>
    </row>
    <row r="32" spans="1:10" x14ac:dyDescent="0.25">
      <c r="A32" s="1" t="s">
        <v>16</v>
      </c>
      <c r="B32" s="1" t="s">
        <v>39</v>
      </c>
      <c r="C32" s="10"/>
      <c r="D32" s="10"/>
      <c r="E32" s="10">
        <v>6290</v>
      </c>
      <c r="F32" s="10"/>
      <c r="G32" s="10">
        <f t="shared" si="0"/>
        <v>6290</v>
      </c>
      <c r="H32" s="16">
        <f t="shared" si="1"/>
        <v>1.74</v>
      </c>
      <c r="I32" s="15">
        <f t="shared" si="2"/>
        <v>5.0000000000000001E-3</v>
      </c>
      <c r="J32" s="15">
        <f>ROUND(G32/10925-1,2)</f>
        <v>-0.42</v>
      </c>
    </row>
    <row r="33" spans="1:10" x14ac:dyDescent="0.25">
      <c r="A33" s="1" t="s">
        <v>16</v>
      </c>
      <c r="B33" s="1" t="s">
        <v>40</v>
      </c>
      <c r="C33" s="10"/>
      <c r="D33" s="10"/>
      <c r="E33" s="10">
        <v>23720</v>
      </c>
      <c r="F33" s="10"/>
      <c r="G33" s="10">
        <f t="shared" si="0"/>
        <v>23720</v>
      </c>
      <c r="H33" s="16">
        <f t="shared" si="1"/>
        <v>6.57</v>
      </c>
      <c r="I33" s="15">
        <f t="shared" si="2"/>
        <v>1.9E-2</v>
      </c>
      <c r="J33" s="15">
        <f>ROUND(G33/22480-1,2)</f>
        <v>0.06</v>
      </c>
    </row>
    <row r="34" spans="1:10" x14ac:dyDescent="0.25">
      <c r="A34" s="1" t="s">
        <v>16</v>
      </c>
      <c r="B34" s="1" t="s">
        <v>41</v>
      </c>
      <c r="C34" s="10"/>
      <c r="D34" s="10"/>
      <c r="E34" s="10">
        <v>115660</v>
      </c>
      <c r="F34" s="10"/>
      <c r="G34" s="10">
        <f t="shared" si="0"/>
        <v>115660</v>
      </c>
      <c r="H34" s="16">
        <f t="shared" si="1"/>
        <v>32.03</v>
      </c>
      <c r="I34" s="15">
        <f t="shared" si="2"/>
        <v>9.2999999999999999E-2</v>
      </c>
      <c r="J34" s="15">
        <f>ROUND(G34/58850-1,2)</f>
        <v>0.97</v>
      </c>
    </row>
    <row r="35" spans="1:10" x14ac:dyDescent="0.25">
      <c r="A35" s="1" t="s">
        <v>16</v>
      </c>
      <c r="B35" s="1" t="s">
        <v>36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ROUND(G35/4619-1,2)</f>
        <v>-1</v>
      </c>
    </row>
    <row r="36" spans="1:10" x14ac:dyDescent="0.25">
      <c r="A36" s="1" t="s">
        <v>44</v>
      </c>
      <c r="B36" s="1" t="s">
        <v>45</v>
      </c>
      <c r="C36" s="10">
        <v>158710</v>
      </c>
      <c r="D36" s="10"/>
      <c r="E36" s="10"/>
      <c r="F36" s="10"/>
      <c r="G36" s="10">
        <f t="shared" si="0"/>
        <v>158710</v>
      </c>
      <c r="H36" s="16">
        <f t="shared" si="1"/>
        <v>43.95</v>
      </c>
      <c r="I36" s="15">
        <f t="shared" si="2"/>
        <v>0.128</v>
      </c>
      <c r="J36" s="15">
        <f>ROUND(G36/153220-1,2)</f>
        <v>0.04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>
        <v>13690</v>
      </c>
      <c r="G37" s="10">
        <f t="shared" si="0"/>
        <v>13690</v>
      </c>
      <c r="H37" s="16">
        <f t="shared" si="1"/>
        <v>3.79</v>
      </c>
      <c r="I37" s="15">
        <f t="shared" si="2"/>
        <v>1.0999999999999999E-2</v>
      </c>
      <c r="J37" s="15">
        <f>ROUND(G37/8820-1,2)</f>
        <v>0.55000000000000004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79420</v>
      </c>
      <c r="F38" s="10"/>
      <c r="G38" s="10">
        <f t="shared" si="0"/>
        <v>79420</v>
      </c>
      <c r="H38" s="16">
        <f t="shared" si="1"/>
        <v>21.99</v>
      </c>
      <c r="I38" s="15">
        <f t="shared" si="2"/>
        <v>6.4000000000000001E-2</v>
      </c>
      <c r="J38" s="15">
        <f>ROUND(G38/44500-1,2)</f>
        <v>0.78</v>
      </c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48</v>
      </c>
      <c r="B40" s="1" t="s">
        <v>49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48</v>
      </c>
      <c r="B41" s="1" t="s">
        <v>50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1" t="s">
        <v>48</v>
      </c>
      <c r="B42" s="1" t="s">
        <v>86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27" t="s">
        <v>12</v>
      </c>
      <c r="B43" s="27"/>
      <c r="C43" s="11">
        <f t="shared" ref="C43:H43" si="3">SUM(C8:C42)</f>
        <v>706590</v>
      </c>
      <c r="D43" s="11">
        <f t="shared" si="3"/>
        <v>213</v>
      </c>
      <c r="E43" s="11">
        <f t="shared" si="3"/>
        <v>522302</v>
      </c>
      <c r="F43" s="11">
        <f t="shared" si="3"/>
        <v>15390</v>
      </c>
      <c r="G43" s="11">
        <f t="shared" si="3"/>
        <v>1244495</v>
      </c>
      <c r="H43" s="14">
        <f t="shared" si="3"/>
        <v>344.64</v>
      </c>
      <c r="I43" s="17"/>
      <c r="J43" s="17"/>
    </row>
    <row r="44" spans="1:10" x14ac:dyDescent="0.25">
      <c r="A44" s="27" t="s">
        <v>14</v>
      </c>
      <c r="B44" s="27"/>
      <c r="C44" s="12">
        <f>ROUND(C43/G43,2)</f>
        <v>0.56999999999999995</v>
      </c>
      <c r="D44" s="12">
        <f>ROUND(D43/G43,2)</f>
        <v>0</v>
      </c>
      <c r="E44" s="12">
        <f>ROUND(E43/G43,2)</f>
        <v>0.42</v>
      </c>
      <c r="F44" s="12">
        <f>ROUND(F43/G43,2)</f>
        <v>0.01</v>
      </c>
      <c r="G44" s="13"/>
      <c r="H44" s="13"/>
      <c r="I44" s="17"/>
      <c r="J44" s="17"/>
    </row>
    <row r="45" spans="1:10" x14ac:dyDescent="0.25">
      <c r="A45" s="2" t="s">
        <v>52</v>
      </c>
      <c r="B45" s="2"/>
      <c r="C45" s="13"/>
      <c r="D45" s="13"/>
      <c r="E45" s="13"/>
      <c r="F45" s="13"/>
      <c r="G45" s="13"/>
      <c r="H45" s="13"/>
      <c r="I45" s="17"/>
      <c r="J45" s="17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A49" s="27" t="s">
        <v>53</v>
      </c>
      <c r="B49" s="27"/>
      <c r="C49" s="11" t="s">
        <v>8</v>
      </c>
      <c r="D49" s="11" t="s">
        <v>9</v>
      </c>
      <c r="E49" s="11" t="s">
        <v>10</v>
      </c>
      <c r="F49" s="11" t="s">
        <v>11</v>
      </c>
      <c r="G49" s="11" t="s">
        <v>12</v>
      </c>
      <c r="H49" s="14" t="s">
        <v>13</v>
      </c>
      <c r="I49" s="17"/>
      <c r="J49" s="17"/>
    </row>
    <row r="50" spans="1:10" x14ac:dyDescent="0.25">
      <c r="A50" s="22" t="s">
        <v>54</v>
      </c>
      <c r="B50" s="22"/>
      <c r="C50" s="10">
        <v>547880</v>
      </c>
      <c r="D50" s="10">
        <v>213</v>
      </c>
      <c r="E50" s="10">
        <v>442882</v>
      </c>
      <c r="F50" s="10">
        <v>1700</v>
      </c>
      <c r="G50" s="10">
        <f>SUM(C50:F50)</f>
        <v>992675</v>
      </c>
      <c r="H50" s="16">
        <f>ROUND(G50/3611,2)</f>
        <v>274.89999999999998</v>
      </c>
      <c r="I50" s="9"/>
      <c r="J50" s="9"/>
    </row>
    <row r="51" spans="1:10" x14ac:dyDescent="0.25">
      <c r="A51" s="22" t="s">
        <v>55</v>
      </c>
      <c r="B51" s="22"/>
      <c r="C51" s="10">
        <v>158710</v>
      </c>
      <c r="D51" s="10">
        <v>0</v>
      </c>
      <c r="E51" s="10">
        <v>79420</v>
      </c>
      <c r="F51" s="10">
        <v>13690</v>
      </c>
      <c r="G51" s="10">
        <f>SUM(C51:F51)</f>
        <v>251820</v>
      </c>
      <c r="H51" s="16">
        <f>ROUND(G51/3611,2)</f>
        <v>69.739999999999995</v>
      </c>
      <c r="I51" s="9"/>
      <c r="J51" s="9"/>
    </row>
    <row r="52" spans="1:10" x14ac:dyDescent="0.25">
      <c r="A52" s="22" t="s">
        <v>56</v>
      </c>
      <c r="B52" s="22"/>
      <c r="C52" s="10">
        <v>0</v>
      </c>
      <c r="D52" s="10">
        <v>0</v>
      </c>
      <c r="E52" s="10">
        <v>0</v>
      </c>
      <c r="F52" s="10">
        <v>0</v>
      </c>
      <c r="G52" s="10">
        <f>SUM(C52:F52)</f>
        <v>0</v>
      </c>
      <c r="H52" s="16">
        <f>ROUND(G52/3611,2)</f>
        <v>0</v>
      </c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7" t="s">
        <v>57</v>
      </c>
      <c r="B57" s="27"/>
      <c r="C57" s="14" t="s">
        <v>2</v>
      </c>
      <c r="D57" s="14">
        <v>2023</v>
      </c>
      <c r="E57" s="14" t="s">
        <v>59</v>
      </c>
      <c r="F57" s="13"/>
      <c r="G57" s="14" t="s">
        <v>60</v>
      </c>
      <c r="H57" s="14" t="s">
        <v>2</v>
      </c>
      <c r="I57" s="12" t="s">
        <v>61</v>
      </c>
      <c r="J57" s="12" t="s">
        <v>59</v>
      </c>
    </row>
    <row r="58" spans="1:10" x14ac:dyDescent="0.25">
      <c r="A58" s="22" t="s">
        <v>58</v>
      </c>
      <c r="B58" s="22"/>
      <c r="C58" s="15">
        <f>ROUND(0.8537, 4)</f>
        <v>0.85370000000000001</v>
      </c>
      <c r="D58" s="15">
        <f>ROUND(0.8455, 4)</f>
        <v>0.84550000000000003</v>
      </c>
      <c r="E58" s="15">
        <f>ROUND(0.777, 4)</f>
        <v>0.77700000000000002</v>
      </c>
      <c r="F58" s="8"/>
      <c r="G58" s="14" t="s">
        <v>62</v>
      </c>
      <c r="H58" s="28" t="s">
        <v>63</v>
      </c>
      <c r="I58" s="25" t="s">
        <v>64</v>
      </c>
      <c r="J58" s="25" t="s">
        <v>65</v>
      </c>
    </row>
    <row r="59" spans="1:10" x14ac:dyDescent="0.25">
      <c r="A59" s="22" t="s">
        <v>66</v>
      </c>
      <c r="B59" s="22"/>
      <c r="C59" s="15">
        <f>ROUND(0.8404, 4)</f>
        <v>0.84040000000000004</v>
      </c>
      <c r="D59" s="15">
        <f>ROUND(0.8324, 4)</f>
        <v>0.83240000000000003</v>
      </c>
      <c r="E59" s="15">
        <f>ROUND(0.7608, 4)</f>
        <v>0.76080000000000003</v>
      </c>
      <c r="F59" s="8"/>
      <c r="G59" s="14" t="s">
        <v>67</v>
      </c>
      <c r="H59" s="29"/>
      <c r="I59" s="26"/>
      <c r="J59" s="26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27" t="s">
        <v>68</v>
      </c>
      <c r="B63" s="27"/>
      <c r="C63" s="14" t="s">
        <v>2</v>
      </c>
      <c r="D63" s="14" t="s">
        <v>191</v>
      </c>
      <c r="E63" s="14" t="s">
        <v>70</v>
      </c>
      <c r="F63" s="14" t="s">
        <v>71</v>
      </c>
      <c r="G63" s="14" t="s">
        <v>72</v>
      </c>
      <c r="H63" s="13"/>
      <c r="I63" s="17"/>
      <c r="J63" s="17"/>
    </row>
    <row r="64" spans="1:10" x14ac:dyDescent="0.25">
      <c r="A64" s="22" t="s">
        <v>73</v>
      </c>
      <c r="B64" s="22"/>
      <c r="C64" s="16">
        <v>43.95</v>
      </c>
      <c r="D64" s="16">
        <v>43.39</v>
      </c>
      <c r="E64" s="16">
        <v>92.53</v>
      </c>
      <c r="F64" s="16">
        <v>56.06</v>
      </c>
      <c r="G64" s="16">
        <f>12/11*C64</f>
        <v>47.945454545454545</v>
      </c>
      <c r="H64" s="8"/>
      <c r="I64" s="9"/>
      <c r="J64" s="9"/>
    </row>
    <row r="65" spans="1:10" x14ac:dyDescent="0.25">
      <c r="A65" s="22" t="s">
        <v>74</v>
      </c>
      <c r="B65" s="22"/>
      <c r="C65" s="16">
        <v>50.83</v>
      </c>
      <c r="D65" s="16">
        <v>54.42</v>
      </c>
      <c r="E65" s="16">
        <v>61.98</v>
      </c>
      <c r="F65" s="16">
        <v>64.09</v>
      </c>
      <c r="G65" s="16">
        <f>12/11*C65</f>
        <v>55.450909090909086</v>
      </c>
      <c r="H65" s="8"/>
      <c r="I65" s="9"/>
      <c r="J65" s="9"/>
    </row>
    <row r="66" spans="1:10" x14ac:dyDescent="0.25">
      <c r="A66" s="22" t="s">
        <v>75</v>
      </c>
      <c r="B66" s="22"/>
      <c r="C66" s="16">
        <v>297.95999999999998</v>
      </c>
      <c r="D66" s="16">
        <v>278.47000000000003</v>
      </c>
      <c r="E66" s="16">
        <v>291.51</v>
      </c>
      <c r="F66" s="16">
        <v>284.45</v>
      </c>
      <c r="G66" s="16">
        <f>12/11*C66</f>
        <v>325.04727272727268</v>
      </c>
      <c r="H66" s="8"/>
      <c r="I66" s="9"/>
      <c r="J66" s="9"/>
    </row>
    <row r="67" spans="1:10" x14ac:dyDescent="0.25">
      <c r="A67" s="22" t="s">
        <v>76</v>
      </c>
      <c r="B67" s="22"/>
      <c r="C67" s="16">
        <v>69.739999999999995</v>
      </c>
      <c r="D67" s="16">
        <v>70.19</v>
      </c>
      <c r="E67" s="16">
        <v>116.46</v>
      </c>
      <c r="F67" s="16">
        <v>79.959999999999994</v>
      </c>
      <c r="G67" s="16">
        <f>12/11*C67</f>
        <v>76.079999999999984</v>
      </c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23" t="s">
        <v>60</v>
      </c>
      <c r="B70" s="24"/>
    </row>
    <row r="71" spans="1:10" x14ac:dyDescent="0.25">
      <c r="A71" s="3" t="s">
        <v>77</v>
      </c>
      <c r="B71" s="1" t="s">
        <v>192</v>
      </c>
    </row>
    <row r="72" spans="1:10" x14ac:dyDescent="0.25">
      <c r="A72" s="3" t="s">
        <v>70</v>
      </c>
      <c r="B72" s="1" t="s">
        <v>79</v>
      </c>
    </row>
    <row r="73" spans="1:10" x14ac:dyDescent="0.25">
      <c r="A73" s="3" t="s">
        <v>71</v>
      </c>
      <c r="B73" s="1" t="s">
        <v>80</v>
      </c>
    </row>
    <row r="74" spans="1:10" x14ac:dyDescent="0.25">
      <c r="A74" s="3" t="s">
        <v>72</v>
      </c>
      <c r="B74" s="1" t="s">
        <v>81</v>
      </c>
    </row>
  </sheetData>
  <mergeCells count="19">
    <mergeCell ref="C7:G7"/>
    <mergeCell ref="A43:B43"/>
    <mergeCell ref="A44:B44"/>
    <mergeCell ref="A49:B49"/>
    <mergeCell ref="A50:B50"/>
    <mergeCell ref="J58:J59"/>
    <mergeCell ref="A59:B59"/>
    <mergeCell ref="A63:B63"/>
    <mergeCell ref="A64:B64"/>
    <mergeCell ref="A51:B51"/>
    <mergeCell ref="A52:B52"/>
    <mergeCell ref="A57:B57"/>
    <mergeCell ref="A58:B58"/>
    <mergeCell ref="H58:H59"/>
    <mergeCell ref="A65:B65"/>
    <mergeCell ref="A66:B66"/>
    <mergeCell ref="A67:B67"/>
    <mergeCell ref="A70:B70"/>
    <mergeCell ref="I58:I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74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5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85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2036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91</v>
      </c>
      <c r="F9" s="10"/>
      <c r="G9" s="10">
        <f t="shared" ref="G9:G42" si="0">SUM(C9:F9)</f>
        <v>91</v>
      </c>
      <c r="H9" s="16">
        <f t="shared" ref="H9:H42" si="1">ROUND(G9/2036,2)</f>
        <v>0.04</v>
      </c>
      <c r="I9" s="15">
        <f t="shared" ref="I9:I42" si="2">ROUND(G9/$G$43,3)</f>
        <v>0</v>
      </c>
      <c r="J9" s="15">
        <f>ROUND(G9/45-1,2)</f>
        <v>1.02</v>
      </c>
    </row>
    <row r="10" spans="1:10" x14ac:dyDescent="0.25">
      <c r="A10" s="1" t="s">
        <v>16</v>
      </c>
      <c r="B10" s="1" t="s">
        <v>19</v>
      </c>
      <c r="C10" s="10">
        <v>53340</v>
      </c>
      <c r="D10" s="10"/>
      <c r="E10" s="10">
        <v>12038</v>
      </c>
      <c r="F10" s="10">
        <v>40</v>
      </c>
      <c r="G10" s="10">
        <f t="shared" si="0"/>
        <v>65418</v>
      </c>
      <c r="H10" s="16">
        <f t="shared" si="1"/>
        <v>32.130000000000003</v>
      </c>
      <c r="I10" s="15">
        <f t="shared" si="2"/>
        <v>8.6999999999999994E-2</v>
      </c>
      <c r="J10" s="15">
        <f>ROUND(G10/68370.67-1,2)</f>
        <v>-0.04</v>
      </c>
    </row>
    <row r="11" spans="1:10" x14ac:dyDescent="0.25">
      <c r="A11" s="1" t="s">
        <v>16</v>
      </c>
      <c r="B11" s="1" t="s">
        <v>20</v>
      </c>
      <c r="C11" s="10">
        <v>82310</v>
      </c>
      <c r="D11" s="10"/>
      <c r="E11" s="10">
        <v>2312</v>
      </c>
      <c r="F11" s="10"/>
      <c r="G11" s="10">
        <f t="shared" si="0"/>
        <v>84622</v>
      </c>
      <c r="H11" s="16">
        <f t="shared" si="1"/>
        <v>41.56</v>
      </c>
      <c r="I11" s="15">
        <f t="shared" si="2"/>
        <v>0.112</v>
      </c>
      <c r="J11" s="15">
        <f>ROUND(G11/87070-1,2)</f>
        <v>-0.03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197</v>
      </c>
      <c r="F12" s="10"/>
      <c r="G12" s="10">
        <f t="shared" si="0"/>
        <v>197</v>
      </c>
      <c r="H12" s="16">
        <f t="shared" si="1"/>
        <v>0.1</v>
      </c>
      <c r="I12" s="15">
        <f t="shared" si="2"/>
        <v>0</v>
      </c>
      <c r="J12" s="15">
        <f>ROUND(G12/431.66-1,2)</f>
        <v>-0.54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1901</v>
      </c>
      <c r="F13" s="10"/>
      <c r="G13" s="10">
        <f t="shared" si="0"/>
        <v>1901</v>
      </c>
      <c r="H13" s="16">
        <f t="shared" si="1"/>
        <v>0.93</v>
      </c>
      <c r="I13" s="15">
        <f t="shared" si="2"/>
        <v>3.0000000000000001E-3</v>
      </c>
      <c r="J13" s="15">
        <f>ROUND(G13/1937.5-1,2)</f>
        <v>-0.02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74977</v>
      </c>
      <c r="F14" s="10"/>
      <c r="G14" s="10">
        <f t="shared" si="0"/>
        <v>74977</v>
      </c>
      <c r="H14" s="16">
        <f t="shared" si="1"/>
        <v>36.83</v>
      </c>
      <c r="I14" s="15">
        <f t="shared" si="2"/>
        <v>9.9000000000000005E-2</v>
      </c>
      <c r="J14" s="15">
        <f>ROUND(G14/74364.48-1,2)</f>
        <v>0.01</v>
      </c>
    </row>
    <row r="15" spans="1:10" x14ac:dyDescent="0.25">
      <c r="A15" s="1" t="s">
        <v>16</v>
      </c>
      <c r="B15" s="1" t="s">
        <v>24</v>
      </c>
      <c r="C15" s="10">
        <v>54770</v>
      </c>
      <c r="D15" s="10"/>
      <c r="E15" s="10">
        <v>20177</v>
      </c>
      <c r="F15" s="10"/>
      <c r="G15" s="10">
        <f t="shared" si="0"/>
        <v>74947</v>
      </c>
      <c r="H15" s="16">
        <f t="shared" si="1"/>
        <v>36.81</v>
      </c>
      <c r="I15" s="15">
        <f t="shared" si="2"/>
        <v>9.9000000000000005E-2</v>
      </c>
      <c r="J15" s="15">
        <f>ROUND(G15/73402.02-1,2)</f>
        <v>0.02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4950</v>
      </c>
      <c r="F16" s="10"/>
      <c r="G16" s="10">
        <f t="shared" si="0"/>
        <v>4950</v>
      </c>
      <c r="H16" s="16">
        <f t="shared" si="1"/>
        <v>2.4300000000000002</v>
      </c>
      <c r="I16" s="15">
        <f t="shared" si="2"/>
        <v>7.0000000000000001E-3</v>
      </c>
      <c r="J16" s="15">
        <f>ROUND(G16/3770-1,2)</f>
        <v>0.31</v>
      </c>
    </row>
    <row r="17" spans="1:10" x14ac:dyDescent="0.25">
      <c r="A17" s="1" t="s">
        <v>16</v>
      </c>
      <c r="B17" s="1" t="s">
        <v>26</v>
      </c>
      <c r="C17" s="10">
        <v>78150</v>
      </c>
      <c r="D17" s="10"/>
      <c r="E17" s="10"/>
      <c r="F17" s="10">
        <v>60</v>
      </c>
      <c r="G17" s="10">
        <f t="shared" si="0"/>
        <v>78210</v>
      </c>
      <c r="H17" s="16">
        <f t="shared" si="1"/>
        <v>38.409999999999997</v>
      </c>
      <c r="I17" s="15">
        <f t="shared" si="2"/>
        <v>0.104</v>
      </c>
      <c r="J17" s="15">
        <f>ROUND(G17/63750-1,2)</f>
        <v>0.23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626</v>
      </c>
      <c r="F18" s="10"/>
      <c r="G18" s="10">
        <f t="shared" si="0"/>
        <v>626</v>
      </c>
      <c r="H18" s="16">
        <f t="shared" si="1"/>
        <v>0.31</v>
      </c>
      <c r="I18" s="15">
        <f t="shared" si="2"/>
        <v>1E-3</v>
      </c>
      <c r="J18" s="15">
        <f>ROUND(G18/1010-1,2)</f>
        <v>-0.38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403</v>
      </c>
      <c r="F19" s="10"/>
      <c r="G19" s="10">
        <f t="shared" si="0"/>
        <v>403</v>
      </c>
      <c r="H19" s="16">
        <f t="shared" si="1"/>
        <v>0.2</v>
      </c>
      <c r="I19" s="15">
        <f t="shared" si="2"/>
        <v>1E-3</v>
      </c>
      <c r="J19" s="15">
        <f>ROUND(G19/410-1,2)</f>
        <v>-0.02</v>
      </c>
    </row>
    <row r="20" spans="1:10" x14ac:dyDescent="0.25">
      <c r="A20" s="1" t="s">
        <v>16</v>
      </c>
      <c r="B20" s="1" t="s">
        <v>29</v>
      </c>
      <c r="C20" s="10"/>
      <c r="D20" s="10"/>
      <c r="E20" s="10">
        <v>554</v>
      </c>
      <c r="F20" s="10"/>
      <c r="G20" s="10">
        <f t="shared" si="0"/>
        <v>554</v>
      </c>
      <c r="H20" s="16">
        <f t="shared" si="1"/>
        <v>0.27</v>
      </c>
      <c r="I20" s="15">
        <f t="shared" si="2"/>
        <v>1E-3</v>
      </c>
      <c r="J20" s="15">
        <f>ROUND(G20/4334.55-1,2)</f>
        <v>-0.87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1037</v>
      </c>
      <c r="F21" s="10"/>
      <c r="G21" s="10">
        <f t="shared" si="0"/>
        <v>1037</v>
      </c>
      <c r="H21" s="16">
        <f t="shared" si="1"/>
        <v>0.51</v>
      </c>
      <c r="I21" s="15">
        <f t="shared" si="2"/>
        <v>1E-3</v>
      </c>
      <c r="J21" s="15">
        <f>ROUND(G21/770.64-1,2)</f>
        <v>0.35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1405</v>
      </c>
      <c r="F22" s="10"/>
      <c r="G22" s="10">
        <f t="shared" si="0"/>
        <v>1405</v>
      </c>
      <c r="H22" s="16">
        <f t="shared" si="1"/>
        <v>0.69</v>
      </c>
      <c r="I22" s="15">
        <f t="shared" si="2"/>
        <v>2E-3</v>
      </c>
      <c r="J22" s="15">
        <f>ROUND(G22/2177.97-1,2)</f>
        <v>-0.35</v>
      </c>
    </row>
    <row r="23" spans="1:10" x14ac:dyDescent="0.25">
      <c r="A23" s="1" t="s">
        <v>16</v>
      </c>
      <c r="B23" s="1" t="s">
        <v>33</v>
      </c>
      <c r="C23" s="10"/>
      <c r="D23" s="10"/>
      <c r="E23" s="10">
        <v>105</v>
      </c>
      <c r="F23" s="10"/>
      <c r="G23" s="10">
        <f t="shared" si="0"/>
        <v>105</v>
      </c>
      <c r="H23" s="16">
        <f t="shared" si="1"/>
        <v>0.05</v>
      </c>
      <c r="I23" s="15">
        <f t="shared" si="2"/>
        <v>0</v>
      </c>
      <c r="J23" s="15">
        <f>ROUND(G23/540-1,2)</f>
        <v>-0.81</v>
      </c>
    </row>
    <row r="24" spans="1:10" x14ac:dyDescent="0.25">
      <c r="A24" s="1" t="s">
        <v>16</v>
      </c>
      <c r="B24" s="1" t="s">
        <v>34</v>
      </c>
      <c r="C24" s="10"/>
      <c r="D24" s="10"/>
      <c r="E24" s="10">
        <v>48</v>
      </c>
      <c r="F24" s="10"/>
      <c r="G24" s="10">
        <f t="shared" si="0"/>
        <v>48</v>
      </c>
      <c r="H24" s="16">
        <f t="shared" si="1"/>
        <v>0.02</v>
      </c>
      <c r="I24" s="15">
        <f t="shared" si="2"/>
        <v>0</v>
      </c>
      <c r="J24" s="15">
        <f>ROUND(G24/610-1,2)</f>
        <v>-0.92</v>
      </c>
    </row>
    <row r="25" spans="1:10" x14ac:dyDescent="0.25">
      <c r="A25" s="1" t="s">
        <v>16</v>
      </c>
      <c r="B25" s="1" t="s">
        <v>35</v>
      </c>
      <c r="C25" s="10"/>
      <c r="D25" s="10"/>
      <c r="E25" s="10">
        <v>934</v>
      </c>
      <c r="F25" s="10"/>
      <c r="G25" s="10">
        <f t="shared" si="0"/>
        <v>934</v>
      </c>
      <c r="H25" s="16">
        <f t="shared" si="1"/>
        <v>0.46</v>
      </c>
      <c r="I25" s="15">
        <f t="shared" si="2"/>
        <v>1E-3</v>
      </c>
      <c r="J25" s="15">
        <f>ROUND(G25/725.25-1,2)</f>
        <v>0.28999999999999998</v>
      </c>
    </row>
    <row r="26" spans="1:10" x14ac:dyDescent="0.25">
      <c r="A26" s="1" t="s">
        <v>16</v>
      </c>
      <c r="B26" s="1" t="s">
        <v>37</v>
      </c>
      <c r="C26" s="10"/>
      <c r="D26" s="10"/>
      <c r="E26" s="10">
        <v>2479</v>
      </c>
      <c r="F26" s="10"/>
      <c r="G26" s="10">
        <f t="shared" si="0"/>
        <v>2479</v>
      </c>
      <c r="H26" s="16">
        <f t="shared" si="1"/>
        <v>1.22</v>
      </c>
      <c r="I26" s="15">
        <f t="shared" si="2"/>
        <v>3.0000000000000001E-3</v>
      </c>
      <c r="J26" s="15">
        <f>ROUND(G26/5099.69-1,2)</f>
        <v>-0.51</v>
      </c>
    </row>
    <row r="27" spans="1:10" x14ac:dyDescent="0.25">
      <c r="A27" s="1" t="s">
        <v>16</v>
      </c>
      <c r="B27" s="1" t="s">
        <v>38</v>
      </c>
      <c r="C27" s="10"/>
      <c r="D27" s="10"/>
      <c r="E27" s="10">
        <v>59791</v>
      </c>
      <c r="F27" s="10"/>
      <c r="G27" s="10">
        <f t="shared" si="0"/>
        <v>59791</v>
      </c>
      <c r="H27" s="16">
        <f t="shared" si="1"/>
        <v>29.37</v>
      </c>
      <c r="I27" s="15">
        <f t="shared" si="2"/>
        <v>7.9000000000000001E-2</v>
      </c>
      <c r="J27" s="15">
        <f>ROUND(G27/69911.34-1,2)</f>
        <v>-0.14000000000000001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19923</v>
      </c>
      <c r="F28" s="10"/>
      <c r="G28" s="10">
        <f t="shared" si="0"/>
        <v>19923</v>
      </c>
      <c r="H28" s="16">
        <f t="shared" si="1"/>
        <v>9.7899999999999991</v>
      </c>
      <c r="I28" s="15">
        <f t="shared" si="2"/>
        <v>2.5999999999999999E-2</v>
      </c>
      <c r="J28" s="15">
        <f>ROUND(G28/20970.79-1,2)</f>
        <v>-0.05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21640</v>
      </c>
      <c r="F29" s="10"/>
      <c r="G29" s="10">
        <f t="shared" si="0"/>
        <v>21640</v>
      </c>
      <c r="H29" s="16">
        <f t="shared" si="1"/>
        <v>10.63</v>
      </c>
      <c r="I29" s="15">
        <f t="shared" si="2"/>
        <v>2.9000000000000001E-2</v>
      </c>
      <c r="J29" s="15">
        <f>ROUND(G29/31157.95-1,2)</f>
        <v>-0.31</v>
      </c>
    </row>
    <row r="30" spans="1:10" x14ac:dyDescent="0.25">
      <c r="A30" s="1" t="s">
        <v>16</v>
      </c>
      <c r="B30" s="1" t="s">
        <v>42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ROUND(G30/88.23-1,2)</f>
        <v>-1</v>
      </c>
    </row>
    <row r="31" spans="1:10" x14ac:dyDescent="0.25">
      <c r="A31" s="1" t="s">
        <v>16</v>
      </c>
      <c r="B31" s="1" t="s">
        <v>36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ROUND(G31/2523.2-1,2)</f>
        <v>-1</v>
      </c>
    </row>
    <row r="32" spans="1:10" x14ac:dyDescent="0.25">
      <c r="A32" s="1" t="s">
        <v>16</v>
      </c>
      <c r="B32" s="1" t="s">
        <v>43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ROUND(G32/8830-1,2)</f>
        <v>-1</v>
      </c>
    </row>
    <row r="33" spans="1:10" x14ac:dyDescent="0.25">
      <c r="A33" s="1" t="s">
        <v>16</v>
      </c>
      <c r="B33" s="1" t="s">
        <v>18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ROUND(G33/640-1,2)</f>
        <v>-1</v>
      </c>
    </row>
    <row r="34" spans="1:10" x14ac:dyDescent="0.25">
      <c r="A34" s="1" t="s">
        <v>16</v>
      </c>
      <c r="B34" s="1" t="s">
        <v>31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16</v>
      </c>
      <c r="B35" s="1" t="s">
        <v>39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44</v>
      </c>
      <c r="B36" s="1" t="s">
        <v>45</v>
      </c>
      <c r="C36" s="10">
        <v>218810</v>
      </c>
      <c r="D36" s="10"/>
      <c r="E36" s="10"/>
      <c r="F36" s="10">
        <v>80</v>
      </c>
      <c r="G36" s="10">
        <f t="shared" si="0"/>
        <v>218890</v>
      </c>
      <c r="H36" s="16">
        <f t="shared" si="1"/>
        <v>107.51</v>
      </c>
      <c r="I36" s="15">
        <f t="shared" si="2"/>
        <v>0.28999999999999998</v>
      </c>
      <c r="J36" s="15">
        <f>ROUND(G36/237600-1,2)</f>
        <v>-0.08</v>
      </c>
    </row>
    <row r="37" spans="1:10" x14ac:dyDescent="0.25">
      <c r="A37" s="1" t="s">
        <v>44</v>
      </c>
      <c r="B37" s="1" t="s">
        <v>46</v>
      </c>
      <c r="C37" s="10"/>
      <c r="D37" s="10"/>
      <c r="E37" s="10">
        <v>41492</v>
      </c>
      <c r="F37" s="10"/>
      <c r="G37" s="10">
        <f t="shared" si="0"/>
        <v>41492</v>
      </c>
      <c r="H37" s="16">
        <f t="shared" si="1"/>
        <v>20.38</v>
      </c>
      <c r="I37" s="15">
        <f t="shared" si="2"/>
        <v>5.5E-2</v>
      </c>
      <c r="J37" s="15">
        <f>ROUND(G37/45193.69-1,2)</f>
        <v>-0.08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48</v>
      </c>
      <c r="B39" s="1" t="s">
        <v>49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ROUND(G39/13-1,2)</f>
        <v>-1</v>
      </c>
    </row>
    <row r="40" spans="1:10" x14ac:dyDescent="0.25">
      <c r="A40" s="1" t="s">
        <v>48</v>
      </c>
      <c r="B40" s="1" t="s">
        <v>86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ROUND(G40/160-1,2)</f>
        <v>-1</v>
      </c>
    </row>
    <row r="41" spans="1:10" x14ac:dyDescent="0.25">
      <c r="A41" s="1" t="s">
        <v>48</v>
      </c>
      <c r="B41" s="1" t="s">
        <v>50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ROUND(G41/60-1,2)</f>
        <v>-1</v>
      </c>
    </row>
    <row r="42" spans="1:10" x14ac:dyDescent="0.25">
      <c r="A42" s="1" t="s">
        <v>48</v>
      </c>
      <c r="B42" s="1" t="s">
        <v>51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27" t="s">
        <v>12</v>
      </c>
      <c r="B43" s="27"/>
      <c r="C43" s="11">
        <f t="shared" ref="C43:H43" si="3">SUM(C8:C42)</f>
        <v>487380</v>
      </c>
      <c r="D43" s="11">
        <f t="shared" si="3"/>
        <v>0</v>
      </c>
      <c r="E43" s="11">
        <f t="shared" si="3"/>
        <v>267080</v>
      </c>
      <c r="F43" s="11">
        <f t="shared" si="3"/>
        <v>180</v>
      </c>
      <c r="G43" s="11">
        <f t="shared" si="3"/>
        <v>754640</v>
      </c>
      <c r="H43" s="14">
        <f t="shared" si="3"/>
        <v>370.65000000000003</v>
      </c>
      <c r="I43" s="17"/>
      <c r="J43" s="17"/>
    </row>
    <row r="44" spans="1:10" x14ac:dyDescent="0.25">
      <c r="A44" s="27" t="s">
        <v>14</v>
      </c>
      <c r="B44" s="27"/>
      <c r="C44" s="12">
        <f>ROUND(C43/G43,2)</f>
        <v>0.65</v>
      </c>
      <c r="D44" s="12">
        <f>ROUND(D43/G43,2)</f>
        <v>0</v>
      </c>
      <c r="E44" s="12">
        <f>ROUND(E43/G43,2)</f>
        <v>0.35</v>
      </c>
      <c r="F44" s="12">
        <f>ROUND(F43/G43,2)</f>
        <v>0</v>
      </c>
      <c r="G44" s="13"/>
      <c r="H44" s="13"/>
      <c r="I44" s="17"/>
      <c r="J44" s="17"/>
    </row>
    <row r="45" spans="1:10" x14ac:dyDescent="0.25">
      <c r="A45" s="2" t="s">
        <v>52</v>
      </c>
      <c r="B45" s="2"/>
      <c r="C45" s="13"/>
      <c r="D45" s="13"/>
      <c r="E45" s="13"/>
      <c r="F45" s="13"/>
      <c r="G45" s="13"/>
      <c r="H45" s="13"/>
      <c r="I45" s="17"/>
      <c r="J45" s="17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A49" s="27" t="s">
        <v>53</v>
      </c>
      <c r="B49" s="27"/>
      <c r="C49" s="11" t="s">
        <v>8</v>
      </c>
      <c r="D49" s="11" t="s">
        <v>9</v>
      </c>
      <c r="E49" s="11" t="s">
        <v>10</v>
      </c>
      <c r="F49" s="11" t="s">
        <v>11</v>
      </c>
      <c r="G49" s="11" t="s">
        <v>12</v>
      </c>
      <c r="H49" s="14" t="s">
        <v>13</v>
      </c>
      <c r="I49" s="17"/>
      <c r="J49" s="17"/>
    </row>
    <row r="50" spans="1:10" x14ac:dyDescent="0.25">
      <c r="A50" s="22" t="s">
        <v>54</v>
      </c>
      <c r="B50" s="22"/>
      <c r="C50" s="10">
        <v>268570</v>
      </c>
      <c r="D50" s="10">
        <v>0</v>
      </c>
      <c r="E50" s="10">
        <v>225588</v>
      </c>
      <c r="F50" s="10">
        <v>100</v>
      </c>
      <c r="G50" s="10">
        <f>SUM(C50:F50)</f>
        <v>494258</v>
      </c>
      <c r="H50" s="16">
        <f>ROUND(G50/2036,2)</f>
        <v>242.76</v>
      </c>
      <c r="I50" s="9"/>
      <c r="J50" s="9"/>
    </row>
    <row r="51" spans="1:10" x14ac:dyDescent="0.25">
      <c r="A51" s="22" t="s">
        <v>55</v>
      </c>
      <c r="B51" s="22"/>
      <c r="C51" s="10">
        <v>218810</v>
      </c>
      <c r="D51" s="10">
        <v>0</v>
      </c>
      <c r="E51" s="10">
        <v>41492</v>
      </c>
      <c r="F51" s="10">
        <v>80</v>
      </c>
      <c r="G51" s="10">
        <f>SUM(C51:F51)</f>
        <v>260382</v>
      </c>
      <c r="H51" s="16">
        <f>ROUND(G51/2036,2)</f>
        <v>127.89</v>
      </c>
      <c r="I51" s="9"/>
      <c r="J51" s="9"/>
    </row>
    <row r="52" spans="1:10" x14ac:dyDescent="0.25">
      <c r="A52" s="22" t="s">
        <v>56</v>
      </c>
      <c r="B52" s="22"/>
      <c r="C52" s="10">
        <v>0</v>
      </c>
      <c r="D52" s="10">
        <v>0</v>
      </c>
      <c r="E52" s="10">
        <v>0</v>
      </c>
      <c r="F52" s="10">
        <v>0</v>
      </c>
      <c r="G52" s="10">
        <f>SUM(C52:F52)</f>
        <v>0</v>
      </c>
      <c r="H52" s="16">
        <f>ROUND(G52/2036,2)</f>
        <v>0</v>
      </c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7" t="s">
        <v>57</v>
      </c>
      <c r="B57" s="27"/>
      <c r="C57" s="14" t="s">
        <v>2</v>
      </c>
      <c r="D57" s="14">
        <v>2023</v>
      </c>
      <c r="E57" s="14" t="s">
        <v>59</v>
      </c>
      <c r="F57" s="13"/>
      <c r="G57" s="14" t="s">
        <v>60</v>
      </c>
      <c r="H57" s="14" t="s">
        <v>2</v>
      </c>
      <c r="I57" s="12" t="s">
        <v>61</v>
      </c>
      <c r="J57" s="12" t="s">
        <v>59</v>
      </c>
    </row>
    <row r="58" spans="1:10" x14ac:dyDescent="0.25">
      <c r="A58" s="22" t="s">
        <v>58</v>
      </c>
      <c r="B58" s="22"/>
      <c r="C58" s="15">
        <f>ROUND(0.6753, 4)</f>
        <v>0.67530000000000001</v>
      </c>
      <c r="D58" s="15">
        <f>ROUND(0.6592, 4)</f>
        <v>0.65920000000000001</v>
      </c>
      <c r="E58" s="15">
        <f>ROUND(0.777, 4)</f>
        <v>0.77700000000000002</v>
      </c>
      <c r="F58" s="8"/>
      <c r="G58" s="14" t="s">
        <v>62</v>
      </c>
      <c r="H58" s="28" t="s">
        <v>63</v>
      </c>
      <c r="I58" s="25" t="s">
        <v>64</v>
      </c>
      <c r="J58" s="25" t="s">
        <v>65</v>
      </c>
    </row>
    <row r="59" spans="1:10" x14ac:dyDescent="0.25">
      <c r="A59" s="22" t="s">
        <v>66</v>
      </c>
      <c r="B59" s="22"/>
      <c r="C59" s="15">
        <f>ROUND(0.6394, 4)</f>
        <v>0.63939999999999997</v>
      </c>
      <c r="D59" s="15">
        <f>ROUND(0.6252, 4)</f>
        <v>0.62519999999999998</v>
      </c>
      <c r="E59" s="15">
        <f>ROUND(0.7608, 4)</f>
        <v>0.76080000000000003</v>
      </c>
      <c r="F59" s="8"/>
      <c r="G59" s="14" t="s">
        <v>67</v>
      </c>
      <c r="H59" s="29"/>
      <c r="I59" s="26"/>
      <c r="J59" s="26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27" t="s">
        <v>68</v>
      </c>
      <c r="B63" s="27"/>
      <c r="C63" s="14" t="s">
        <v>2</v>
      </c>
      <c r="D63" s="14" t="s">
        <v>87</v>
      </c>
      <c r="E63" s="14" t="s">
        <v>70</v>
      </c>
      <c r="F63" s="14" t="s">
        <v>71</v>
      </c>
      <c r="G63" s="14" t="s">
        <v>72</v>
      </c>
      <c r="H63" s="13"/>
      <c r="I63" s="17"/>
      <c r="J63" s="17"/>
    </row>
    <row r="64" spans="1:10" x14ac:dyDescent="0.25">
      <c r="A64" s="22" t="s">
        <v>73</v>
      </c>
      <c r="B64" s="22"/>
      <c r="C64" s="16">
        <v>107.51</v>
      </c>
      <c r="D64" s="16">
        <v>96.31</v>
      </c>
      <c r="E64" s="16">
        <v>92.53</v>
      </c>
      <c r="F64" s="16">
        <v>56.06</v>
      </c>
      <c r="G64" s="16">
        <f>12/11*C64</f>
        <v>117.28363636363636</v>
      </c>
      <c r="H64" s="8"/>
      <c r="I64" s="9"/>
      <c r="J64" s="9"/>
    </row>
    <row r="65" spans="1:10" x14ac:dyDescent="0.25">
      <c r="A65" s="22" t="s">
        <v>74</v>
      </c>
      <c r="B65" s="22"/>
      <c r="C65" s="16">
        <v>38.409999999999997</v>
      </c>
      <c r="D65" s="16">
        <v>44.98</v>
      </c>
      <c r="E65" s="16">
        <v>61.98</v>
      </c>
      <c r="F65" s="16">
        <v>64.09</v>
      </c>
      <c r="G65" s="16">
        <f>12/11*C65</f>
        <v>41.901818181818172</v>
      </c>
      <c r="H65" s="8"/>
      <c r="I65" s="9"/>
      <c r="J65" s="9"/>
    </row>
    <row r="66" spans="1:10" x14ac:dyDescent="0.25">
      <c r="A66" s="22" t="s">
        <v>75</v>
      </c>
      <c r="B66" s="22"/>
      <c r="C66" s="16">
        <v>242.76</v>
      </c>
      <c r="D66" s="16">
        <v>267.64</v>
      </c>
      <c r="E66" s="16">
        <v>291.51</v>
      </c>
      <c r="F66" s="16">
        <v>284.45</v>
      </c>
      <c r="G66" s="16">
        <f>12/11*C66</f>
        <v>264.82909090909089</v>
      </c>
      <c r="H66" s="8"/>
      <c r="I66" s="9"/>
      <c r="J66" s="9"/>
    </row>
    <row r="67" spans="1:10" x14ac:dyDescent="0.25">
      <c r="A67" s="22" t="s">
        <v>76</v>
      </c>
      <c r="B67" s="22"/>
      <c r="C67" s="16">
        <v>127.89</v>
      </c>
      <c r="D67" s="16">
        <v>120.05</v>
      </c>
      <c r="E67" s="16">
        <v>116.46</v>
      </c>
      <c r="F67" s="16">
        <v>79.959999999999994</v>
      </c>
      <c r="G67" s="16">
        <f>12/11*C67</f>
        <v>139.51636363636362</v>
      </c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23" t="s">
        <v>60</v>
      </c>
      <c r="B70" s="24"/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77</v>
      </c>
      <c r="B71" s="1" t="s">
        <v>88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70</v>
      </c>
      <c r="B72" s="1" t="s">
        <v>79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71</v>
      </c>
      <c r="B73" s="1" t="s">
        <v>80</v>
      </c>
      <c r="C73" s="8"/>
      <c r="D73" s="8"/>
      <c r="E73" s="8"/>
      <c r="F73" s="8"/>
      <c r="G73" s="8"/>
      <c r="H73" s="8"/>
      <c r="I73" s="9"/>
      <c r="J73" s="9"/>
    </row>
    <row r="74" spans="1:10" x14ac:dyDescent="0.25">
      <c r="A74" s="3" t="s">
        <v>72</v>
      </c>
      <c r="B74" s="1" t="s">
        <v>81</v>
      </c>
    </row>
  </sheetData>
  <mergeCells count="19">
    <mergeCell ref="C7:G7"/>
    <mergeCell ref="A43:B43"/>
    <mergeCell ref="A44:B44"/>
    <mergeCell ref="A49:B49"/>
    <mergeCell ref="A50:B50"/>
    <mergeCell ref="J58:J59"/>
    <mergeCell ref="A59:B59"/>
    <mergeCell ref="A63:B63"/>
    <mergeCell ref="A64:B64"/>
    <mergeCell ref="A51:B51"/>
    <mergeCell ref="A52:B52"/>
    <mergeCell ref="A57:B57"/>
    <mergeCell ref="A58:B58"/>
    <mergeCell ref="H58:H59"/>
    <mergeCell ref="A65:B65"/>
    <mergeCell ref="A66:B66"/>
    <mergeCell ref="A67:B67"/>
    <mergeCell ref="A70:B70"/>
    <mergeCell ref="I58:I5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J72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193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600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>
        <v>19560</v>
      </c>
      <c r="D9" s="10"/>
      <c r="E9" s="10"/>
      <c r="F9" s="10"/>
      <c r="G9" s="10">
        <f t="shared" ref="G9:G37" si="0">SUM(C9:F9)</f>
        <v>19560</v>
      </c>
      <c r="H9" s="16">
        <f t="shared" ref="H9:H37" si="1">ROUND(G9/600,2)</f>
        <v>32.6</v>
      </c>
      <c r="I9" s="15">
        <f t="shared" ref="I9:I37" si="2">ROUND(G9/$G$38,3)</f>
        <v>9.5000000000000001E-2</v>
      </c>
      <c r="J9" s="15">
        <f>ROUND(G9/17470-1,2)</f>
        <v>0.12</v>
      </c>
    </row>
    <row r="10" spans="1:10" x14ac:dyDescent="0.25">
      <c r="A10" s="1" t="s">
        <v>16</v>
      </c>
      <c r="B10" s="1" t="s">
        <v>20</v>
      </c>
      <c r="C10" s="10">
        <v>27490</v>
      </c>
      <c r="D10" s="10"/>
      <c r="E10" s="10"/>
      <c r="F10" s="10"/>
      <c r="G10" s="10">
        <f t="shared" si="0"/>
        <v>27490</v>
      </c>
      <c r="H10" s="16">
        <f t="shared" si="1"/>
        <v>45.82</v>
      </c>
      <c r="I10" s="15">
        <f t="shared" si="2"/>
        <v>0.13300000000000001</v>
      </c>
      <c r="J10" s="15">
        <f>ROUND(G10/32150-1,2)</f>
        <v>-0.14000000000000001</v>
      </c>
    </row>
    <row r="11" spans="1:10" x14ac:dyDescent="0.25">
      <c r="A11" s="1" t="s">
        <v>16</v>
      </c>
      <c r="B11" s="1" t="s">
        <v>21</v>
      </c>
      <c r="C11" s="10"/>
      <c r="D11" s="10"/>
      <c r="E11" s="10">
        <v>60</v>
      </c>
      <c r="F11" s="10"/>
      <c r="G11" s="10">
        <f t="shared" si="0"/>
        <v>60</v>
      </c>
      <c r="H11" s="16">
        <f t="shared" si="1"/>
        <v>0.1</v>
      </c>
      <c r="I11" s="15">
        <f t="shared" si="2"/>
        <v>0</v>
      </c>
      <c r="J11" s="15">
        <f>ROUND(G11/91-1,2)</f>
        <v>-0.34</v>
      </c>
    </row>
    <row r="12" spans="1:10" x14ac:dyDescent="0.25">
      <c r="A12" s="1" t="s">
        <v>16</v>
      </c>
      <c r="B12" s="1" t="s">
        <v>23</v>
      </c>
      <c r="C12" s="10"/>
      <c r="D12" s="10"/>
      <c r="E12" s="10">
        <v>14460</v>
      </c>
      <c r="F12" s="10"/>
      <c r="G12" s="10">
        <f t="shared" si="0"/>
        <v>14460</v>
      </c>
      <c r="H12" s="16">
        <f t="shared" si="1"/>
        <v>24.1</v>
      </c>
      <c r="I12" s="15">
        <f t="shared" si="2"/>
        <v>7.0000000000000007E-2</v>
      </c>
      <c r="J12" s="15">
        <f>ROUND(G12/17060-1,2)</f>
        <v>-0.15</v>
      </c>
    </row>
    <row r="13" spans="1:10" x14ac:dyDescent="0.25">
      <c r="A13" s="1" t="s">
        <v>16</v>
      </c>
      <c r="B13" s="1" t="s">
        <v>24</v>
      </c>
      <c r="C13" s="10">
        <v>22540</v>
      </c>
      <c r="D13" s="10"/>
      <c r="E13" s="10"/>
      <c r="F13" s="10"/>
      <c r="G13" s="10">
        <f t="shared" si="0"/>
        <v>22540</v>
      </c>
      <c r="H13" s="16">
        <f t="shared" si="1"/>
        <v>37.57</v>
      </c>
      <c r="I13" s="15">
        <f t="shared" si="2"/>
        <v>0.109</v>
      </c>
      <c r="J13" s="15">
        <f>ROUND(G13/21880-1,2)</f>
        <v>0.03</v>
      </c>
    </row>
    <row r="14" spans="1:10" x14ac:dyDescent="0.25">
      <c r="A14" s="1" t="s">
        <v>16</v>
      </c>
      <c r="B14" s="1" t="s">
        <v>25</v>
      </c>
      <c r="C14" s="10"/>
      <c r="D14" s="10"/>
      <c r="E14" s="10">
        <v>950</v>
      </c>
      <c r="F14" s="10"/>
      <c r="G14" s="10">
        <f t="shared" si="0"/>
        <v>950</v>
      </c>
      <c r="H14" s="16">
        <f t="shared" si="1"/>
        <v>1.58</v>
      </c>
      <c r="I14" s="15">
        <f t="shared" si="2"/>
        <v>5.0000000000000001E-3</v>
      </c>
      <c r="J14" s="15">
        <f>ROUND(G14/1550-1,2)</f>
        <v>-0.39</v>
      </c>
    </row>
    <row r="15" spans="1:10" x14ac:dyDescent="0.25">
      <c r="A15" s="1" t="s">
        <v>16</v>
      </c>
      <c r="B15" s="1" t="s">
        <v>26</v>
      </c>
      <c r="C15" s="10">
        <v>23960</v>
      </c>
      <c r="D15" s="10"/>
      <c r="E15" s="10"/>
      <c r="F15" s="10"/>
      <c r="G15" s="10">
        <f t="shared" si="0"/>
        <v>23960</v>
      </c>
      <c r="H15" s="16">
        <f t="shared" si="1"/>
        <v>39.93</v>
      </c>
      <c r="I15" s="15">
        <f t="shared" si="2"/>
        <v>0.11600000000000001</v>
      </c>
      <c r="J15" s="15">
        <f>ROUND(G15/23940-1,2)</f>
        <v>0</v>
      </c>
    </row>
    <row r="16" spans="1:10" x14ac:dyDescent="0.25">
      <c r="A16" s="1" t="s">
        <v>16</v>
      </c>
      <c r="B16" s="1" t="s">
        <v>27</v>
      </c>
      <c r="C16" s="10"/>
      <c r="D16" s="10"/>
      <c r="E16" s="10">
        <v>779</v>
      </c>
      <c r="F16" s="10"/>
      <c r="G16" s="10">
        <f t="shared" si="0"/>
        <v>779</v>
      </c>
      <c r="H16" s="16">
        <f t="shared" si="1"/>
        <v>1.3</v>
      </c>
      <c r="I16" s="15">
        <f t="shared" si="2"/>
        <v>4.0000000000000001E-3</v>
      </c>
      <c r="J16" s="15">
        <f>ROUND(G16/1113-1,2)</f>
        <v>-0.3</v>
      </c>
    </row>
    <row r="17" spans="1:10" x14ac:dyDescent="0.25">
      <c r="A17" s="1" t="s">
        <v>16</v>
      </c>
      <c r="B17" s="1" t="s">
        <v>28</v>
      </c>
      <c r="C17" s="10"/>
      <c r="D17" s="10"/>
      <c r="E17" s="10">
        <v>275</v>
      </c>
      <c r="F17" s="10"/>
      <c r="G17" s="10">
        <f t="shared" si="0"/>
        <v>275</v>
      </c>
      <c r="H17" s="16">
        <f t="shared" si="1"/>
        <v>0.46</v>
      </c>
      <c r="I17" s="15">
        <f t="shared" si="2"/>
        <v>1E-3</v>
      </c>
      <c r="J17" s="15">
        <f>ROUND(G17/410-1,2)</f>
        <v>-0.33</v>
      </c>
    </row>
    <row r="18" spans="1:10" x14ac:dyDescent="0.25">
      <c r="A18" s="1" t="s">
        <v>16</v>
      </c>
      <c r="B18" s="1" t="s">
        <v>29</v>
      </c>
      <c r="C18" s="10"/>
      <c r="D18" s="10"/>
      <c r="E18" s="10">
        <v>1030</v>
      </c>
      <c r="F18" s="10"/>
      <c r="G18" s="10">
        <f t="shared" si="0"/>
        <v>1030</v>
      </c>
      <c r="H18" s="16">
        <f t="shared" si="1"/>
        <v>1.72</v>
      </c>
      <c r="I18" s="15">
        <f t="shared" si="2"/>
        <v>5.0000000000000001E-3</v>
      </c>
      <c r="J18" s="15">
        <f>ROUND(G18/1680-1,2)</f>
        <v>-0.39</v>
      </c>
    </row>
    <row r="19" spans="1:10" x14ac:dyDescent="0.25">
      <c r="A19" s="1" t="s">
        <v>16</v>
      </c>
      <c r="B19" s="1" t="s">
        <v>30</v>
      </c>
      <c r="C19" s="10"/>
      <c r="D19" s="10"/>
      <c r="E19" s="10">
        <v>200</v>
      </c>
      <c r="F19" s="10"/>
      <c r="G19" s="10">
        <f t="shared" si="0"/>
        <v>200</v>
      </c>
      <c r="H19" s="16">
        <f t="shared" si="1"/>
        <v>0.33</v>
      </c>
      <c r="I19" s="15">
        <f t="shared" si="2"/>
        <v>1E-3</v>
      </c>
      <c r="J19" s="15">
        <f>ROUND(G19/180-1,2)</f>
        <v>0.11</v>
      </c>
    </row>
    <row r="20" spans="1:10" x14ac:dyDescent="0.25">
      <c r="A20" s="1" t="s">
        <v>16</v>
      </c>
      <c r="B20" s="1" t="s">
        <v>32</v>
      </c>
      <c r="C20" s="10"/>
      <c r="D20" s="10"/>
      <c r="E20" s="10">
        <v>600</v>
      </c>
      <c r="F20" s="10"/>
      <c r="G20" s="10">
        <f t="shared" si="0"/>
        <v>600</v>
      </c>
      <c r="H20" s="16">
        <f t="shared" si="1"/>
        <v>1</v>
      </c>
      <c r="I20" s="15">
        <f t="shared" si="2"/>
        <v>3.0000000000000001E-3</v>
      </c>
      <c r="J20" s="15">
        <f>ROUND(G20/845-1,2)</f>
        <v>-0.28999999999999998</v>
      </c>
    </row>
    <row r="21" spans="1:10" x14ac:dyDescent="0.25">
      <c r="A21" s="1" t="s">
        <v>16</v>
      </c>
      <c r="B21" s="1" t="s">
        <v>33</v>
      </c>
      <c r="C21" s="10"/>
      <c r="D21" s="10">
        <v>52</v>
      </c>
      <c r="E21" s="10">
        <v>15</v>
      </c>
      <c r="F21" s="10"/>
      <c r="G21" s="10">
        <f t="shared" si="0"/>
        <v>67</v>
      </c>
      <c r="H21" s="16">
        <f t="shared" si="1"/>
        <v>0.11</v>
      </c>
      <c r="I21" s="15">
        <f t="shared" si="2"/>
        <v>0</v>
      </c>
      <c r="J21" s="15">
        <f>ROUND(G21/73-1,2)</f>
        <v>-0.08</v>
      </c>
    </row>
    <row r="22" spans="1:10" x14ac:dyDescent="0.25">
      <c r="A22" s="1" t="s">
        <v>16</v>
      </c>
      <c r="B22" s="1" t="s">
        <v>35</v>
      </c>
      <c r="C22" s="10"/>
      <c r="D22" s="10"/>
      <c r="E22" s="10">
        <v>160</v>
      </c>
      <c r="F22" s="10"/>
      <c r="G22" s="10">
        <f t="shared" si="0"/>
        <v>160</v>
      </c>
      <c r="H22" s="16">
        <f t="shared" si="1"/>
        <v>0.27</v>
      </c>
      <c r="I22" s="15">
        <f t="shared" si="2"/>
        <v>1E-3</v>
      </c>
      <c r="J22" s="15"/>
    </row>
    <row r="23" spans="1:10" x14ac:dyDescent="0.25">
      <c r="A23" s="1" t="s">
        <v>16</v>
      </c>
      <c r="B23" s="1" t="s">
        <v>37</v>
      </c>
      <c r="C23" s="10"/>
      <c r="D23" s="10"/>
      <c r="E23" s="10">
        <v>750</v>
      </c>
      <c r="F23" s="10"/>
      <c r="G23" s="10">
        <f t="shared" si="0"/>
        <v>750</v>
      </c>
      <c r="H23" s="16">
        <f t="shared" si="1"/>
        <v>1.25</v>
      </c>
      <c r="I23" s="15">
        <f t="shared" si="2"/>
        <v>4.0000000000000001E-3</v>
      </c>
      <c r="J23" s="15">
        <f>ROUND(G23/2440-1,2)</f>
        <v>-0.69</v>
      </c>
    </row>
    <row r="24" spans="1:10" x14ac:dyDescent="0.25">
      <c r="A24" s="1" t="s">
        <v>16</v>
      </c>
      <c r="B24" s="1" t="s">
        <v>38</v>
      </c>
      <c r="C24" s="10"/>
      <c r="D24" s="10"/>
      <c r="E24" s="10">
        <v>21360</v>
      </c>
      <c r="F24" s="10"/>
      <c r="G24" s="10">
        <f t="shared" si="0"/>
        <v>21360</v>
      </c>
      <c r="H24" s="16">
        <f t="shared" si="1"/>
        <v>35.6</v>
      </c>
      <c r="I24" s="15">
        <f t="shared" si="2"/>
        <v>0.10299999999999999</v>
      </c>
      <c r="J24" s="15">
        <f>ROUND(G24/16960-1,2)</f>
        <v>0.26</v>
      </c>
    </row>
    <row r="25" spans="1:10" x14ac:dyDescent="0.25">
      <c r="A25" s="1" t="s">
        <v>16</v>
      </c>
      <c r="B25" s="1" t="s">
        <v>39</v>
      </c>
      <c r="C25" s="10"/>
      <c r="D25" s="10"/>
      <c r="E25" s="10">
        <v>1910</v>
      </c>
      <c r="F25" s="10"/>
      <c r="G25" s="10">
        <f t="shared" si="0"/>
        <v>1910</v>
      </c>
      <c r="H25" s="16">
        <f t="shared" si="1"/>
        <v>3.18</v>
      </c>
      <c r="I25" s="15">
        <f t="shared" si="2"/>
        <v>8.9999999999999993E-3</v>
      </c>
      <c r="J25" s="15">
        <f>ROUND(G25/3970-1,2)</f>
        <v>-0.52</v>
      </c>
    </row>
    <row r="26" spans="1:10" x14ac:dyDescent="0.25">
      <c r="A26" s="1" t="s">
        <v>16</v>
      </c>
      <c r="B26" s="1" t="s">
        <v>40</v>
      </c>
      <c r="C26" s="10"/>
      <c r="D26" s="10"/>
      <c r="E26" s="10">
        <v>6940</v>
      </c>
      <c r="F26" s="10"/>
      <c r="G26" s="10">
        <f t="shared" si="0"/>
        <v>6940</v>
      </c>
      <c r="H26" s="16">
        <f t="shared" si="1"/>
        <v>11.57</v>
      </c>
      <c r="I26" s="15">
        <f t="shared" si="2"/>
        <v>3.4000000000000002E-2</v>
      </c>
      <c r="J26" s="15">
        <f>ROUND(G26/7810-1,2)</f>
        <v>-0.11</v>
      </c>
    </row>
    <row r="27" spans="1:10" x14ac:dyDescent="0.25">
      <c r="A27" s="1" t="s">
        <v>16</v>
      </c>
      <c r="B27" s="1" t="s">
        <v>36</v>
      </c>
      <c r="C27" s="10"/>
      <c r="D27" s="10"/>
      <c r="E27" s="10"/>
      <c r="F27" s="10"/>
      <c r="G27" s="10">
        <f t="shared" si="0"/>
        <v>0</v>
      </c>
      <c r="H27" s="16">
        <f t="shared" si="1"/>
        <v>0</v>
      </c>
      <c r="I27" s="15">
        <f t="shared" si="2"/>
        <v>0</v>
      </c>
      <c r="J27" s="15">
        <f>ROUND(G27/900-1,2)</f>
        <v>-1</v>
      </c>
    </row>
    <row r="28" spans="1:10" x14ac:dyDescent="0.25">
      <c r="A28" s="1" t="s">
        <v>16</v>
      </c>
      <c r="B28" s="1" t="s">
        <v>43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ROUND(G28/1430-1,2)</f>
        <v>-1</v>
      </c>
    </row>
    <row r="29" spans="1:10" x14ac:dyDescent="0.25">
      <c r="A29" s="1" t="s">
        <v>16</v>
      </c>
      <c r="B29" s="1" t="s">
        <v>42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/>
    </row>
    <row r="30" spans="1:10" x14ac:dyDescent="0.25">
      <c r="A30" s="1" t="s">
        <v>16</v>
      </c>
      <c r="B30" s="1" t="s">
        <v>95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/>
    </row>
    <row r="31" spans="1:10" x14ac:dyDescent="0.25">
      <c r="A31" s="1" t="s">
        <v>16</v>
      </c>
      <c r="B31" s="1" t="s">
        <v>34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ROUND(G31/990-1,2)</f>
        <v>-1</v>
      </c>
    </row>
    <row r="32" spans="1:10" x14ac:dyDescent="0.25">
      <c r="A32" s="1" t="s">
        <v>16</v>
      </c>
      <c r="B32" s="1" t="s">
        <v>22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ROUND(G32/800-1,2)</f>
        <v>-1</v>
      </c>
    </row>
    <row r="33" spans="1:10" x14ac:dyDescent="0.25">
      <c r="A33" s="1" t="s">
        <v>16</v>
      </c>
      <c r="B33" s="1" t="s">
        <v>194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98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ROUND(G34/16-1,2)</f>
        <v>-1</v>
      </c>
    </row>
    <row r="35" spans="1:10" x14ac:dyDescent="0.25">
      <c r="A35" s="1" t="s">
        <v>44</v>
      </c>
      <c r="B35" s="1" t="s">
        <v>45</v>
      </c>
      <c r="C35" s="10">
        <v>49570</v>
      </c>
      <c r="D35" s="10"/>
      <c r="E35" s="10"/>
      <c r="F35" s="10"/>
      <c r="G35" s="10">
        <f t="shared" si="0"/>
        <v>49570</v>
      </c>
      <c r="H35" s="16">
        <f t="shared" si="1"/>
        <v>82.62</v>
      </c>
      <c r="I35" s="15">
        <f t="shared" si="2"/>
        <v>0.24</v>
      </c>
      <c r="J35" s="15">
        <f>ROUND(G35/49385-1,2)</f>
        <v>0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13780</v>
      </c>
      <c r="F36" s="10"/>
      <c r="G36" s="10">
        <f t="shared" si="0"/>
        <v>13780</v>
      </c>
      <c r="H36" s="16">
        <f t="shared" si="1"/>
        <v>22.97</v>
      </c>
      <c r="I36" s="15">
        <f t="shared" si="2"/>
        <v>6.7000000000000004E-2</v>
      </c>
      <c r="J36" s="15">
        <f>ROUND(G36/9020-1,2)</f>
        <v>0.53</v>
      </c>
    </row>
    <row r="37" spans="1:10" x14ac:dyDescent="0.25">
      <c r="A37" s="1" t="s">
        <v>48</v>
      </c>
      <c r="B37" s="1" t="s">
        <v>51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27" t="s">
        <v>12</v>
      </c>
      <c r="B38" s="27"/>
      <c r="C38" s="11">
        <f t="shared" ref="C38:H38" si="3">SUM(C8:C37)</f>
        <v>143120</v>
      </c>
      <c r="D38" s="11">
        <f t="shared" si="3"/>
        <v>52</v>
      </c>
      <c r="E38" s="11">
        <f t="shared" si="3"/>
        <v>63269</v>
      </c>
      <c r="F38" s="11">
        <f t="shared" si="3"/>
        <v>0</v>
      </c>
      <c r="G38" s="11">
        <f t="shared" si="3"/>
        <v>206441</v>
      </c>
      <c r="H38" s="14">
        <f t="shared" si="3"/>
        <v>344.08000000000004</v>
      </c>
      <c r="I38" s="17"/>
      <c r="J38" s="17"/>
    </row>
    <row r="39" spans="1:10" x14ac:dyDescent="0.25">
      <c r="A39" s="27" t="s">
        <v>14</v>
      </c>
      <c r="B39" s="27"/>
      <c r="C39" s="12">
        <f>ROUND(C38/G38,2)</f>
        <v>0.69</v>
      </c>
      <c r="D39" s="12">
        <f>ROUND(D38/G38,2)</f>
        <v>0</v>
      </c>
      <c r="E39" s="12">
        <f>ROUND(E38/G38,2)</f>
        <v>0.31</v>
      </c>
      <c r="F39" s="12">
        <f>ROUND(F38/G38,2)</f>
        <v>0</v>
      </c>
      <c r="G39" s="13"/>
      <c r="H39" s="13"/>
      <c r="I39" s="17"/>
      <c r="J39" s="17"/>
    </row>
    <row r="40" spans="1:10" x14ac:dyDescent="0.25">
      <c r="A40" s="2" t="s">
        <v>52</v>
      </c>
      <c r="B40" s="2"/>
      <c r="C40" s="13"/>
      <c r="D40" s="13"/>
      <c r="E40" s="13"/>
      <c r="F40" s="13"/>
      <c r="G40" s="13"/>
      <c r="H40" s="13"/>
      <c r="I40" s="17"/>
      <c r="J40" s="17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A44" s="27" t="s">
        <v>53</v>
      </c>
      <c r="B44" s="27"/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4" t="s">
        <v>13</v>
      </c>
      <c r="I44" s="17"/>
      <c r="J44" s="17"/>
    </row>
    <row r="45" spans="1:10" x14ac:dyDescent="0.25">
      <c r="A45" s="22" t="s">
        <v>54</v>
      </c>
      <c r="B45" s="22"/>
      <c r="C45" s="10">
        <v>93550</v>
      </c>
      <c r="D45" s="10">
        <v>52</v>
      </c>
      <c r="E45" s="10">
        <v>49489</v>
      </c>
      <c r="F45" s="10">
        <v>0</v>
      </c>
      <c r="G45" s="10">
        <f>SUM(C45:F45)</f>
        <v>143091</v>
      </c>
      <c r="H45" s="16">
        <f>ROUND(G45/600,2)</f>
        <v>238.49</v>
      </c>
      <c r="I45" s="9"/>
      <c r="J45" s="9"/>
    </row>
    <row r="46" spans="1:10" x14ac:dyDescent="0.25">
      <c r="A46" s="22" t="s">
        <v>55</v>
      </c>
      <c r="B46" s="22"/>
      <c r="C46" s="10">
        <v>49570</v>
      </c>
      <c r="D46" s="10">
        <v>0</v>
      </c>
      <c r="E46" s="10">
        <v>13780</v>
      </c>
      <c r="F46" s="10">
        <v>0</v>
      </c>
      <c r="G46" s="10">
        <f>SUM(C46:F46)</f>
        <v>63350</v>
      </c>
      <c r="H46" s="16">
        <f>ROUND(G46/600,2)</f>
        <v>105.58</v>
      </c>
      <c r="I46" s="9"/>
      <c r="J46" s="9"/>
    </row>
    <row r="47" spans="1:10" x14ac:dyDescent="0.25">
      <c r="A47" s="22" t="s">
        <v>56</v>
      </c>
      <c r="B47" s="22"/>
      <c r="C47" s="10">
        <v>0</v>
      </c>
      <c r="D47" s="10">
        <v>0</v>
      </c>
      <c r="E47" s="10">
        <v>0</v>
      </c>
      <c r="F47" s="10">
        <v>0</v>
      </c>
      <c r="G47" s="10">
        <f>SUM(C47:F47)</f>
        <v>0</v>
      </c>
      <c r="H47" s="16">
        <f>ROUND(G47/600,2)</f>
        <v>0</v>
      </c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57</v>
      </c>
      <c r="B52" s="27"/>
      <c r="C52" s="14" t="s">
        <v>2</v>
      </c>
      <c r="D52" s="14">
        <v>2023</v>
      </c>
      <c r="E52" s="14" t="s">
        <v>59</v>
      </c>
      <c r="F52" s="13"/>
      <c r="G52" s="14" t="s">
        <v>60</v>
      </c>
      <c r="H52" s="14" t="s">
        <v>2</v>
      </c>
      <c r="I52" s="12" t="s">
        <v>61</v>
      </c>
      <c r="J52" s="12" t="s">
        <v>59</v>
      </c>
    </row>
    <row r="53" spans="1:10" x14ac:dyDescent="0.25">
      <c r="A53" s="22" t="s">
        <v>58</v>
      </c>
      <c r="B53" s="22"/>
      <c r="C53" s="15">
        <f>ROUND(0.7341, 4)</f>
        <v>0.73409999999999997</v>
      </c>
      <c r="D53" s="15">
        <f>ROUND(0.7388, 4)</f>
        <v>0.73880000000000001</v>
      </c>
      <c r="E53" s="15">
        <f>ROUND(0.777, 4)</f>
        <v>0.77700000000000002</v>
      </c>
      <c r="F53" s="8"/>
      <c r="G53" s="14" t="s">
        <v>62</v>
      </c>
      <c r="H53" s="28" t="s">
        <v>63</v>
      </c>
      <c r="I53" s="25" t="s">
        <v>64</v>
      </c>
      <c r="J53" s="25" t="s">
        <v>65</v>
      </c>
    </row>
    <row r="54" spans="1:10" x14ac:dyDescent="0.25">
      <c r="A54" s="22" t="s">
        <v>66</v>
      </c>
      <c r="B54" s="22"/>
      <c r="C54" s="15">
        <f>ROUND(0.721, 4)</f>
        <v>0.72099999999999997</v>
      </c>
      <c r="D54" s="15">
        <f>ROUND(0.7263, 4)</f>
        <v>0.72629999999999995</v>
      </c>
      <c r="E54" s="15">
        <f>ROUND(0.7608, 4)</f>
        <v>0.76080000000000003</v>
      </c>
      <c r="F54" s="8"/>
      <c r="G54" s="14" t="s">
        <v>67</v>
      </c>
      <c r="H54" s="29"/>
      <c r="I54" s="26"/>
      <c r="J54" s="26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68</v>
      </c>
      <c r="B58" s="27"/>
      <c r="C58" s="14" t="s">
        <v>2</v>
      </c>
      <c r="D58" s="14" t="s">
        <v>195</v>
      </c>
      <c r="E58" s="14" t="s">
        <v>70</v>
      </c>
      <c r="F58" s="14" t="s">
        <v>71</v>
      </c>
      <c r="G58" s="14" t="s">
        <v>72</v>
      </c>
      <c r="H58" s="13"/>
      <c r="I58" s="17"/>
      <c r="J58" s="17"/>
    </row>
    <row r="59" spans="1:10" x14ac:dyDescent="0.25">
      <c r="A59" s="22" t="s">
        <v>73</v>
      </c>
      <c r="B59" s="22"/>
      <c r="C59" s="16">
        <v>82.62</v>
      </c>
      <c r="D59" s="16">
        <v>90.09</v>
      </c>
      <c r="E59" s="16">
        <v>92.53</v>
      </c>
      <c r="F59" s="16">
        <v>56.06</v>
      </c>
      <c r="G59" s="16">
        <f>12/11*C59</f>
        <v>90.130909090909086</v>
      </c>
      <c r="H59" s="8"/>
      <c r="I59" s="9"/>
      <c r="J59" s="9"/>
    </row>
    <row r="60" spans="1:10" x14ac:dyDescent="0.25">
      <c r="A60" s="22" t="s">
        <v>74</v>
      </c>
      <c r="B60" s="22"/>
      <c r="C60" s="16">
        <v>39.93</v>
      </c>
      <c r="D60" s="16">
        <v>41.88</v>
      </c>
      <c r="E60" s="16">
        <v>61.98</v>
      </c>
      <c r="F60" s="16">
        <v>64.09</v>
      </c>
      <c r="G60" s="16">
        <f>12/11*C60</f>
        <v>43.559999999999995</v>
      </c>
      <c r="H60" s="8"/>
      <c r="I60" s="9"/>
      <c r="J60" s="9"/>
    </row>
    <row r="61" spans="1:10" x14ac:dyDescent="0.25">
      <c r="A61" s="22" t="s">
        <v>75</v>
      </c>
      <c r="B61" s="22"/>
      <c r="C61" s="16">
        <v>238.48</v>
      </c>
      <c r="D61" s="16">
        <v>252.16</v>
      </c>
      <c r="E61" s="16">
        <v>291.51</v>
      </c>
      <c r="F61" s="16">
        <v>284.45</v>
      </c>
      <c r="G61" s="16">
        <f>12/11*C61</f>
        <v>260.15999999999997</v>
      </c>
      <c r="H61" s="8"/>
      <c r="I61" s="9"/>
      <c r="J61" s="9"/>
    </row>
    <row r="62" spans="1:10" x14ac:dyDescent="0.25">
      <c r="A62" s="22" t="s">
        <v>76</v>
      </c>
      <c r="B62" s="22"/>
      <c r="C62" s="16">
        <v>105.58</v>
      </c>
      <c r="D62" s="16">
        <v>109.53</v>
      </c>
      <c r="E62" s="16">
        <v>116.46</v>
      </c>
      <c r="F62" s="16">
        <v>79.959999999999994</v>
      </c>
      <c r="G62" s="16">
        <f>12/11*C62</f>
        <v>115.17818181818181</v>
      </c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3" t="s">
        <v>60</v>
      </c>
      <c r="B65" s="24"/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77</v>
      </c>
      <c r="B66" s="1" t="s">
        <v>196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70</v>
      </c>
      <c r="B67" s="1" t="s">
        <v>79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71</v>
      </c>
      <c r="B68" s="1" t="s">
        <v>80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72</v>
      </c>
      <c r="B69" s="1" t="s">
        <v>81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</sheetData>
  <mergeCells count="19">
    <mergeCell ref="C7:G7"/>
    <mergeCell ref="A38:B38"/>
    <mergeCell ref="A39:B39"/>
    <mergeCell ref="A44:B44"/>
    <mergeCell ref="A45:B45"/>
    <mergeCell ref="J53:J54"/>
    <mergeCell ref="A54:B54"/>
    <mergeCell ref="A58:B58"/>
    <mergeCell ref="A59:B59"/>
    <mergeCell ref="A46:B46"/>
    <mergeCell ref="A47:B47"/>
    <mergeCell ref="A52:B52"/>
    <mergeCell ref="A53:B53"/>
    <mergeCell ref="H53:H54"/>
    <mergeCell ref="A60:B60"/>
    <mergeCell ref="A61:B61"/>
    <mergeCell ref="A62:B62"/>
    <mergeCell ref="A65:B65"/>
    <mergeCell ref="I53:I5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J76"/>
  <sheetViews>
    <sheetView workbookViewId="0"/>
  </sheetViews>
  <sheetFormatPr defaultRowHeight="15" x14ac:dyDescent="0.25"/>
  <cols>
    <col min="1" max="1" width="28.42578125" bestFit="1" customWidth="1"/>
    <col min="2" max="2" width="112" bestFit="1" customWidth="1"/>
    <col min="3" max="3" width="12.7109375" bestFit="1" customWidth="1"/>
    <col min="4" max="4" width="34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197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2253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86</v>
      </c>
      <c r="F9" s="10"/>
      <c r="G9" s="10">
        <f t="shared" ref="G9:G40" si="0">SUM(C9:F9)</f>
        <v>86</v>
      </c>
      <c r="H9" s="16">
        <f t="shared" ref="H9:H40" si="1">ROUND(G9/2253,2)</f>
        <v>0.04</v>
      </c>
      <c r="I9" s="15">
        <f t="shared" ref="I9:I40" si="2">ROUND(G9/$G$41,3)</f>
        <v>0</v>
      </c>
      <c r="J9" s="15"/>
    </row>
    <row r="10" spans="1:10" x14ac:dyDescent="0.25">
      <c r="A10" s="1" t="s">
        <v>16</v>
      </c>
      <c r="B10" s="1" t="s">
        <v>19</v>
      </c>
      <c r="C10" s="10">
        <v>59285</v>
      </c>
      <c r="D10" s="10"/>
      <c r="E10" s="10">
        <v>2840</v>
      </c>
      <c r="F10" s="10"/>
      <c r="G10" s="10">
        <f t="shared" si="0"/>
        <v>62125</v>
      </c>
      <c r="H10" s="16">
        <f t="shared" si="1"/>
        <v>27.57</v>
      </c>
      <c r="I10" s="15">
        <f t="shared" si="2"/>
        <v>5.8999999999999997E-2</v>
      </c>
      <c r="J10" s="15">
        <f>ROUND(G10/59190-1,2)</f>
        <v>0.05</v>
      </c>
    </row>
    <row r="11" spans="1:10" x14ac:dyDescent="0.25">
      <c r="A11" s="1" t="s">
        <v>16</v>
      </c>
      <c r="B11" s="1" t="s">
        <v>20</v>
      </c>
      <c r="C11" s="10">
        <v>76980</v>
      </c>
      <c r="D11" s="10"/>
      <c r="E11" s="10"/>
      <c r="F11" s="10"/>
      <c r="G11" s="10">
        <f t="shared" si="0"/>
        <v>76980</v>
      </c>
      <c r="H11" s="16">
        <f t="shared" si="1"/>
        <v>34.17</v>
      </c>
      <c r="I11" s="15">
        <f t="shared" si="2"/>
        <v>7.2999999999999995E-2</v>
      </c>
      <c r="J11" s="15">
        <f>ROUND(G11/79720-1,2)</f>
        <v>-0.03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229</v>
      </c>
      <c r="F12" s="10"/>
      <c r="G12" s="10">
        <f t="shared" si="0"/>
        <v>229</v>
      </c>
      <c r="H12" s="16">
        <f t="shared" si="1"/>
        <v>0.1</v>
      </c>
      <c r="I12" s="15">
        <f t="shared" si="2"/>
        <v>0</v>
      </c>
      <c r="J12" s="15">
        <f>ROUND(G12/218-1,2)</f>
        <v>0.05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70</v>
      </c>
      <c r="F13" s="10"/>
      <c r="G13" s="10">
        <f t="shared" si="0"/>
        <v>70</v>
      </c>
      <c r="H13" s="16">
        <f t="shared" si="1"/>
        <v>0.03</v>
      </c>
      <c r="I13" s="15">
        <f t="shared" si="2"/>
        <v>0</v>
      </c>
      <c r="J13" s="15">
        <f>ROUND(G13/26-1,2)</f>
        <v>1.69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31640</v>
      </c>
      <c r="F14" s="10"/>
      <c r="G14" s="10">
        <f t="shared" si="0"/>
        <v>31640</v>
      </c>
      <c r="H14" s="16">
        <f t="shared" si="1"/>
        <v>14.04</v>
      </c>
      <c r="I14" s="15">
        <f t="shared" si="2"/>
        <v>0.03</v>
      </c>
      <c r="J14" s="15">
        <f>ROUND(G14/30020-1,2)</f>
        <v>0.05</v>
      </c>
    </row>
    <row r="15" spans="1:10" x14ac:dyDescent="0.25">
      <c r="A15" s="1" t="s">
        <v>16</v>
      </c>
      <c r="B15" s="1" t="s">
        <v>24</v>
      </c>
      <c r="C15" s="10">
        <v>81200</v>
      </c>
      <c r="D15" s="10"/>
      <c r="E15" s="10">
        <v>21365</v>
      </c>
      <c r="F15" s="10"/>
      <c r="G15" s="10">
        <f t="shared" si="0"/>
        <v>102565</v>
      </c>
      <c r="H15" s="16">
        <f t="shared" si="1"/>
        <v>45.52</v>
      </c>
      <c r="I15" s="15">
        <f t="shared" si="2"/>
        <v>9.7000000000000003E-2</v>
      </c>
      <c r="J15" s="15">
        <f>ROUND(G15/95290-1,2)</f>
        <v>0.08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3205</v>
      </c>
      <c r="F16" s="10"/>
      <c r="G16" s="10">
        <f t="shared" si="0"/>
        <v>3205</v>
      </c>
      <c r="H16" s="16">
        <f t="shared" si="1"/>
        <v>1.42</v>
      </c>
      <c r="I16" s="15">
        <f t="shared" si="2"/>
        <v>3.0000000000000001E-3</v>
      </c>
      <c r="J16" s="15">
        <f>ROUND(G16/2750-1,2)</f>
        <v>0.17</v>
      </c>
    </row>
    <row r="17" spans="1:10" x14ac:dyDescent="0.25">
      <c r="A17" s="1" t="s">
        <v>16</v>
      </c>
      <c r="B17" s="1" t="s">
        <v>26</v>
      </c>
      <c r="C17" s="10"/>
      <c r="D17" s="10">
        <v>26355</v>
      </c>
      <c r="E17" s="10"/>
      <c r="F17" s="10">
        <v>875</v>
      </c>
      <c r="G17" s="10">
        <f t="shared" si="0"/>
        <v>27230</v>
      </c>
      <c r="H17" s="16">
        <f t="shared" si="1"/>
        <v>12.09</v>
      </c>
      <c r="I17" s="15">
        <f t="shared" si="2"/>
        <v>2.5999999999999999E-2</v>
      </c>
      <c r="J17" s="15">
        <f>ROUND(G17/22510-1,2)</f>
        <v>0.21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416</v>
      </c>
      <c r="F18" s="10"/>
      <c r="G18" s="10">
        <f t="shared" si="0"/>
        <v>416</v>
      </c>
      <c r="H18" s="16">
        <f t="shared" si="1"/>
        <v>0.18</v>
      </c>
      <c r="I18" s="15">
        <f t="shared" si="2"/>
        <v>0</v>
      </c>
      <c r="J18" s="15">
        <f>ROUND(G18/345-1,2)</f>
        <v>0.21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291</v>
      </c>
      <c r="F19" s="10"/>
      <c r="G19" s="10">
        <f t="shared" si="0"/>
        <v>291</v>
      </c>
      <c r="H19" s="16">
        <f t="shared" si="1"/>
        <v>0.13</v>
      </c>
      <c r="I19" s="15">
        <f t="shared" si="2"/>
        <v>0</v>
      </c>
      <c r="J19" s="15">
        <f>ROUND(G19/389-1,2)</f>
        <v>-0.25</v>
      </c>
    </row>
    <row r="20" spans="1:10" x14ac:dyDescent="0.25">
      <c r="A20" s="1" t="s">
        <v>16</v>
      </c>
      <c r="B20" s="1" t="s">
        <v>29</v>
      </c>
      <c r="C20" s="10"/>
      <c r="D20" s="10"/>
      <c r="E20" s="10">
        <v>3120</v>
      </c>
      <c r="F20" s="10"/>
      <c r="G20" s="10">
        <f t="shared" si="0"/>
        <v>3120</v>
      </c>
      <c r="H20" s="16">
        <f t="shared" si="1"/>
        <v>1.38</v>
      </c>
      <c r="I20" s="15">
        <f t="shared" si="2"/>
        <v>3.0000000000000001E-3</v>
      </c>
      <c r="J20" s="15">
        <f>ROUND(G20/2160-1,2)</f>
        <v>0.44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400</v>
      </c>
      <c r="F21" s="10"/>
      <c r="G21" s="10">
        <f t="shared" si="0"/>
        <v>400</v>
      </c>
      <c r="H21" s="16">
        <f t="shared" si="1"/>
        <v>0.18</v>
      </c>
      <c r="I21" s="15">
        <f t="shared" si="2"/>
        <v>0</v>
      </c>
      <c r="J21" s="15">
        <f>ROUND(G21/910-1,2)</f>
        <v>-0.56000000000000005</v>
      </c>
    </row>
    <row r="22" spans="1:10" x14ac:dyDescent="0.25">
      <c r="A22" s="1" t="s">
        <v>16</v>
      </c>
      <c r="B22" s="1" t="s">
        <v>31</v>
      </c>
      <c r="C22" s="10"/>
      <c r="D22" s="10"/>
      <c r="E22" s="10">
        <v>560</v>
      </c>
      <c r="F22" s="10"/>
      <c r="G22" s="10">
        <f t="shared" si="0"/>
        <v>560</v>
      </c>
      <c r="H22" s="16">
        <f t="shared" si="1"/>
        <v>0.25</v>
      </c>
      <c r="I22" s="15">
        <f t="shared" si="2"/>
        <v>1E-3</v>
      </c>
      <c r="J22" s="15">
        <f>ROUND(G22/970-1,2)</f>
        <v>-0.42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2175</v>
      </c>
      <c r="F23" s="10"/>
      <c r="G23" s="10">
        <f t="shared" si="0"/>
        <v>2175</v>
      </c>
      <c r="H23" s="16">
        <f t="shared" si="1"/>
        <v>0.97</v>
      </c>
      <c r="I23" s="15">
        <f t="shared" si="2"/>
        <v>2E-3</v>
      </c>
      <c r="J23" s="15">
        <f>ROUND(G23/1085-1,2)</f>
        <v>1</v>
      </c>
    </row>
    <row r="24" spans="1:10" x14ac:dyDescent="0.25">
      <c r="A24" s="1" t="s">
        <v>16</v>
      </c>
      <c r="B24" s="1" t="s">
        <v>33</v>
      </c>
      <c r="C24" s="10"/>
      <c r="D24" s="10">
        <v>166</v>
      </c>
      <c r="E24" s="10">
        <v>71</v>
      </c>
      <c r="F24" s="10"/>
      <c r="G24" s="10">
        <f t="shared" si="0"/>
        <v>237</v>
      </c>
      <c r="H24" s="16">
        <f t="shared" si="1"/>
        <v>0.11</v>
      </c>
      <c r="I24" s="15">
        <f t="shared" si="2"/>
        <v>0</v>
      </c>
      <c r="J24" s="15">
        <f>ROUND(G24/225-1,2)</f>
        <v>0.05</v>
      </c>
    </row>
    <row r="25" spans="1:10" x14ac:dyDescent="0.25">
      <c r="A25" s="1" t="s">
        <v>16</v>
      </c>
      <c r="B25" s="1" t="s">
        <v>34</v>
      </c>
      <c r="C25" s="10"/>
      <c r="D25" s="10"/>
      <c r="E25" s="10">
        <v>730</v>
      </c>
      <c r="F25" s="10"/>
      <c r="G25" s="10">
        <f t="shared" si="0"/>
        <v>730</v>
      </c>
      <c r="H25" s="16">
        <f t="shared" si="1"/>
        <v>0.32</v>
      </c>
      <c r="I25" s="15">
        <f t="shared" si="2"/>
        <v>1E-3</v>
      </c>
      <c r="J25" s="15">
        <f>ROUND(G25/1465-1,2)</f>
        <v>-0.5</v>
      </c>
    </row>
    <row r="26" spans="1:10" x14ac:dyDescent="0.25">
      <c r="A26" s="1" t="s">
        <v>16</v>
      </c>
      <c r="B26" s="1" t="s">
        <v>37</v>
      </c>
      <c r="C26" s="10"/>
      <c r="D26" s="10"/>
      <c r="E26" s="10">
        <v>3880</v>
      </c>
      <c r="F26" s="10"/>
      <c r="G26" s="10">
        <f t="shared" si="0"/>
        <v>3880</v>
      </c>
      <c r="H26" s="16">
        <f t="shared" si="1"/>
        <v>1.72</v>
      </c>
      <c r="I26" s="15">
        <f t="shared" si="2"/>
        <v>4.0000000000000001E-3</v>
      </c>
      <c r="J26" s="15">
        <f>ROUND(G26/1090-1,2)</f>
        <v>2.56</v>
      </c>
    </row>
    <row r="27" spans="1:10" x14ac:dyDescent="0.25">
      <c r="A27" s="1" t="s">
        <v>16</v>
      </c>
      <c r="B27" s="1" t="s">
        <v>38</v>
      </c>
      <c r="C27" s="10"/>
      <c r="D27" s="10"/>
      <c r="E27" s="10">
        <v>60090</v>
      </c>
      <c r="F27" s="10"/>
      <c r="G27" s="10">
        <f t="shared" si="0"/>
        <v>60090</v>
      </c>
      <c r="H27" s="16">
        <f t="shared" si="1"/>
        <v>26.67</v>
      </c>
      <c r="I27" s="15">
        <f t="shared" si="2"/>
        <v>5.7000000000000002E-2</v>
      </c>
      <c r="J27" s="15">
        <f>ROUND(G27/51385-1,2)</f>
        <v>0.17</v>
      </c>
    </row>
    <row r="28" spans="1:10" x14ac:dyDescent="0.25">
      <c r="A28" s="1" t="s">
        <v>16</v>
      </c>
      <c r="B28" s="1" t="s">
        <v>39</v>
      </c>
      <c r="C28" s="10"/>
      <c r="D28" s="10"/>
      <c r="E28" s="10">
        <v>7470</v>
      </c>
      <c r="F28" s="10"/>
      <c r="G28" s="10">
        <f t="shared" si="0"/>
        <v>7470</v>
      </c>
      <c r="H28" s="16">
        <f t="shared" si="1"/>
        <v>3.32</v>
      </c>
      <c r="I28" s="15">
        <f t="shared" si="2"/>
        <v>7.0000000000000001E-3</v>
      </c>
      <c r="J28" s="15">
        <f>ROUND(G28/3840-1,2)</f>
        <v>0.95</v>
      </c>
    </row>
    <row r="29" spans="1:10" x14ac:dyDescent="0.25">
      <c r="A29" s="1" t="s">
        <v>16</v>
      </c>
      <c r="B29" s="1" t="s">
        <v>40</v>
      </c>
      <c r="C29" s="10"/>
      <c r="D29" s="10"/>
      <c r="E29" s="10">
        <v>20440</v>
      </c>
      <c r="F29" s="10"/>
      <c r="G29" s="10">
        <f t="shared" si="0"/>
        <v>20440</v>
      </c>
      <c r="H29" s="16">
        <f t="shared" si="1"/>
        <v>9.07</v>
      </c>
      <c r="I29" s="15">
        <f t="shared" si="2"/>
        <v>1.9E-2</v>
      </c>
      <c r="J29" s="15">
        <f>ROUND(G29/15930-1,2)</f>
        <v>0.28000000000000003</v>
      </c>
    </row>
    <row r="30" spans="1:10" x14ac:dyDescent="0.25">
      <c r="A30" s="1" t="s">
        <v>16</v>
      </c>
      <c r="B30" s="1" t="s">
        <v>41</v>
      </c>
      <c r="C30" s="10"/>
      <c r="D30" s="10"/>
      <c r="E30" s="10">
        <v>214950</v>
      </c>
      <c r="F30" s="10"/>
      <c r="G30" s="10">
        <f t="shared" si="0"/>
        <v>214950</v>
      </c>
      <c r="H30" s="16">
        <f t="shared" si="1"/>
        <v>95.41</v>
      </c>
      <c r="I30" s="15">
        <f t="shared" si="2"/>
        <v>0.20399999999999999</v>
      </c>
      <c r="J30" s="15">
        <f>ROUND(G30/172560-1,2)</f>
        <v>0.25</v>
      </c>
    </row>
    <row r="31" spans="1:10" x14ac:dyDescent="0.25">
      <c r="A31" s="1" t="s">
        <v>16</v>
      </c>
      <c r="B31" s="1" t="s">
        <v>22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ROUND(G31/4700-1,2)</f>
        <v>-1</v>
      </c>
    </row>
    <row r="32" spans="1:10" x14ac:dyDescent="0.25">
      <c r="A32" s="1" t="s">
        <v>16</v>
      </c>
      <c r="B32" s="1" t="s">
        <v>35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36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ROUND(G33/3080-1,2)</f>
        <v>-1</v>
      </c>
    </row>
    <row r="34" spans="1:10" x14ac:dyDescent="0.25">
      <c r="A34" s="1" t="s">
        <v>16</v>
      </c>
      <c r="B34" s="1" t="s">
        <v>43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ROUND(G34/8190-1,2)</f>
        <v>-1</v>
      </c>
    </row>
    <row r="35" spans="1:10" x14ac:dyDescent="0.25">
      <c r="A35" s="1" t="s">
        <v>16</v>
      </c>
      <c r="B35" s="1" t="s">
        <v>42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ROUND(G35/151-1,2)</f>
        <v>-1</v>
      </c>
    </row>
    <row r="36" spans="1:10" x14ac:dyDescent="0.25">
      <c r="A36" s="1" t="s">
        <v>16</v>
      </c>
      <c r="B36" s="1" t="s">
        <v>198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ROUND(G36/99.5-1,2)</f>
        <v>-1</v>
      </c>
    </row>
    <row r="37" spans="1:10" x14ac:dyDescent="0.25">
      <c r="A37" s="1" t="s">
        <v>44</v>
      </c>
      <c r="B37" s="1" t="s">
        <v>45</v>
      </c>
      <c r="C37" s="10">
        <v>90</v>
      </c>
      <c r="D37" s="10">
        <v>398800</v>
      </c>
      <c r="E37" s="10"/>
      <c r="F37" s="10"/>
      <c r="G37" s="10">
        <f t="shared" si="0"/>
        <v>398890</v>
      </c>
      <c r="H37" s="16">
        <f t="shared" si="1"/>
        <v>177.05</v>
      </c>
      <c r="I37" s="15">
        <f t="shared" si="2"/>
        <v>0.378</v>
      </c>
      <c r="J37" s="15">
        <f>ROUND(G37/344865-1,2)</f>
        <v>0.16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36550</v>
      </c>
      <c r="F38" s="10"/>
      <c r="G38" s="10">
        <f t="shared" si="0"/>
        <v>36550</v>
      </c>
      <c r="H38" s="16">
        <f t="shared" si="1"/>
        <v>16.22</v>
      </c>
      <c r="I38" s="15">
        <f t="shared" si="2"/>
        <v>3.5000000000000003E-2</v>
      </c>
      <c r="J38" s="15">
        <f>ROUND(G38/35460-1,2)</f>
        <v>0.03</v>
      </c>
    </row>
    <row r="39" spans="1:10" x14ac:dyDescent="0.25">
      <c r="A39" s="1" t="s">
        <v>44</v>
      </c>
      <c r="B39" s="1" t="s">
        <v>47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ROUND(G39/7710-1,2)</f>
        <v>-1</v>
      </c>
    </row>
    <row r="40" spans="1:10" x14ac:dyDescent="0.25">
      <c r="A40" s="1" t="s">
        <v>48</v>
      </c>
      <c r="B40" s="1" t="s">
        <v>51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27" t="s">
        <v>12</v>
      </c>
      <c r="B41" s="27"/>
      <c r="C41" s="11">
        <f t="shared" ref="C41:H41" si="3">SUM(C8:C40)</f>
        <v>217555</v>
      </c>
      <c r="D41" s="11">
        <f t="shared" si="3"/>
        <v>425321</v>
      </c>
      <c r="E41" s="11">
        <f t="shared" si="3"/>
        <v>410578</v>
      </c>
      <c r="F41" s="11">
        <f t="shared" si="3"/>
        <v>875</v>
      </c>
      <c r="G41" s="11">
        <f t="shared" si="3"/>
        <v>1054329</v>
      </c>
      <c r="H41" s="14">
        <f t="shared" si="3"/>
        <v>467.95999999999992</v>
      </c>
      <c r="I41" s="17"/>
      <c r="J41" s="17"/>
    </row>
    <row r="42" spans="1:10" x14ac:dyDescent="0.25">
      <c r="A42" s="27" t="s">
        <v>14</v>
      </c>
      <c r="B42" s="27"/>
      <c r="C42" s="12">
        <f>ROUND(C41/G41,2)</f>
        <v>0.21</v>
      </c>
      <c r="D42" s="12">
        <f>ROUND(D41/G41,2)</f>
        <v>0.4</v>
      </c>
      <c r="E42" s="12">
        <f>ROUND(E41/G41,2)</f>
        <v>0.39</v>
      </c>
      <c r="F42" s="12">
        <f>ROUND(F41/G41,2)</f>
        <v>0</v>
      </c>
      <c r="G42" s="13"/>
      <c r="H42" s="13"/>
      <c r="I42" s="17"/>
      <c r="J42" s="17"/>
    </row>
    <row r="43" spans="1:10" x14ac:dyDescent="0.25">
      <c r="A43" s="2" t="s">
        <v>52</v>
      </c>
      <c r="B43" s="2"/>
      <c r="C43" s="13"/>
      <c r="D43" s="13"/>
      <c r="E43" s="13"/>
      <c r="F43" s="13"/>
      <c r="G43" s="13"/>
      <c r="H43" s="13"/>
      <c r="I43" s="17"/>
      <c r="J43" s="17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A47" s="27" t="s">
        <v>53</v>
      </c>
      <c r="B47" s="27"/>
      <c r="C47" s="11" t="s">
        <v>8</v>
      </c>
      <c r="D47" s="11" t="s">
        <v>9</v>
      </c>
      <c r="E47" s="11" t="s">
        <v>10</v>
      </c>
      <c r="F47" s="11" t="s">
        <v>11</v>
      </c>
      <c r="G47" s="11" t="s">
        <v>12</v>
      </c>
      <c r="H47" s="14" t="s">
        <v>13</v>
      </c>
      <c r="I47" s="17"/>
      <c r="J47" s="17"/>
    </row>
    <row r="48" spans="1:10" x14ac:dyDescent="0.25">
      <c r="A48" s="22" t="s">
        <v>54</v>
      </c>
      <c r="B48" s="22"/>
      <c r="C48" s="10">
        <v>217465</v>
      </c>
      <c r="D48" s="10">
        <v>26521</v>
      </c>
      <c r="E48" s="10">
        <v>374028</v>
      </c>
      <c r="F48" s="10">
        <v>875</v>
      </c>
      <c r="G48" s="10">
        <f>SUM(C48:F48)</f>
        <v>618889</v>
      </c>
      <c r="H48" s="16">
        <f>ROUND(G48/2253,2)</f>
        <v>274.7</v>
      </c>
      <c r="I48" s="9"/>
      <c r="J48" s="9"/>
    </row>
    <row r="49" spans="1:10" x14ac:dyDescent="0.25">
      <c r="A49" s="22" t="s">
        <v>55</v>
      </c>
      <c r="B49" s="22"/>
      <c r="C49" s="10">
        <v>90</v>
      </c>
      <c r="D49" s="10">
        <v>398800</v>
      </c>
      <c r="E49" s="10">
        <v>36550</v>
      </c>
      <c r="F49" s="10">
        <v>0</v>
      </c>
      <c r="G49" s="10">
        <f>SUM(C49:F49)</f>
        <v>435440</v>
      </c>
      <c r="H49" s="16">
        <f>ROUND(G49/2253,2)</f>
        <v>193.27</v>
      </c>
      <c r="I49" s="9"/>
      <c r="J49" s="9"/>
    </row>
    <row r="50" spans="1:10" x14ac:dyDescent="0.25">
      <c r="A50" s="22" t="s">
        <v>56</v>
      </c>
      <c r="B50" s="22"/>
      <c r="C50" s="10">
        <v>0</v>
      </c>
      <c r="D50" s="10">
        <v>0</v>
      </c>
      <c r="E50" s="10">
        <v>0</v>
      </c>
      <c r="F50" s="10">
        <v>0</v>
      </c>
      <c r="G50" s="10">
        <f>SUM(C50:F50)</f>
        <v>0</v>
      </c>
      <c r="H50" s="16">
        <f>ROUND(G50/2253,2)</f>
        <v>0</v>
      </c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57</v>
      </c>
      <c r="B55" s="27"/>
      <c r="C55" s="14" t="s">
        <v>2</v>
      </c>
      <c r="D55" s="14">
        <v>2023</v>
      </c>
      <c r="E55" s="14" t="s">
        <v>59</v>
      </c>
      <c r="F55" s="13"/>
      <c r="G55" s="14" t="s">
        <v>60</v>
      </c>
      <c r="H55" s="14" t="s">
        <v>2</v>
      </c>
      <c r="I55" s="12" t="s">
        <v>61</v>
      </c>
      <c r="J55" s="12" t="s">
        <v>59</v>
      </c>
    </row>
    <row r="56" spans="1:10" x14ac:dyDescent="0.25">
      <c r="A56" s="22" t="s">
        <v>58</v>
      </c>
      <c r="B56" s="22"/>
      <c r="C56" s="15">
        <f>ROUND(0.6073, 4)</f>
        <v>0.60729999999999995</v>
      </c>
      <c r="D56" s="15">
        <f>ROUND(0.6124, 4)</f>
        <v>0.61240000000000006</v>
      </c>
      <c r="E56" s="15">
        <f>ROUND(0.777, 4)</f>
        <v>0.77700000000000002</v>
      </c>
      <c r="F56" s="8"/>
      <c r="G56" s="14" t="s">
        <v>62</v>
      </c>
      <c r="H56" s="28" t="s">
        <v>63</v>
      </c>
      <c r="I56" s="25" t="s">
        <v>64</v>
      </c>
      <c r="J56" s="25" t="s">
        <v>65</v>
      </c>
    </row>
    <row r="57" spans="1:10" x14ac:dyDescent="0.25">
      <c r="A57" s="22" t="s">
        <v>66</v>
      </c>
      <c r="B57" s="22"/>
      <c r="C57" s="15">
        <f>ROUND(0.5995, 4)</f>
        <v>0.59950000000000003</v>
      </c>
      <c r="D57" s="15">
        <f>ROUND(0.6038, 4)</f>
        <v>0.6038</v>
      </c>
      <c r="E57" s="15">
        <f>ROUND(0.7608, 4)</f>
        <v>0.76080000000000003</v>
      </c>
      <c r="F57" s="8"/>
      <c r="G57" s="14" t="s">
        <v>67</v>
      </c>
      <c r="H57" s="29"/>
      <c r="I57" s="26"/>
      <c r="J57" s="26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A61" s="27" t="s">
        <v>68</v>
      </c>
      <c r="B61" s="27"/>
      <c r="C61" s="14" t="s">
        <v>2</v>
      </c>
      <c r="D61" s="14" t="s">
        <v>199</v>
      </c>
      <c r="E61" s="14" t="s">
        <v>70</v>
      </c>
      <c r="F61" s="14" t="s">
        <v>71</v>
      </c>
      <c r="G61" s="14" t="s">
        <v>72</v>
      </c>
      <c r="H61" s="13"/>
      <c r="I61" s="17"/>
      <c r="J61" s="17"/>
    </row>
    <row r="62" spans="1:10" x14ac:dyDescent="0.25">
      <c r="A62" s="22" t="s">
        <v>73</v>
      </c>
      <c r="B62" s="22"/>
      <c r="C62" s="16">
        <v>177.05</v>
      </c>
      <c r="D62" s="16">
        <v>166.5</v>
      </c>
      <c r="E62" s="16">
        <v>92.53</v>
      </c>
      <c r="F62" s="16">
        <v>56.06</v>
      </c>
      <c r="G62" s="16">
        <f>12/11*C62</f>
        <v>193.14545454545456</v>
      </c>
      <c r="H62" s="8"/>
      <c r="I62" s="9"/>
      <c r="J62" s="9"/>
    </row>
    <row r="63" spans="1:10" x14ac:dyDescent="0.25">
      <c r="A63" s="22" t="s">
        <v>74</v>
      </c>
      <c r="B63" s="22"/>
      <c r="C63" s="16">
        <v>12.09</v>
      </c>
      <c r="D63" s="16">
        <v>10.52</v>
      </c>
      <c r="E63" s="16">
        <v>61.98</v>
      </c>
      <c r="F63" s="16">
        <v>64.09</v>
      </c>
      <c r="G63" s="16">
        <f>12/11*C63</f>
        <v>13.189090909090908</v>
      </c>
      <c r="H63" s="8"/>
      <c r="I63" s="9"/>
      <c r="J63" s="9"/>
    </row>
    <row r="64" spans="1:10" x14ac:dyDescent="0.25">
      <c r="A64" s="22" t="s">
        <v>75</v>
      </c>
      <c r="B64" s="22"/>
      <c r="C64" s="16">
        <v>274.7</v>
      </c>
      <c r="D64" s="16">
        <v>272.2</v>
      </c>
      <c r="E64" s="16">
        <v>291.51</v>
      </c>
      <c r="F64" s="16">
        <v>284.45</v>
      </c>
      <c r="G64" s="16">
        <f>12/11*C64</f>
        <v>299.67272727272723</v>
      </c>
      <c r="H64" s="8"/>
      <c r="I64" s="9"/>
      <c r="J64" s="9"/>
    </row>
    <row r="65" spans="1:10" x14ac:dyDescent="0.25">
      <c r="A65" s="22" t="s">
        <v>76</v>
      </c>
      <c r="B65" s="22"/>
      <c r="C65" s="16">
        <v>193.27</v>
      </c>
      <c r="D65" s="16">
        <v>188.87</v>
      </c>
      <c r="E65" s="16">
        <v>116.46</v>
      </c>
      <c r="F65" s="16">
        <v>79.959999999999994</v>
      </c>
      <c r="G65" s="16">
        <f>12/11*C65</f>
        <v>210.84</v>
      </c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3" t="s">
        <v>60</v>
      </c>
      <c r="B68" s="24"/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77</v>
      </c>
      <c r="B69" s="1" t="s">
        <v>200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70</v>
      </c>
      <c r="B70" s="1" t="s">
        <v>79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71</v>
      </c>
      <c r="B71" s="1" t="s">
        <v>80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72</v>
      </c>
      <c r="B72" s="1" t="s">
        <v>81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</sheetData>
  <mergeCells count="19">
    <mergeCell ref="C7:G7"/>
    <mergeCell ref="A41:B41"/>
    <mergeCell ref="A42:B42"/>
    <mergeCell ref="A47:B47"/>
    <mergeCell ref="A48:B48"/>
    <mergeCell ref="J56:J57"/>
    <mergeCell ref="A57:B57"/>
    <mergeCell ref="A61:B61"/>
    <mergeCell ref="A62:B62"/>
    <mergeCell ref="A49:B49"/>
    <mergeCell ref="A50:B50"/>
    <mergeCell ref="A55:B55"/>
    <mergeCell ref="A56:B56"/>
    <mergeCell ref="H56:H57"/>
    <mergeCell ref="A63:B63"/>
    <mergeCell ref="A64:B64"/>
    <mergeCell ref="A65:B65"/>
    <mergeCell ref="A68:B68"/>
    <mergeCell ref="I56:I5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J76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2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201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5747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169</v>
      </c>
      <c r="F9" s="10"/>
      <c r="G9" s="10">
        <f t="shared" ref="G9:G44" si="0">SUM(C9:F9)</f>
        <v>169</v>
      </c>
      <c r="H9" s="16">
        <f t="shared" ref="H9:H44" si="1">ROUND(G9/5747,2)</f>
        <v>0.03</v>
      </c>
      <c r="I9" s="15">
        <f t="shared" ref="I9:I44" si="2">ROUND(G9/$G$45,3)</f>
        <v>0</v>
      </c>
      <c r="J9" s="15">
        <f>ROUND(G9/180-1,2)</f>
        <v>-0.06</v>
      </c>
    </row>
    <row r="10" spans="1:10" x14ac:dyDescent="0.25">
      <c r="A10" s="1" t="s">
        <v>16</v>
      </c>
      <c r="B10" s="1" t="s">
        <v>19</v>
      </c>
      <c r="C10" s="10">
        <v>172870</v>
      </c>
      <c r="D10" s="10"/>
      <c r="E10" s="10">
        <v>6060</v>
      </c>
      <c r="F10" s="10"/>
      <c r="G10" s="10">
        <f t="shared" si="0"/>
        <v>178930</v>
      </c>
      <c r="H10" s="16">
        <f t="shared" si="1"/>
        <v>31.13</v>
      </c>
      <c r="I10" s="15">
        <f t="shared" si="2"/>
        <v>8.1000000000000003E-2</v>
      </c>
      <c r="J10" s="15">
        <f>ROUND(G10/170000-1,2)</f>
        <v>0.05</v>
      </c>
    </row>
    <row r="11" spans="1:10" x14ac:dyDescent="0.25">
      <c r="A11" s="1" t="s">
        <v>16</v>
      </c>
      <c r="B11" s="1" t="s">
        <v>20</v>
      </c>
      <c r="C11" s="10">
        <v>200660</v>
      </c>
      <c r="D11" s="10"/>
      <c r="E11" s="10"/>
      <c r="F11" s="10"/>
      <c r="G11" s="10">
        <f t="shared" si="0"/>
        <v>200660</v>
      </c>
      <c r="H11" s="16">
        <f t="shared" si="1"/>
        <v>34.92</v>
      </c>
      <c r="I11" s="15">
        <f t="shared" si="2"/>
        <v>0.09</v>
      </c>
      <c r="J11" s="15">
        <f>ROUND(G11/203410-1,2)</f>
        <v>-0.01</v>
      </c>
    </row>
    <row r="12" spans="1:10" x14ac:dyDescent="0.25">
      <c r="A12" s="1" t="s">
        <v>16</v>
      </c>
      <c r="B12" s="1" t="s">
        <v>23</v>
      </c>
      <c r="C12" s="10"/>
      <c r="D12" s="10"/>
      <c r="E12" s="10">
        <v>91740</v>
      </c>
      <c r="F12" s="10"/>
      <c r="G12" s="10">
        <f t="shared" si="0"/>
        <v>91740</v>
      </c>
      <c r="H12" s="16">
        <f t="shared" si="1"/>
        <v>15.96</v>
      </c>
      <c r="I12" s="15">
        <f t="shared" si="2"/>
        <v>4.1000000000000002E-2</v>
      </c>
      <c r="J12" s="15">
        <f>ROUND(G12/72140-1,2)</f>
        <v>0.27</v>
      </c>
    </row>
    <row r="13" spans="1:10" x14ac:dyDescent="0.25">
      <c r="A13" s="1" t="s">
        <v>16</v>
      </c>
      <c r="B13" s="1" t="s">
        <v>24</v>
      </c>
      <c r="C13" s="10">
        <v>227610</v>
      </c>
      <c r="D13" s="10"/>
      <c r="E13" s="10">
        <v>28790</v>
      </c>
      <c r="F13" s="10"/>
      <c r="G13" s="10">
        <f t="shared" si="0"/>
        <v>256400</v>
      </c>
      <c r="H13" s="16">
        <f t="shared" si="1"/>
        <v>44.61</v>
      </c>
      <c r="I13" s="15">
        <f t="shared" si="2"/>
        <v>0.11600000000000001</v>
      </c>
      <c r="J13" s="15">
        <f>ROUND(G13/252190-1,2)</f>
        <v>0.02</v>
      </c>
    </row>
    <row r="14" spans="1:10" x14ac:dyDescent="0.25">
      <c r="A14" s="1" t="s">
        <v>16</v>
      </c>
      <c r="B14" s="1" t="s">
        <v>25</v>
      </c>
      <c r="C14" s="10"/>
      <c r="D14" s="10"/>
      <c r="E14" s="10">
        <v>10300</v>
      </c>
      <c r="F14" s="10"/>
      <c r="G14" s="10">
        <f t="shared" si="0"/>
        <v>10300</v>
      </c>
      <c r="H14" s="16">
        <f t="shared" si="1"/>
        <v>1.79</v>
      </c>
      <c r="I14" s="15">
        <f t="shared" si="2"/>
        <v>5.0000000000000001E-3</v>
      </c>
      <c r="J14" s="15">
        <f>ROUND(G14/10880-1,2)</f>
        <v>-0.05</v>
      </c>
    </row>
    <row r="15" spans="1:10" x14ac:dyDescent="0.25">
      <c r="A15" s="1" t="s">
        <v>16</v>
      </c>
      <c r="B15" s="1" t="s">
        <v>26</v>
      </c>
      <c r="C15" s="10">
        <v>411020</v>
      </c>
      <c r="D15" s="10"/>
      <c r="E15" s="10"/>
      <c r="F15" s="10">
        <v>660</v>
      </c>
      <c r="G15" s="10">
        <f t="shared" si="0"/>
        <v>411680</v>
      </c>
      <c r="H15" s="16">
        <f t="shared" si="1"/>
        <v>71.63</v>
      </c>
      <c r="I15" s="15">
        <f t="shared" si="2"/>
        <v>0.186</v>
      </c>
      <c r="J15" s="15">
        <f>ROUND(G15/444000-1,2)</f>
        <v>-7.0000000000000007E-2</v>
      </c>
    </row>
    <row r="16" spans="1:10" x14ac:dyDescent="0.25">
      <c r="A16" s="1" t="s">
        <v>16</v>
      </c>
      <c r="B16" s="1" t="s">
        <v>27</v>
      </c>
      <c r="C16" s="10"/>
      <c r="D16" s="10"/>
      <c r="E16" s="10">
        <v>492</v>
      </c>
      <c r="F16" s="10"/>
      <c r="G16" s="10">
        <f t="shared" si="0"/>
        <v>492</v>
      </c>
      <c r="H16" s="16">
        <f t="shared" si="1"/>
        <v>0.09</v>
      </c>
      <c r="I16" s="15">
        <f t="shared" si="2"/>
        <v>0</v>
      </c>
      <c r="J16" s="15">
        <f>ROUND(G16/824-1,2)</f>
        <v>-0.4</v>
      </c>
    </row>
    <row r="17" spans="1:10" x14ac:dyDescent="0.25">
      <c r="A17" s="1" t="s">
        <v>16</v>
      </c>
      <c r="B17" s="1" t="s">
        <v>28</v>
      </c>
      <c r="C17" s="10"/>
      <c r="D17" s="10"/>
      <c r="E17" s="10">
        <v>496</v>
      </c>
      <c r="F17" s="10"/>
      <c r="G17" s="10">
        <f t="shared" si="0"/>
        <v>496</v>
      </c>
      <c r="H17" s="16">
        <f t="shared" si="1"/>
        <v>0.09</v>
      </c>
      <c r="I17" s="15">
        <f t="shared" si="2"/>
        <v>0</v>
      </c>
      <c r="J17" s="15">
        <f>ROUND(G17/381-1,2)</f>
        <v>0.3</v>
      </c>
    </row>
    <row r="18" spans="1:10" x14ac:dyDescent="0.25">
      <c r="A18" s="1" t="s">
        <v>16</v>
      </c>
      <c r="B18" s="1" t="s">
        <v>29</v>
      </c>
      <c r="C18" s="10"/>
      <c r="D18" s="10"/>
      <c r="E18" s="10">
        <v>5970</v>
      </c>
      <c r="F18" s="10"/>
      <c r="G18" s="10">
        <f t="shared" si="0"/>
        <v>5970</v>
      </c>
      <c r="H18" s="16">
        <f t="shared" si="1"/>
        <v>1.04</v>
      </c>
      <c r="I18" s="15">
        <f t="shared" si="2"/>
        <v>3.0000000000000001E-3</v>
      </c>
      <c r="J18" s="15">
        <f>ROUND(G18/11320-1,2)</f>
        <v>-0.47</v>
      </c>
    </row>
    <row r="19" spans="1:10" x14ac:dyDescent="0.25">
      <c r="A19" s="1" t="s">
        <v>16</v>
      </c>
      <c r="B19" s="1" t="s">
        <v>30</v>
      </c>
      <c r="C19" s="10"/>
      <c r="D19" s="10"/>
      <c r="E19" s="10">
        <v>2410</v>
      </c>
      <c r="F19" s="10"/>
      <c r="G19" s="10">
        <f t="shared" si="0"/>
        <v>2410</v>
      </c>
      <c r="H19" s="16">
        <f t="shared" si="1"/>
        <v>0.42</v>
      </c>
      <c r="I19" s="15">
        <f t="shared" si="2"/>
        <v>1E-3</v>
      </c>
      <c r="J19" s="15">
        <f>ROUND(G19/2160-1,2)</f>
        <v>0.12</v>
      </c>
    </row>
    <row r="20" spans="1:10" x14ac:dyDescent="0.25">
      <c r="A20" s="1" t="s">
        <v>16</v>
      </c>
      <c r="B20" s="1" t="s">
        <v>31</v>
      </c>
      <c r="C20" s="10"/>
      <c r="D20" s="10"/>
      <c r="E20" s="10">
        <v>570</v>
      </c>
      <c r="F20" s="10"/>
      <c r="G20" s="10">
        <f t="shared" si="0"/>
        <v>570</v>
      </c>
      <c r="H20" s="16">
        <f t="shared" si="1"/>
        <v>0.1</v>
      </c>
      <c r="I20" s="15">
        <f t="shared" si="2"/>
        <v>0</v>
      </c>
      <c r="J20" s="15">
        <f>ROUND(G20/580-1,2)</f>
        <v>-0.02</v>
      </c>
    </row>
    <row r="21" spans="1:10" x14ac:dyDescent="0.25">
      <c r="A21" s="1" t="s">
        <v>16</v>
      </c>
      <c r="B21" s="1" t="s">
        <v>33</v>
      </c>
      <c r="C21" s="10"/>
      <c r="D21" s="10">
        <v>608</v>
      </c>
      <c r="E21" s="10">
        <v>102</v>
      </c>
      <c r="F21" s="10"/>
      <c r="G21" s="10">
        <f t="shared" si="0"/>
        <v>710</v>
      </c>
      <c r="H21" s="16">
        <f t="shared" si="1"/>
        <v>0.12</v>
      </c>
      <c r="I21" s="15">
        <f t="shared" si="2"/>
        <v>0</v>
      </c>
      <c r="J21" s="15">
        <f>ROUND(G21/728-1,2)</f>
        <v>-0.02</v>
      </c>
    </row>
    <row r="22" spans="1:10" x14ac:dyDescent="0.25">
      <c r="A22" s="1" t="s">
        <v>16</v>
      </c>
      <c r="B22" s="1" t="s">
        <v>35</v>
      </c>
      <c r="C22" s="10"/>
      <c r="D22" s="10">
        <v>180</v>
      </c>
      <c r="E22" s="10">
        <v>160</v>
      </c>
      <c r="F22" s="10"/>
      <c r="G22" s="10">
        <f t="shared" si="0"/>
        <v>340</v>
      </c>
      <c r="H22" s="16">
        <f t="shared" si="1"/>
        <v>0.06</v>
      </c>
      <c r="I22" s="15">
        <f t="shared" si="2"/>
        <v>0</v>
      </c>
      <c r="J22" s="15">
        <f>ROUND(G22/1125-1,2)</f>
        <v>-0.7</v>
      </c>
    </row>
    <row r="23" spans="1:10" x14ac:dyDescent="0.25">
      <c r="A23" s="1" t="s">
        <v>16</v>
      </c>
      <c r="B23" s="1" t="s">
        <v>34</v>
      </c>
      <c r="C23" s="10"/>
      <c r="D23" s="10"/>
      <c r="E23" s="10">
        <v>855</v>
      </c>
      <c r="F23" s="10"/>
      <c r="G23" s="10">
        <f t="shared" si="0"/>
        <v>855</v>
      </c>
      <c r="H23" s="16">
        <f t="shared" si="1"/>
        <v>0.15</v>
      </c>
      <c r="I23" s="15">
        <f t="shared" si="2"/>
        <v>0</v>
      </c>
      <c r="J23" s="15">
        <f>ROUND(G23/1960-1,2)</f>
        <v>-0.56000000000000005</v>
      </c>
    </row>
    <row r="24" spans="1:10" x14ac:dyDescent="0.25">
      <c r="A24" s="1" t="s">
        <v>16</v>
      </c>
      <c r="B24" s="1" t="s">
        <v>43</v>
      </c>
      <c r="C24" s="10"/>
      <c r="D24" s="10"/>
      <c r="E24" s="10">
        <v>7545</v>
      </c>
      <c r="F24" s="10"/>
      <c r="G24" s="10">
        <f t="shared" si="0"/>
        <v>7545</v>
      </c>
      <c r="H24" s="16">
        <f t="shared" si="1"/>
        <v>1.31</v>
      </c>
      <c r="I24" s="15">
        <f t="shared" si="2"/>
        <v>3.0000000000000001E-3</v>
      </c>
      <c r="J24" s="15">
        <f>ROUND(G24/15800-1,2)</f>
        <v>-0.52</v>
      </c>
    </row>
    <row r="25" spans="1:10" x14ac:dyDescent="0.25">
      <c r="A25" s="1" t="s">
        <v>16</v>
      </c>
      <c r="B25" s="1" t="s">
        <v>37</v>
      </c>
      <c r="C25" s="10"/>
      <c r="D25" s="10"/>
      <c r="E25" s="10">
        <v>7070</v>
      </c>
      <c r="F25" s="10"/>
      <c r="G25" s="10">
        <f t="shared" si="0"/>
        <v>7070</v>
      </c>
      <c r="H25" s="16">
        <f t="shared" si="1"/>
        <v>1.23</v>
      </c>
      <c r="I25" s="15">
        <f t="shared" si="2"/>
        <v>3.0000000000000001E-3</v>
      </c>
      <c r="J25" s="15">
        <f>ROUND(G25/14681-1,2)</f>
        <v>-0.52</v>
      </c>
    </row>
    <row r="26" spans="1:10" x14ac:dyDescent="0.25">
      <c r="A26" s="1" t="s">
        <v>16</v>
      </c>
      <c r="B26" s="1" t="s">
        <v>38</v>
      </c>
      <c r="C26" s="10"/>
      <c r="D26" s="10"/>
      <c r="E26" s="10">
        <v>160750</v>
      </c>
      <c r="F26" s="10"/>
      <c r="G26" s="10">
        <f t="shared" si="0"/>
        <v>160750</v>
      </c>
      <c r="H26" s="16">
        <f t="shared" si="1"/>
        <v>27.97</v>
      </c>
      <c r="I26" s="15">
        <f t="shared" si="2"/>
        <v>7.1999999999999995E-2</v>
      </c>
      <c r="J26" s="15">
        <f>ROUND(G26/135240-1,2)</f>
        <v>0.19</v>
      </c>
    </row>
    <row r="27" spans="1:10" x14ac:dyDescent="0.25">
      <c r="A27" s="1" t="s">
        <v>16</v>
      </c>
      <c r="B27" s="1" t="s">
        <v>39</v>
      </c>
      <c r="C27" s="10"/>
      <c r="D27" s="10"/>
      <c r="E27" s="10">
        <v>6450</v>
      </c>
      <c r="F27" s="10"/>
      <c r="G27" s="10">
        <f t="shared" si="0"/>
        <v>6450</v>
      </c>
      <c r="H27" s="16">
        <f t="shared" si="1"/>
        <v>1.1200000000000001</v>
      </c>
      <c r="I27" s="15">
        <f t="shared" si="2"/>
        <v>3.0000000000000001E-3</v>
      </c>
      <c r="J27" s="15">
        <f>ROUND(G27/6340-1,2)</f>
        <v>0.02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39570</v>
      </c>
      <c r="F28" s="10"/>
      <c r="G28" s="10">
        <f t="shared" si="0"/>
        <v>39570</v>
      </c>
      <c r="H28" s="16">
        <f t="shared" si="1"/>
        <v>6.89</v>
      </c>
      <c r="I28" s="15">
        <f t="shared" si="2"/>
        <v>1.7999999999999999E-2</v>
      </c>
      <c r="J28" s="15">
        <f>ROUND(G28/35100-1,2)</f>
        <v>0.13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215020</v>
      </c>
      <c r="F29" s="10"/>
      <c r="G29" s="10">
        <f t="shared" si="0"/>
        <v>215020</v>
      </c>
      <c r="H29" s="16">
        <f t="shared" si="1"/>
        <v>37.409999999999997</v>
      </c>
      <c r="I29" s="15">
        <f t="shared" si="2"/>
        <v>9.7000000000000003E-2</v>
      </c>
      <c r="J29" s="15">
        <f>ROUND(G29/220150-1,2)</f>
        <v>-0.02</v>
      </c>
    </row>
    <row r="30" spans="1:10" x14ac:dyDescent="0.25">
      <c r="A30" s="1" t="s">
        <v>16</v>
      </c>
      <c r="B30" s="1" t="s">
        <v>42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ROUND(G30/387-1,2)</f>
        <v>-1</v>
      </c>
    </row>
    <row r="31" spans="1:10" x14ac:dyDescent="0.25">
      <c r="A31" s="1" t="s">
        <v>16</v>
      </c>
      <c r="B31" s="1" t="s">
        <v>36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ROUND(G31/5541-1,2)</f>
        <v>-1</v>
      </c>
    </row>
    <row r="32" spans="1:10" x14ac:dyDescent="0.25">
      <c r="A32" s="1" t="s">
        <v>16</v>
      </c>
      <c r="B32" s="1" t="s">
        <v>120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98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ROUND(G33/920-1,2)</f>
        <v>-1</v>
      </c>
    </row>
    <row r="34" spans="1:10" x14ac:dyDescent="0.25">
      <c r="A34" s="1" t="s">
        <v>16</v>
      </c>
      <c r="B34" s="1" t="s">
        <v>32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16</v>
      </c>
      <c r="B35" s="1" t="s">
        <v>161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16</v>
      </c>
      <c r="B36" s="1" t="s">
        <v>202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44</v>
      </c>
      <c r="B37" s="1" t="s">
        <v>45</v>
      </c>
      <c r="C37" s="10">
        <v>463880</v>
      </c>
      <c r="D37" s="10"/>
      <c r="E37" s="10"/>
      <c r="F37" s="10"/>
      <c r="G37" s="10">
        <f t="shared" si="0"/>
        <v>463880</v>
      </c>
      <c r="H37" s="16">
        <f t="shared" si="1"/>
        <v>80.72</v>
      </c>
      <c r="I37" s="15">
        <f t="shared" si="2"/>
        <v>0.20899999999999999</v>
      </c>
      <c r="J37" s="15">
        <f>ROUND(G37/450800-1,2)</f>
        <v>0.03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>
        <v>65780</v>
      </c>
      <c r="G38" s="10">
        <f t="shared" si="0"/>
        <v>65780</v>
      </c>
      <c r="H38" s="16">
        <f t="shared" si="1"/>
        <v>11.45</v>
      </c>
      <c r="I38" s="15">
        <f t="shared" si="2"/>
        <v>0.03</v>
      </c>
      <c r="J38" s="15">
        <f>ROUND(G38/54940-1,2)</f>
        <v>0.2</v>
      </c>
    </row>
    <row r="39" spans="1:10" x14ac:dyDescent="0.25">
      <c r="A39" s="1" t="s">
        <v>44</v>
      </c>
      <c r="B39" s="1" t="s">
        <v>46</v>
      </c>
      <c r="C39" s="10"/>
      <c r="D39" s="10"/>
      <c r="E39" s="10">
        <v>90220</v>
      </c>
      <c r="F39" s="10"/>
      <c r="G39" s="10">
        <f t="shared" si="0"/>
        <v>90220</v>
      </c>
      <c r="H39" s="16">
        <f t="shared" si="1"/>
        <v>15.7</v>
      </c>
      <c r="I39" s="15">
        <f t="shared" si="2"/>
        <v>4.1000000000000002E-2</v>
      </c>
      <c r="J39" s="15">
        <f>ROUND(G39/85680-1,2)</f>
        <v>0.05</v>
      </c>
    </row>
    <row r="40" spans="1:10" x14ac:dyDescent="0.25">
      <c r="A40" s="1" t="s">
        <v>48</v>
      </c>
      <c r="B40" s="1" t="s">
        <v>51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48</v>
      </c>
      <c r="B41" s="1" t="s">
        <v>49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ROUND(G41/65-1,2)</f>
        <v>-1</v>
      </c>
    </row>
    <row r="42" spans="1:10" x14ac:dyDescent="0.25">
      <c r="A42" s="1" t="s">
        <v>48</v>
      </c>
      <c r="B42" s="1" t="s">
        <v>50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>
        <f>ROUND(G42/885-1,2)</f>
        <v>-1</v>
      </c>
    </row>
    <row r="43" spans="1:10" x14ac:dyDescent="0.25">
      <c r="A43" s="1" t="s">
        <v>48</v>
      </c>
      <c r="B43" s="1" t="s">
        <v>94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/>
    </row>
    <row r="44" spans="1:10" x14ac:dyDescent="0.25">
      <c r="A44" s="1" t="s">
        <v>48</v>
      </c>
      <c r="B44" s="1" t="s">
        <v>86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27" t="s">
        <v>12</v>
      </c>
      <c r="B45" s="27"/>
      <c r="C45" s="11">
        <f t="shared" ref="C45:H45" si="3">SUM(C8:C44)</f>
        <v>1476040</v>
      </c>
      <c r="D45" s="11">
        <f t="shared" si="3"/>
        <v>788</v>
      </c>
      <c r="E45" s="11">
        <f t="shared" si="3"/>
        <v>674739</v>
      </c>
      <c r="F45" s="11">
        <f t="shared" si="3"/>
        <v>66440</v>
      </c>
      <c r="G45" s="11">
        <f t="shared" si="3"/>
        <v>2218007</v>
      </c>
      <c r="H45" s="14">
        <f t="shared" si="3"/>
        <v>385.93999999999994</v>
      </c>
      <c r="I45" s="17"/>
      <c r="J45" s="17"/>
    </row>
    <row r="46" spans="1:10" x14ac:dyDescent="0.25">
      <c r="A46" s="27" t="s">
        <v>14</v>
      </c>
      <c r="B46" s="27"/>
      <c r="C46" s="12">
        <f>ROUND(C45/G45,2)</f>
        <v>0.67</v>
      </c>
      <c r="D46" s="12">
        <f>ROUND(D45/G45,2)</f>
        <v>0</v>
      </c>
      <c r="E46" s="12">
        <f>ROUND(E45/G45,2)</f>
        <v>0.3</v>
      </c>
      <c r="F46" s="12">
        <f>ROUND(F45/G45,2)</f>
        <v>0.03</v>
      </c>
      <c r="G46" s="13"/>
      <c r="H46" s="13"/>
      <c r="I46" s="17"/>
      <c r="J46" s="17"/>
    </row>
    <row r="47" spans="1:10" x14ac:dyDescent="0.25">
      <c r="A47" s="2" t="s">
        <v>52</v>
      </c>
      <c r="B47" s="2"/>
      <c r="C47" s="13"/>
      <c r="D47" s="13"/>
      <c r="E47" s="13"/>
      <c r="F47" s="13"/>
      <c r="G47" s="13"/>
      <c r="H47" s="13"/>
      <c r="I47" s="17"/>
      <c r="J47" s="17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27" t="s">
        <v>53</v>
      </c>
      <c r="B51" s="27"/>
      <c r="C51" s="11" t="s">
        <v>8</v>
      </c>
      <c r="D51" s="11" t="s">
        <v>9</v>
      </c>
      <c r="E51" s="11" t="s">
        <v>10</v>
      </c>
      <c r="F51" s="11" t="s">
        <v>11</v>
      </c>
      <c r="G51" s="11" t="s">
        <v>12</v>
      </c>
      <c r="H51" s="14" t="s">
        <v>13</v>
      </c>
      <c r="I51" s="17"/>
      <c r="J51" s="17"/>
    </row>
    <row r="52" spans="1:10" x14ac:dyDescent="0.25">
      <c r="A52" s="22" t="s">
        <v>54</v>
      </c>
      <c r="B52" s="22"/>
      <c r="C52" s="10">
        <v>1012160</v>
      </c>
      <c r="D52" s="10">
        <v>788</v>
      </c>
      <c r="E52" s="10">
        <v>584519</v>
      </c>
      <c r="F52" s="10">
        <v>660</v>
      </c>
      <c r="G52" s="10">
        <f>SUM(C52:F52)</f>
        <v>1598127</v>
      </c>
      <c r="H52" s="16">
        <f>ROUND(G52/5747,2)</f>
        <v>278.08</v>
      </c>
      <c r="I52" s="9"/>
      <c r="J52" s="9"/>
    </row>
    <row r="53" spans="1:10" x14ac:dyDescent="0.25">
      <c r="A53" s="22" t="s">
        <v>55</v>
      </c>
      <c r="B53" s="22"/>
      <c r="C53" s="10">
        <v>463880</v>
      </c>
      <c r="D53" s="10">
        <v>0</v>
      </c>
      <c r="E53" s="10">
        <v>90220</v>
      </c>
      <c r="F53" s="10">
        <v>65780</v>
      </c>
      <c r="G53" s="10">
        <f>SUM(C53:F53)</f>
        <v>619880</v>
      </c>
      <c r="H53" s="16">
        <f>ROUND(G53/5747,2)</f>
        <v>107.86</v>
      </c>
      <c r="I53" s="9"/>
      <c r="J53" s="9"/>
    </row>
    <row r="54" spans="1:10" x14ac:dyDescent="0.25">
      <c r="A54" s="22" t="s">
        <v>56</v>
      </c>
      <c r="B54" s="22"/>
      <c r="C54" s="10">
        <v>0</v>
      </c>
      <c r="D54" s="10">
        <v>0</v>
      </c>
      <c r="E54" s="10">
        <v>0</v>
      </c>
      <c r="F54" s="10">
        <v>0</v>
      </c>
      <c r="G54" s="10">
        <f>SUM(C54:F54)</f>
        <v>0</v>
      </c>
      <c r="H54" s="16">
        <f>ROUND(G54/5747,2)</f>
        <v>0</v>
      </c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57</v>
      </c>
      <c r="B59" s="27"/>
      <c r="C59" s="14" t="s">
        <v>2</v>
      </c>
      <c r="D59" s="14">
        <v>2023</v>
      </c>
      <c r="E59" s="14" t="s">
        <v>59</v>
      </c>
      <c r="F59" s="13"/>
      <c r="G59" s="14" t="s">
        <v>60</v>
      </c>
      <c r="H59" s="14" t="s">
        <v>2</v>
      </c>
      <c r="I59" s="12" t="s">
        <v>61</v>
      </c>
      <c r="J59" s="12" t="s">
        <v>59</v>
      </c>
    </row>
    <row r="60" spans="1:10" x14ac:dyDescent="0.25">
      <c r="A60" s="22" t="s">
        <v>58</v>
      </c>
      <c r="B60" s="22"/>
      <c r="C60" s="15">
        <f>ROUND(0.7769, 4)</f>
        <v>0.77690000000000003</v>
      </c>
      <c r="D60" s="15">
        <f>ROUND(0.7791, 4)</f>
        <v>0.77910000000000001</v>
      </c>
      <c r="E60" s="15">
        <f>ROUND(0.777, 4)</f>
        <v>0.77700000000000002</v>
      </c>
      <c r="F60" s="8"/>
      <c r="G60" s="14" t="s">
        <v>62</v>
      </c>
      <c r="H60" s="28" t="s">
        <v>63</v>
      </c>
      <c r="I60" s="25" t="s">
        <v>64</v>
      </c>
      <c r="J60" s="25" t="s">
        <v>65</v>
      </c>
    </row>
    <row r="61" spans="1:10" x14ac:dyDescent="0.25">
      <c r="A61" s="22" t="s">
        <v>66</v>
      </c>
      <c r="B61" s="22"/>
      <c r="C61" s="15">
        <f>ROUND(0.7661, 4)</f>
        <v>0.7661</v>
      </c>
      <c r="D61" s="15">
        <f>ROUND(0.7684, 4)</f>
        <v>0.76839999999999997</v>
      </c>
      <c r="E61" s="15">
        <f>ROUND(0.7608, 4)</f>
        <v>0.76080000000000003</v>
      </c>
      <c r="F61" s="8"/>
      <c r="G61" s="14" t="s">
        <v>67</v>
      </c>
      <c r="H61" s="29"/>
      <c r="I61" s="26"/>
      <c r="J61" s="26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7" t="s">
        <v>68</v>
      </c>
      <c r="B65" s="27"/>
      <c r="C65" s="14" t="s">
        <v>2</v>
      </c>
      <c r="D65" s="14" t="s">
        <v>203</v>
      </c>
      <c r="E65" s="14" t="s">
        <v>70</v>
      </c>
      <c r="F65" s="14" t="s">
        <v>71</v>
      </c>
      <c r="G65" s="14" t="s">
        <v>72</v>
      </c>
      <c r="H65" s="13"/>
      <c r="I65" s="17"/>
      <c r="J65" s="17"/>
    </row>
    <row r="66" spans="1:10" x14ac:dyDescent="0.25">
      <c r="A66" s="22" t="s">
        <v>73</v>
      </c>
      <c r="B66" s="22"/>
      <c r="C66" s="16">
        <v>80.72</v>
      </c>
      <c r="D66" s="16">
        <v>80.150000000000006</v>
      </c>
      <c r="E66" s="16">
        <v>92.53</v>
      </c>
      <c r="F66" s="16">
        <v>56.06</v>
      </c>
      <c r="G66" s="16">
        <f>12/11*C66</f>
        <v>88.058181818181808</v>
      </c>
      <c r="H66" s="8"/>
      <c r="I66" s="9"/>
      <c r="J66" s="9"/>
    </row>
    <row r="67" spans="1:10" x14ac:dyDescent="0.25">
      <c r="A67" s="22" t="s">
        <v>74</v>
      </c>
      <c r="B67" s="22"/>
      <c r="C67" s="16">
        <v>71.63</v>
      </c>
      <c r="D67" s="16">
        <v>80.540000000000006</v>
      </c>
      <c r="E67" s="16">
        <v>61.98</v>
      </c>
      <c r="F67" s="16">
        <v>64.09</v>
      </c>
      <c r="G67" s="16">
        <f>12/11*C67</f>
        <v>78.141818181818167</v>
      </c>
      <c r="H67" s="8"/>
      <c r="I67" s="9"/>
      <c r="J67" s="9"/>
    </row>
    <row r="68" spans="1:10" x14ac:dyDescent="0.25">
      <c r="A68" s="22" t="s">
        <v>75</v>
      </c>
      <c r="B68" s="22"/>
      <c r="C68" s="16">
        <v>278.08</v>
      </c>
      <c r="D68" s="16">
        <v>307.54000000000002</v>
      </c>
      <c r="E68" s="16">
        <v>291.51</v>
      </c>
      <c r="F68" s="16">
        <v>284.45</v>
      </c>
      <c r="G68" s="16">
        <f>12/11*C68</f>
        <v>303.35999999999996</v>
      </c>
      <c r="H68" s="8"/>
      <c r="I68" s="9"/>
      <c r="J68" s="9"/>
    </row>
    <row r="69" spans="1:10" x14ac:dyDescent="0.25">
      <c r="A69" s="22" t="s">
        <v>76</v>
      </c>
      <c r="B69" s="22"/>
      <c r="C69" s="16">
        <v>107.86</v>
      </c>
      <c r="D69" s="16">
        <v>114.82</v>
      </c>
      <c r="E69" s="16">
        <v>116.46</v>
      </c>
      <c r="F69" s="16">
        <v>79.959999999999994</v>
      </c>
      <c r="G69" s="16">
        <f>12/11*C69</f>
        <v>117.66545454545454</v>
      </c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23" t="s">
        <v>60</v>
      </c>
      <c r="B72" s="24"/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77</v>
      </c>
      <c r="B73" s="1" t="s">
        <v>204</v>
      </c>
      <c r="C73" s="8"/>
      <c r="D73" s="8"/>
      <c r="E73" s="8"/>
      <c r="F73" s="8"/>
      <c r="G73" s="8"/>
      <c r="H73" s="8"/>
      <c r="I73" s="9"/>
      <c r="J73" s="9"/>
    </row>
    <row r="74" spans="1:10" x14ac:dyDescent="0.25">
      <c r="A74" s="3" t="s">
        <v>70</v>
      </c>
      <c r="B74" s="1" t="s">
        <v>79</v>
      </c>
      <c r="C74" s="8"/>
      <c r="D74" s="8"/>
      <c r="E74" s="8"/>
      <c r="F74" s="8"/>
      <c r="G74" s="8"/>
      <c r="H74" s="8"/>
      <c r="I74" s="9"/>
      <c r="J74" s="9"/>
    </row>
    <row r="75" spans="1:10" x14ac:dyDescent="0.25">
      <c r="A75" s="3" t="s">
        <v>71</v>
      </c>
      <c r="B75" s="1" t="s">
        <v>80</v>
      </c>
      <c r="C75" s="8"/>
      <c r="D75" s="8"/>
      <c r="E75" s="8"/>
      <c r="F75" s="8"/>
      <c r="G75" s="8"/>
      <c r="H75" s="8"/>
      <c r="I75" s="9"/>
      <c r="J75" s="9"/>
    </row>
    <row r="76" spans="1:10" x14ac:dyDescent="0.25">
      <c r="A76" s="3" t="s">
        <v>72</v>
      </c>
      <c r="B76" s="1" t="s">
        <v>81</v>
      </c>
    </row>
  </sheetData>
  <mergeCells count="19">
    <mergeCell ref="C7:G7"/>
    <mergeCell ref="A45:B45"/>
    <mergeCell ref="A46:B46"/>
    <mergeCell ref="A51:B51"/>
    <mergeCell ref="A52:B52"/>
    <mergeCell ref="J60:J61"/>
    <mergeCell ref="A61:B61"/>
    <mergeCell ref="A65:B65"/>
    <mergeCell ref="A66:B66"/>
    <mergeCell ref="A53:B53"/>
    <mergeCell ref="A54:B54"/>
    <mergeCell ref="A59:B59"/>
    <mergeCell ref="A60:B60"/>
    <mergeCell ref="H60:H61"/>
    <mergeCell ref="A67:B67"/>
    <mergeCell ref="A68:B68"/>
    <mergeCell ref="A69:B69"/>
    <mergeCell ref="A72:B72"/>
    <mergeCell ref="I60:I6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8.28515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205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6862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50</v>
      </c>
      <c r="C9" s="10"/>
      <c r="D9" s="10"/>
      <c r="E9" s="10"/>
      <c r="F9" s="10">
        <v>173</v>
      </c>
      <c r="G9" s="10">
        <f t="shared" ref="G9:G43" si="0">SUM(C9:F9)</f>
        <v>173</v>
      </c>
      <c r="H9" s="16">
        <f t="shared" ref="H9:H43" si="1">ROUND(G9/6862,2)</f>
        <v>0.03</v>
      </c>
      <c r="I9" s="15">
        <f t="shared" ref="I9:I43" si="2">ROUND(G9/$G$44,3)</f>
        <v>0</v>
      </c>
      <c r="J9" s="15"/>
    </row>
    <row r="10" spans="1:10" x14ac:dyDescent="0.25">
      <c r="A10" s="1" t="s">
        <v>48</v>
      </c>
      <c r="B10" s="1" t="s">
        <v>51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/>
    </row>
    <row r="11" spans="1:10" x14ac:dyDescent="0.25">
      <c r="A11" s="1" t="s">
        <v>48</v>
      </c>
      <c r="B11" s="1" t="s">
        <v>49</v>
      </c>
      <c r="C11" s="10"/>
      <c r="D11" s="10"/>
      <c r="E11" s="10"/>
      <c r="F11" s="10"/>
      <c r="G11" s="10">
        <f t="shared" si="0"/>
        <v>0</v>
      </c>
      <c r="H11" s="16">
        <f t="shared" si="1"/>
        <v>0</v>
      </c>
      <c r="I11" s="15">
        <f t="shared" si="2"/>
        <v>0</v>
      </c>
      <c r="J11" s="15">
        <f>ROUND(G11/20-1,2)</f>
        <v>-1</v>
      </c>
    </row>
    <row r="12" spans="1:10" x14ac:dyDescent="0.25">
      <c r="A12" s="1" t="s">
        <v>48</v>
      </c>
      <c r="B12" s="1" t="s">
        <v>86</v>
      </c>
      <c r="C12" s="10"/>
      <c r="D12" s="10"/>
      <c r="E12" s="10"/>
      <c r="F12" s="10"/>
      <c r="G12" s="10">
        <f t="shared" si="0"/>
        <v>0</v>
      </c>
      <c r="H12" s="16">
        <f t="shared" si="1"/>
        <v>0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17</v>
      </c>
      <c r="C13" s="10"/>
      <c r="D13" s="10"/>
      <c r="E13" s="10">
        <v>228</v>
      </c>
      <c r="F13" s="10"/>
      <c r="G13" s="10">
        <f t="shared" si="0"/>
        <v>228</v>
      </c>
      <c r="H13" s="16">
        <f t="shared" si="1"/>
        <v>0.03</v>
      </c>
      <c r="I13" s="15">
        <f t="shared" si="2"/>
        <v>0</v>
      </c>
      <c r="J13" s="15">
        <f>ROUND(G13/90-1,2)</f>
        <v>1.53</v>
      </c>
    </row>
    <row r="14" spans="1:10" x14ac:dyDescent="0.25">
      <c r="A14" s="1" t="s">
        <v>16</v>
      </c>
      <c r="B14" s="1" t="s">
        <v>19</v>
      </c>
      <c r="C14" s="10">
        <v>183580</v>
      </c>
      <c r="D14" s="10"/>
      <c r="E14" s="10">
        <v>13610</v>
      </c>
      <c r="F14" s="10">
        <v>340</v>
      </c>
      <c r="G14" s="10">
        <f t="shared" si="0"/>
        <v>197530</v>
      </c>
      <c r="H14" s="16">
        <f t="shared" si="1"/>
        <v>28.79</v>
      </c>
      <c r="I14" s="15">
        <f t="shared" si="2"/>
        <v>7.0000000000000007E-2</v>
      </c>
      <c r="J14" s="15">
        <f>ROUND(G14/181490-1,2)</f>
        <v>0.09</v>
      </c>
    </row>
    <row r="15" spans="1:10" x14ac:dyDescent="0.25">
      <c r="A15" s="1" t="s">
        <v>16</v>
      </c>
      <c r="B15" s="1" t="s">
        <v>20</v>
      </c>
      <c r="C15" s="10">
        <v>240610</v>
      </c>
      <c r="D15" s="10"/>
      <c r="E15" s="10"/>
      <c r="F15" s="10"/>
      <c r="G15" s="10">
        <f t="shared" si="0"/>
        <v>240610</v>
      </c>
      <c r="H15" s="16">
        <f t="shared" si="1"/>
        <v>35.06</v>
      </c>
      <c r="I15" s="15">
        <f t="shared" si="2"/>
        <v>8.5999999999999993E-2</v>
      </c>
      <c r="J15" s="15">
        <f>ROUND(G15/227200-1,2)</f>
        <v>0.06</v>
      </c>
    </row>
    <row r="16" spans="1:10" x14ac:dyDescent="0.25">
      <c r="A16" s="1" t="s">
        <v>16</v>
      </c>
      <c r="B16" s="1" t="s">
        <v>95</v>
      </c>
      <c r="C16" s="10"/>
      <c r="D16" s="10"/>
      <c r="E16" s="10">
        <v>132</v>
      </c>
      <c r="F16" s="10"/>
      <c r="G16" s="10">
        <f t="shared" si="0"/>
        <v>132</v>
      </c>
      <c r="H16" s="16">
        <f t="shared" si="1"/>
        <v>0.02</v>
      </c>
      <c r="I16" s="15">
        <f t="shared" si="2"/>
        <v>0</v>
      </c>
      <c r="J16" s="15">
        <f>ROUND(G16/224-1,2)</f>
        <v>-0.41</v>
      </c>
    </row>
    <row r="17" spans="1:10" x14ac:dyDescent="0.25">
      <c r="A17" s="1" t="s">
        <v>16</v>
      </c>
      <c r="B17" s="1" t="s">
        <v>21</v>
      </c>
      <c r="C17" s="10"/>
      <c r="D17" s="10"/>
      <c r="E17" s="10">
        <v>290</v>
      </c>
      <c r="F17" s="10"/>
      <c r="G17" s="10">
        <f t="shared" si="0"/>
        <v>290</v>
      </c>
      <c r="H17" s="16">
        <f t="shared" si="1"/>
        <v>0.04</v>
      </c>
      <c r="I17" s="15">
        <f t="shared" si="2"/>
        <v>0</v>
      </c>
      <c r="J17" s="15">
        <f>ROUND(G17/464-1,2)</f>
        <v>-0.38</v>
      </c>
    </row>
    <row r="18" spans="1:10" x14ac:dyDescent="0.25">
      <c r="A18" s="1" t="s">
        <v>16</v>
      </c>
      <c r="B18" s="1" t="s">
        <v>22</v>
      </c>
      <c r="C18" s="10"/>
      <c r="D18" s="10"/>
      <c r="E18" s="10">
        <v>3460</v>
      </c>
      <c r="F18" s="10"/>
      <c r="G18" s="10">
        <f t="shared" si="0"/>
        <v>3460</v>
      </c>
      <c r="H18" s="16">
        <f t="shared" si="1"/>
        <v>0.5</v>
      </c>
      <c r="I18" s="15">
        <f t="shared" si="2"/>
        <v>1E-3</v>
      </c>
      <c r="J18" s="15">
        <f>ROUND(G18/2860-1,2)</f>
        <v>0.21</v>
      </c>
    </row>
    <row r="19" spans="1:10" x14ac:dyDescent="0.25">
      <c r="A19" s="1" t="s">
        <v>16</v>
      </c>
      <c r="B19" s="1" t="s">
        <v>98</v>
      </c>
      <c r="C19" s="10"/>
      <c r="D19" s="10"/>
      <c r="E19" s="10"/>
      <c r="F19" s="10">
        <v>43</v>
      </c>
      <c r="G19" s="10">
        <f t="shared" si="0"/>
        <v>43</v>
      </c>
      <c r="H19" s="16">
        <f t="shared" si="1"/>
        <v>0.01</v>
      </c>
      <c r="I19" s="15">
        <f t="shared" si="2"/>
        <v>0</v>
      </c>
      <c r="J19" s="15"/>
    </row>
    <row r="20" spans="1:10" x14ac:dyDescent="0.25">
      <c r="A20" s="1" t="s">
        <v>16</v>
      </c>
      <c r="B20" s="1" t="s">
        <v>23</v>
      </c>
      <c r="C20" s="10"/>
      <c r="D20" s="10"/>
      <c r="E20" s="10">
        <v>264540</v>
      </c>
      <c r="F20" s="10"/>
      <c r="G20" s="10">
        <f t="shared" si="0"/>
        <v>264540</v>
      </c>
      <c r="H20" s="16">
        <f t="shared" si="1"/>
        <v>38.549999999999997</v>
      </c>
      <c r="I20" s="15">
        <f t="shared" si="2"/>
        <v>9.4E-2</v>
      </c>
      <c r="J20" s="15">
        <f>ROUND(G20/194180-1,2)</f>
        <v>0.36</v>
      </c>
    </row>
    <row r="21" spans="1:10" x14ac:dyDescent="0.25">
      <c r="A21" s="1" t="s">
        <v>16</v>
      </c>
      <c r="B21" s="1" t="s">
        <v>24</v>
      </c>
      <c r="C21" s="10">
        <v>265520</v>
      </c>
      <c r="D21" s="10"/>
      <c r="E21" s="10">
        <v>64520</v>
      </c>
      <c r="F21" s="10">
        <v>10740</v>
      </c>
      <c r="G21" s="10">
        <f t="shared" si="0"/>
        <v>340780</v>
      </c>
      <c r="H21" s="16">
        <f t="shared" si="1"/>
        <v>49.66</v>
      </c>
      <c r="I21" s="15">
        <f t="shared" si="2"/>
        <v>0.121</v>
      </c>
      <c r="J21" s="15">
        <f>ROUND(G21/338410-1,2)</f>
        <v>0.01</v>
      </c>
    </row>
    <row r="22" spans="1:10" x14ac:dyDescent="0.25">
      <c r="A22" s="1" t="s">
        <v>16</v>
      </c>
      <c r="B22" s="1" t="s">
        <v>25</v>
      </c>
      <c r="C22" s="10"/>
      <c r="D22" s="10"/>
      <c r="E22" s="10">
        <v>11965</v>
      </c>
      <c r="F22" s="10"/>
      <c r="G22" s="10">
        <f t="shared" si="0"/>
        <v>11965</v>
      </c>
      <c r="H22" s="16">
        <f t="shared" si="1"/>
        <v>1.74</v>
      </c>
      <c r="I22" s="15">
        <f t="shared" si="2"/>
        <v>4.0000000000000001E-3</v>
      </c>
      <c r="J22" s="15">
        <f>ROUND(G22/10520-1,2)</f>
        <v>0.14000000000000001</v>
      </c>
    </row>
    <row r="23" spans="1:10" x14ac:dyDescent="0.25">
      <c r="A23" s="1" t="s">
        <v>16</v>
      </c>
      <c r="B23" s="1" t="s">
        <v>26</v>
      </c>
      <c r="C23" s="10">
        <v>388460</v>
      </c>
      <c r="D23" s="10"/>
      <c r="E23" s="10"/>
      <c r="F23" s="10">
        <v>1380</v>
      </c>
      <c r="G23" s="10">
        <f t="shared" si="0"/>
        <v>389840</v>
      </c>
      <c r="H23" s="16">
        <f t="shared" si="1"/>
        <v>56.81</v>
      </c>
      <c r="I23" s="15">
        <f t="shared" si="2"/>
        <v>0.13900000000000001</v>
      </c>
      <c r="J23" s="15">
        <f>ROUND(G23/394940-1,2)</f>
        <v>-0.01</v>
      </c>
    </row>
    <row r="24" spans="1:10" x14ac:dyDescent="0.25">
      <c r="A24" s="1" t="s">
        <v>16</v>
      </c>
      <c r="B24" s="1" t="s">
        <v>27</v>
      </c>
      <c r="C24" s="10"/>
      <c r="D24" s="10"/>
      <c r="E24" s="10">
        <v>7244</v>
      </c>
      <c r="F24" s="10"/>
      <c r="G24" s="10">
        <f t="shared" si="0"/>
        <v>7244</v>
      </c>
      <c r="H24" s="16">
        <f t="shared" si="1"/>
        <v>1.06</v>
      </c>
      <c r="I24" s="15">
        <f t="shared" si="2"/>
        <v>3.0000000000000001E-3</v>
      </c>
      <c r="J24" s="15">
        <f>ROUND(G24/2659-1,2)</f>
        <v>1.72</v>
      </c>
    </row>
    <row r="25" spans="1:10" x14ac:dyDescent="0.25">
      <c r="A25" s="1" t="s">
        <v>16</v>
      </c>
      <c r="B25" s="1" t="s">
        <v>28</v>
      </c>
      <c r="C25" s="10"/>
      <c r="D25" s="10"/>
      <c r="E25" s="10">
        <v>1201</v>
      </c>
      <c r="F25" s="10"/>
      <c r="G25" s="10">
        <f t="shared" si="0"/>
        <v>1201</v>
      </c>
      <c r="H25" s="16">
        <f t="shared" si="1"/>
        <v>0.18</v>
      </c>
      <c r="I25" s="15">
        <f t="shared" si="2"/>
        <v>0</v>
      </c>
      <c r="J25" s="15">
        <f>ROUND(G25/1608-1,2)</f>
        <v>-0.25</v>
      </c>
    </row>
    <row r="26" spans="1:10" x14ac:dyDescent="0.25">
      <c r="A26" s="1" t="s">
        <v>16</v>
      </c>
      <c r="B26" s="1" t="s">
        <v>29</v>
      </c>
      <c r="C26" s="10"/>
      <c r="D26" s="10"/>
      <c r="E26" s="10">
        <v>5420</v>
      </c>
      <c r="F26" s="10"/>
      <c r="G26" s="10">
        <f t="shared" si="0"/>
        <v>5420</v>
      </c>
      <c r="H26" s="16">
        <f t="shared" si="1"/>
        <v>0.79</v>
      </c>
      <c r="I26" s="15">
        <f t="shared" si="2"/>
        <v>2E-3</v>
      </c>
      <c r="J26" s="15">
        <f>ROUND(G26/10110-1,2)</f>
        <v>-0.46</v>
      </c>
    </row>
    <row r="27" spans="1:10" x14ac:dyDescent="0.25">
      <c r="A27" s="1" t="s">
        <v>16</v>
      </c>
      <c r="B27" s="1" t="s">
        <v>30</v>
      </c>
      <c r="C27" s="10"/>
      <c r="D27" s="10"/>
      <c r="E27" s="10">
        <v>2970</v>
      </c>
      <c r="F27" s="10"/>
      <c r="G27" s="10">
        <f t="shared" si="0"/>
        <v>2970</v>
      </c>
      <c r="H27" s="16">
        <f t="shared" si="1"/>
        <v>0.43</v>
      </c>
      <c r="I27" s="15">
        <f t="shared" si="2"/>
        <v>1E-3</v>
      </c>
      <c r="J27" s="15">
        <f>ROUND(G27/2750-1,2)</f>
        <v>0.08</v>
      </c>
    </row>
    <row r="28" spans="1:10" x14ac:dyDescent="0.25">
      <c r="A28" s="1" t="s">
        <v>16</v>
      </c>
      <c r="B28" s="1" t="s">
        <v>31</v>
      </c>
      <c r="C28" s="10"/>
      <c r="D28" s="10"/>
      <c r="E28" s="10">
        <v>1370</v>
      </c>
      <c r="F28" s="10"/>
      <c r="G28" s="10">
        <f t="shared" si="0"/>
        <v>1370</v>
      </c>
      <c r="H28" s="16">
        <f t="shared" si="1"/>
        <v>0.2</v>
      </c>
      <c r="I28" s="15">
        <f t="shared" si="2"/>
        <v>0</v>
      </c>
      <c r="J28" s="15">
        <f>ROUND(G28/550-1,2)</f>
        <v>1.49</v>
      </c>
    </row>
    <row r="29" spans="1:10" x14ac:dyDescent="0.25">
      <c r="A29" s="1" t="s">
        <v>16</v>
      </c>
      <c r="B29" s="1" t="s">
        <v>32</v>
      </c>
      <c r="C29" s="10"/>
      <c r="D29" s="10"/>
      <c r="E29" s="10">
        <v>3485</v>
      </c>
      <c r="F29" s="10"/>
      <c r="G29" s="10">
        <f t="shared" si="0"/>
        <v>3485</v>
      </c>
      <c r="H29" s="16">
        <f t="shared" si="1"/>
        <v>0.51</v>
      </c>
      <c r="I29" s="15">
        <f t="shared" si="2"/>
        <v>1E-3</v>
      </c>
      <c r="J29" s="15">
        <f>ROUND(G29/5240-1,2)</f>
        <v>-0.33</v>
      </c>
    </row>
    <row r="30" spans="1:10" x14ac:dyDescent="0.25">
      <c r="A30" s="1" t="s">
        <v>16</v>
      </c>
      <c r="B30" s="1" t="s">
        <v>33</v>
      </c>
      <c r="C30" s="10"/>
      <c r="D30" s="10">
        <v>460</v>
      </c>
      <c r="E30" s="10">
        <v>152</v>
      </c>
      <c r="F30" s="10"/>
      <c r="G30" s="10">
        <f t="shared" si="0"/>
        <v>612</v>
      </c>
      <c r="H30" s="16">
        <f t="shared" si="1"/>
        <v>0.09</v>
      </c>
      <c r="I30" s="15">
        <f t="shared" si="2"/>
        <v>0</v>
      </c>
      <c r="J30" s="15">
        <f>ROUND(G30/626-1,2)</f>
        <v>-0.02</v>
      </c>
    </row>
    <row r="31" spans="1:10" x14ac:dyDescent="0.25">
      <c r="A31" s="1" t="s">
        <v>16</v>
      </c>
      <c r="B31" s="1" t="s">
        <v>35</v>
      </c>
      <c r="C31" s="10"/>
      <c r="D31" s="10"/>
      <c r="E31" s="10">
        <v>570</v>
      </c>
      <c r="F31" s="10"/>
      <c r="G31" s="10">
        <f t="shared" si="0"/>
        <v>570</v>
      </c>
      <c r="H31" s="16">
        <f t="shared" si="1"/>
        <v>0.08</v>
      </c>
      <c r="I31" s="15">
        <f t="shared" si="2"/>
        <v>0</v>
      </c>
      <c r="J31" s="15">
        <f>ROUND(G31/1234-1,2)</f>
        <v>-0.54</v>
      </c>
    </row>
    <row r="32" spans="1:10" x14ac:dyDescent="0.25">
      <c r="A32" s="1" t="s">
        <v>16</v>
      </c>
      <c r="B32" s="1" t="s">
        <v>37</v>
      </c>
      <c r="C32" s="10"/>
      <c r="D32" s="10"/>
      <c r="E32" s="10">
        <v>5280</v>
      </c>
      <c r="F32" s="10"/>
      <c r="G32" s="10">
        <f t="shared" si="0"/>
        <v>5280</v>
      </c>
      <c r="H32" s="16">
        <f t="shared" si="1"/>
        <v>0.77</v>
      </c>
      <c r="I32" s="15">
        <f t="shared" si="2"/>
        <v>2E-3</v>
      </c>
      <c r="J32" s="15">
        <f>ROUND(G32/12510-1,2)</f>
        <v>-0.57999999999999996</v>
      </c>
    </row>
    <row r="33" spans="1:10" x14ac:dyDescent="0.25">
      <c r="A33" s="1" t="s">
        <v>16</v>
      </c>
      <c r="B33" s="1" t="s">
        <v>43</v>
      </c>
      <c r="C33" s="10"/>
      <c r="D33" s="10"/>
      <c r="E33" s="10">
        <v>10650</v>
      </c>
      <c r="F33" s="10"/>
      <c r="G33" s="10">
        <f t="shared" si="0"/>
        <v>10650</v>
      </c>
      <c r="H33" s="16">
        <f t="shared" si="1"/>
        <v>1.55</v>
      </c>
      <c r="I33" s="15">
        <f t="shared" si="2"/>
        <v>4.0000000000000001E-3</v>
      </c>
      <c r="J33" s="15">
        <f>ROUND(G33/17455-1,2)</f>
        <v>-0.39</v>
      </c>
    </row>
    <row r="34" spans="1:10" x14ac:dyDescent="0.25">
      <c r="A34" s="1" t="s">
        <v>16</v>
      </c>
      <c r="B34" s="1" t="s">
        <v>38</v>
      </c>
      <c r="C34" s="10"/>
      <c r="D34" s="10"/>
      <c r="E34" s="10">
        <v>214310</v>
      </c>
      <c r="F34" s="10"/>
      <c r="G34" s="10">
        <f t="shared" si="0"/>
        <v>214310</v>
      </c>
      <c r="H34" s="16">
        <f t="shared" si="1"/>
        <v>31.23</v>
      </c>
      <c r="I34" s="15">
        <f t="shared" si="2"/>
        <v>7.5999999999999998E-2</v>
      </c>
      <c r="J34" s="15">
        <f>ROUND(G34/163740-1,2)</f>
        <v>0.31</v>
      </c>
    </row>
    <row r="35" spans="1:10" x14ac:dyDescent="0.25">
      <c r="A35" s="1" t="s">
        <v>16</v>
      </c>
      <c r="B35" s="1" t="s">
        <v>39</v>
      </c>
      <c r="C35" s="10"/>
      <c r="D35" s="10"/>
      <c r="E35" s="10">
        <v>9600</v>
      </c>
      <c r="F35" s="10"/>
      <c r="G35" s="10">
        <f t="shared" si="0"/>
        <v>9600</v>
      </c>
      <c r="H35" s="16">
        <f t="shared" si="1"/>
        <v>1.4</v>
      </c>
      <c r="I35" s="15">
        <f t="shared" si="2"/>
        <v>3.0000000000000001E-3</v>
      </c>
      <c r="J35" s="15">
        <f>ROUND(G35/8915-1,2)</f>
        <v>0.08</v>
      </c>
    </row>
    <row r="36" spans="1:10" x14ac:dyDescent="0.25">
      <c r="A36" s="1" t="s">
        <v>16</v>
      </c>
      <c r="B36" s="1" t="s">
        <v>40</v>
      </c>
      <c r="C36" s="10"/>
      <c r="D36" s="10"/>
      <c r="E36" s="10">
        <v>49570</v>
      </c>
      <c r="F36" s="10"/>
      <c r="G36" s="10">
        <f t="shared" si="0"/>
        <v>49570</v>
      </c>
      <c r="H36" s="16">
        <f t="shared" si="1"/>
        <v>7.22</v>
      </c>
      <c r="I36" s="15">
        <f t="shared" si="2"/>
        <v>1.7999999999999999E-2</v>
      </c>
      <c r="J36" s="15">
        <f>ROUND(G36/39200-1,2)</f>
        <v>0.26</v>
      </c>
    </row>
    <row r="37" spans="1:10" x14ac:dyDescent="0.25">
      <c r="A37" s="1" t="s">
        <v>16</v>
      </c>
      <c r="B37" s="1" t="s">
        <v>41</v>
      </c>
      <c r="C37" s="10"/>
      <c r="D37" s="10"/>
      <c r="E37" s="10">
        <v>400620</v>
      </c>
      <c r="F37" s="10">
        <v>5220</v>
      </c>
      <c r="G37" s="10">
        <f t="shared" si="0"/>
        <v>405840</v>
      </c>
      <c r="H37" s="16">
        <f t="shared" si="1"/>
        <v>59.14</v>
      </c>
      <c r="I37" s="15">
        <f t="shared" si="2"/>
        <v>0.14399999999999999</v>
      </c>
      <c r="J37" s="15">
        <f>ROUND(G37/327020-1,2)</f>
        <v>0.24</v>
      </c>
    </row>
    <row r="38" spans="1:10" x14ac:dyDescent="0.25">
      <c r="A38" s="1" t="s">
        <v>16</v>
      </c>
      <c r="B38" s="1" t="s">
        <v>42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ROUND(G38/169-1,2)</f>
        <v>-1</v>
      </c>
    </row>
    <row r="39" spans="1:10" x14ac:dyDescent="0.25">
      <c r="A39" s="1" t="s">
        <v>16</v>
      </c>
      <c r="B39" s="1" t="s">
        <v>36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ROUND(G39/7015-1,2)</f>
        <v>-1</v>
      </c>
    </row>
    <row r="40" spans="1:10" x14ac:dyDescent="0.25">
      <c r="A40" s="1" t="s">
        <v>16</v>
      </c>
      <c r="B40" s="1" t="s">
        <v>34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44</v>
      </c>
      <c r="B41" s="1" t="s">
        <v>45</v>
      </c>
      <c r="C41" s="10">
        <v>412640</v>
      </c>
      <c r="D41" s="10"/>
      <c r="E41" s="10"/>
      <c r="F41" s="10"/>
      <c r="G41" s="10">
        <f t="shared" si="0"/>
        <v>412640</v>
      </c>
      <c r="H41" s="16">
        <f t="shared" si="1"/>
        <v>60.13</v>
      </c>
      <c r="I41" s="15">
        <f t="shared" si="2"/>
        <v>0.14699999999999999</v>
      </c>
      <c r="J41" s="15">
        <f>ROUND(G41/406210-1,2)</f>
        <v>0.02</v>
      </c>
    </row>
    <row r="42" spans="1:10" x14ac:dyDescent="0.25">
      <c r="A42" s="1" t="s">
        <v>44</v>
      </c>
      <c r="B42" s="1" t="s">
        <v>47</v>
      </c>
      <c r="C42" s="10"/>
      <c r="D42" s="10"/>
      <c r="E42" s="10"/>
      <c r="F42" s="10">
        <v>63180</v>
      </c>
      <c r="G42" s="10">
        <f t="shared" si="0"/>
        <v>63180</v>
      </c>
      <c r="H42" s="16">
        <f t="shared" si="1"/>
        <v>9.2100000000000009</v>
      </c>
      <c r="I42" s="15">
        <f t="shared" si="2"/>
        <v>2.1999999999999999E-2</v>
      </c>
      <c r="J42" s="15">
        <f>ROUND(G42/69320-1,2)</f>
        <v>-0.09</v>
      </c>
    </row>
    <row r="43" spans="1:10" x14ac:dyDescent="0.25">
      <c r="A43" s="1" t="s">
        <v>44</v>
      </c>
      <c r="B43" s="1" t="s">
        <v>46</v>
      </c>
      <c r="C43" s="10"/>
      <c r="D43" s="10"/>
      <c r="E43" s="10">
        <v>165850</v>
      </c>
      <c r="F43" s="10"/>
      <c r="G43" s="10">
        <f t="shared" si="0"/>
        <v>165850</v>
      </c>
      <c r="H43" s="16">
        <f t="shared" si="1"/>
        <v>24.17</v>
      </c>
      <c r="I43" s="15">
        <f t="shared" si="2"/>
        <v>5.8999999999999997E-2</v>
      </c>
      <c r="J43" s="15">
        <f>ROUND(G43/129360-1,2)</f>
        <v>0.28000000000000003</v>
      </c>
    </row>
    <row r="44" spans="1:10" x14ac:dyDescent="0.25">
      <c r="A44" s="27" t="s">
        <v>12</v>
      </c>
      <c r="B44" s="27"/>
      <c r="C44" s="11">
        <f t="shared" ref="C44:H44" si="3">SUM(C8:C43)</f>
        <v>1490810</v>
      </c>
      <c r="D44" s="11">
        <f t="shared" si="3"/>
        <v>460</v>
      </c>
      <c r="E44" s="11">
        <f t="shared" si="3"/>
        <v>1237037</v>
      </c>
      <c r="F44" s="11">
        <f t="shared" si="3"/>
        <v>81076</v>
      </c>
      <c r="G44" s="11">
        <f t="shared" si="3"/>
        <v>2809383</v>
      </c>
      <c r="H44" s="14">
        <f t="shared" si="3"/>
        <v>409.40000000000003</v>
      </c>
      <c r="I44" s="17"/>
      <c r="J44" s="17"/>
    </row>
    <row r="45" spans="1:10" x14ac:dyDescent="0.25">
      <c r="A45" s="27" t="s">
        <v>14</v>
      </c>
      <c r="B45" s="27"/>
      <c r="C45" s="12">
        <f>ROUND(C44/G44,2)</f>
        <v>0.53</v>
      </c>
      <c r="D45" s="12">
        <f>ROUND(D44/G44,2)</f>
        <v>0</v>
      </c>
      <c r="E45" s="12">
        <f>ROUND(E44/G44,2)</f>
        <v>0.44</v>
      </c>
      <c r="F45" s="12">
        <f>ROUND(F44/G44,2)</f>
        <v>0.03</v>
      </c>
      <c r="G45" s="13"/>
      <c r="H45" s="13"/>
      <c r="I45" s="17"/>
      <c r="J45" s="17"/>
    </row>
    <row r="46" spans="1:10" x14ac:dyDescent="0.25">
      <c r="A46" s="2" t="s">
        <v>52</v>
      </c>
      <c r="B46" s="2"/>
      <c r="C46" s="13"/>
      <c r="D46" s="13"/>
      <c r="E46" s="13"/>
      <c r="F46" s="13"/>
      <c r="G46" s="13"/>
      <c r="H46" s="13"/>
      <c r="I46" s="17"/>
      <c r="J46" s="17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53</v>
      </c>
      <c r="B50" s="27"/>
      <c r="C50" s="11" t="s">
        <v>8</v>
      </c>
      <c r="D50" s="11" t="s">
        <v>9</v>
      </c>
      <c r="E50" s="11" t="s">
        <v>10</v>
      </c>
      <c r="F50" s="11" t="s">
        <v>11</v>
      </c>
      <c r="G50" s="11" t="s">
        <v>12</v>
      </c>
      <c r="H50" s="14" t="s">
        <v>13</v>
      </c>
      <c r="I50" s="17"/>
      <c r="J50" s="17"/>
    </row>
    <row r="51" spans="1:10" x14ac:dyDescent="0.25">
      <c r="A51" s="22" t="s">
        <v>54</v>
      </c>
      <c r="B51" s="22"/>
      <c r="C51" s="10">
        <v>1078170</v>
      </c>
      <c r="D51" s="10">
        <v>460</v>
      </c>
      <c r="E51" s="10">
        <v>1071187</v>
      </c>
      <c r="F51" s="10">
        <v>17723</v>
      </c>
      <c r="G51" s="10">
        <f>SUM(C51:F51)</f>
        <v>2167540</v>
      </c>
      <c r="H51" s="16">
        <f>ROUND(G51/6862,2)</f>
        <v>315.88</v>
      </c>
      <c r="I51" s="9"/>
      <c r="J51" s="9"/>
    </row>
    <row r="52" spans="1:10" x14ac:dyDescent="0.25">
      <c r="A52" s="22" t="s">
        <v>55</v>
      </c>
      <c r="B52" s="22"/>
      <c r="C52" s="10">
        <v>412640</v>
      </c>
      <c r="D52" s="10">
        <v>0</v>
      </c>
      <c r="E52" s="10">
        <v>165850</v>
      </c>
      <c r="F52" s="10">
        <v>63180</v>
      </c>
      <c r="G52" s="10">
        <f>SUM(C52:F52)</f>
        <v>641670</v>
      </c>
      <c r="H52" s="16">
        <f>ROUND(G52/6862,2)</f>
        <v>93.51</v>
      </c>
      <c r="I52" s="9"/>
      <c r="J52" s="9"/>
    </row>
    <row r="53" spans="1:10" x14ac:dyDescent="0.25">
      <c r="A53" s="22" t="s">
        <v>56</v>
      </c>
      <c r="B53" s="22"/>
      <c r="C53" s="10">
        <v>0</v>
      </c>
      <c r="D53" s="10">
        <v>0</v>
      </c>
      <c r="E53" s="10">
        <v>0</v>
      </c>
      <c r="F53" s="10">
        <v>173</v>
      </c>
      <c r="G53" s="10">
        <f>SUM(C53:F53)</f>
        <v>173</v>
      </c>
      <c r="H53" s="16">
        <f>ROUND(G53/6862,2)</f>
        <v>0.03</v>
      </c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57</v>
      </c>
      <c r="B58" s="27"/>
      <c r="C58" s="14" t="s">
        <v>2</v>
      </c>
      <c r="D58" s="14">
        <v>2023</v>
      </c>
      <c r="E58" s="14" t="s">
        <v>59</v>
      </c>
      <c r="F58" s="13"/>
      <c r="G58" s="14" t="s">
        <v>60</v>
      </c>
      <c r="H58" s="14" t="s">
        <v>2</v>
      </c>
      <c r="I58" s="12" t="s">
        <v>61</v>
      </c>
      <c r="J58" s="12" t="s">
        <v>59</v>
      </c>
    </row>
    <row r="59" spans="1:10" x14ac:dyDescent="0.25">
      <c r="A59" s="22" t="s">
        <v>58</v>
      </c>
      <c r="B59" s="22"/>
      <c r="C59" s="15">
        <f>ROUND(0.8313, 4)</f>
        <v>0.83130000000000004</v>
      </c>
      <c r="D59" s="15">
        <f>ROUND(0.8175, 4)</f>
        <v>0.8175</v>
      </c>
      <c r="E59" s="15">
        <f>ROUND(0.777, 4)</f>
        <v>0.77700000000000002</v>
      </c>
      <c r="F59" s="8"/>
      <c r="G59" s="14" t="s">
        <v>62</v>
      </c>
      <c r="H59" s="28" t="s">
        <v>63</v>
      </c>
      <c r="I59" s="25" t="s">
        <v>64</v>
      </c>
      <c r="J59" s="25" t="s">
        <v>65</v>
      </c>
    </row>
    <row r="60" spans="1:10" x14ac:dyDescent="0.25">
      <c r="A60" s="22" t="s">
        <v>66</v>
      </c>
      <c r="B60" s="22"/>
      <c r="C60" s="15">
        <f>ROUND(0.8213, 4)</f>
        <v>0.82130000000000003</v>
      </c>
      <c r="D60" s="15">
        <f>ROUND(0.8073, 4)</f>
        <v>0.80730000000000002</v>
      </c>
      <c r="E60" s="15">
        <f>ROUND(0.7608, 4)</f>
        <v>0.76080000000000003</v>
      </c>
      <c r="F60" s="8"/>
      <c r="G60" s="14" t="s">
        <v>67</v>
      </c>
      <c r="H60" s="29"/>
      <c r="I60" s="26"/>
      <c r="J60" s="26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7" t="s">
        <v>68</v>
      </c>
      <c r="B64" s="27"/>
      <c r="C64" s="14" t="s">
        <v>2</v>
      </c>
      <c r="D64" s="14" t="s">
        <v>206</v>
      </c>
      <c r="E64" s="14" t="s">
        <v>70</v>
      </c>
      <c r="F64" s="14" t="s">
        <v>71</v>
      </c>
      <c r="G64" s="14" t="s">
        <v>72</v>
      </c>
      <c r="H64" s="13"/>
      <c r="I64" s="17"/>
      <c r="J64" s="17"/>
    </row>
    <row r="65" spans="1:10" x14ac:dyDescent="0.25">
      <c r="A65" s="22" t="s">
        <v>73</v>
      </c>
      <c r="B65" s="22"/>
      <c r="C65" s="16">
        <v>60.13</v>
      </c>
      <c r="D65" s="16">
        <v>62.27</v>
      </c>
      <c r="E65" s="16">
        <v>92.53</v>
      </c>
      <c r="F65" s="16">
        <v>56.06</v>
      </c>
      <c r="G65" s="16">
        <f>12/11*C65</f>
        <v>65.596363636363634</v>
      </c>
      <c r="H65" s="8"/>
      <c r="I65" s="9"/>
      <c r="J65" s="9"/>
    </row>
    <row r="66" spans="1:10" x14ac:dyDescent="0.25">
      <c r="A66" s="22" t="s">
        <v>74</v>
      </c>
      <c r="B66" s="22"/>
      <c r="C66" s="16">
        <v>56.81</v>
      </c>
      <c r="D66" s="16">
        <v>61.33</v>
      </c>
      <c r="E66" s="16">
        <v>61.98</v>
      </c>
      <c r="F66" s="16">
        <v>64.09</v>
      </c>
      <c r="G66" s="16">
        <f>12/11*C66</f>
        <v>61.974545454545449</v>
      </c>
      <c r="H66" s="8"/>
      <c r="I66" s="9"/>
      <c r="J66" s="9"/>
    </row>
    <row r="67" spans="1:10" x14ac:dyDescent="0.25">
      <c r="A67" s="22" t="s">
        <v>75</v>
      </c>
      <c r="B67" s="22"/>
      <c r="C67" s="16">
        <v>315.88</v>
      </c>
      <c r="D67" s="16">
        <v>298.55</v>
      </c>
      <c r="E67" s="16">
        <v>291.51</v>
      </c>
      <c r="F67" s="16">
        <v>284.45</v>
      </c>
      <c r="G67" s="16">
        <f>12/11*C67</f>
        <v>344.59636363636361</v>
      </c>
      <c r="H67" s="8"/>
      <c r="I67" s="9"/>
      <c r="J67" s="9"/>
    </row>
    <row r="68" spans="1:10" x14ac:dyDescent="0.25">
      <c r="A68" s="22" t="s">
        <v>76</v>
      </c>
      <c r="B68" s="22"/>
      <c r="C68" s="16">
        <v>93.51</v>
      </c>
      <c r="D68" s="16">
        <v>91.82</v>
      </c>
      <c r="E68" s="16">
        <v>116.46</v>
      </c>
      <c r="F68" s="16">
        <v>79.959999999999994</v>
      </c>
      <c r="G68" s="16">
        <f>12/11*C68</f>
        <v>102.0109090909091</v>
      </c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23" t="s">
        <v>60</v>
      </c>
      <c r="B71" s="24"/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77</v>
      </c>
      <c r="B72" s="1" t="s">
        <v>207</v>
      </c>
    </row>
    <row r="73" spans="1:10" x14ac:dyDescent="0.25">
      <c r="A73" s="3" t="s">
        <v>70</v>
      </c>
      <c r="B73" s="1" t="s">
        <v>79</v>
      </c>
    </row>
    <row r="74" spans="1:10" x14ac:dyDescent="0.25">
      <c r="A74" s="3" t="s">
        <v>71</v>
      </c>
      <c r="B74" s="1" t="s">
        <v>80</v>
      </c>
    </row>
    <row r="75" spans="1:10" x14ac:dyDescent="0.25">
      <c r="A75" s="3" t="s">
        <v>72</v>
      </c>
      <c r="B75" s="1" t="s">
        <v>81</v>
      </c>
    </row>
  </sheetData>
  <mergeCells count="19">
    <mergeCell ref="C7:G7"/>
    <mergeCell ref="A44:B44"/>
    <mergeCell ref="A45:B45"/>
    <mergeCell ref="A50:B50"/>
    <mergeCell ref="A51:B51"/>
    <mergeCell ref="J59:J60"/>
    <mergeCell ref="A60:B60"/>
    <mergeCell ref="A64:B64"/>
    <mergeCell ref="A65:B65"/>
    <mergeCell ref="A52:B52"/>
    <mergeCell ref="A53:B53"/>
    <mergeCell ref="A58:B58"/>
    <mergeCell ref="A59:B59"/>
    <mergeCell ref="H59:H60"/>
    <mergeCell ref="A66:B66"/>
    <mergeCell ref="A67:B67"/>
    <mergeCell ref="A68:B68"/>
    <mergeCell ref="A71:B71"/>
    <mergeCell ref="I59:I60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J71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1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208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1613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52</v>
      </c>
      <c r="F9" s="10"/>
      <c r="G9" s="10">
        <f t="shared" ref="G9:G39" si="0">SUM(C9:F9)</f>
        <v>52</v>
      </c>
      <c r="H9" s="16">
        <f t="shared" ref="H9:H39" si="1">ROUND(G9/1613,2)</f>
        <v>0.03</v>
      </c>
      <c r="I9" s="15">
        <f t="shared" ref="I9:I39" si="2">ROUND(G9/$G$40,3)</f>
        <v>0</v>
      </c>
      <c r="J9" s="15">
        <f>ROUND(G9/87-1,2)</f>
        <v>-0.4</v>
      </c>
    </row>
    <row r="10" spans="1:10" x14ac:dyDescent="0.25">
      <c r="A10" s="1" t="s">
        <v>16</v>
      </c>
      <c r="B10" s="1" t="s">
        <v>19</v>
      </c>
      <c r="C10" s="10"/>
      <c r="D10" s="10">
        <v>51490</v>
      </c>
      <c r="E10" s="10"/>
      <c r="F10" s="10"/>
      <c r="G10" s="10">
        <f t="shared" si="0"/>
        <v>51490</v>
      </c>
      <c r="H10" s="16">
        <f t="shared" si="1"/>
        <v>31.92</v>
      </c>
      <c r="I10" s="15">
        <f t="shared" si="2"/>
        <v>6.0999999999999999E-2</v>
      </c>
      <c r="J10" s="15">
        <f>ROUND(G10/52745-1,2)</f>
        <v>-0.02</v>
      </c>
    </row>
    <row r="11" spans="1:10" x14ac:dyDescent="0.25">
      <c r="A11" s="1" t="s">
        <v>16</v>
      </c>
      <c r="B11" s="1" t="s">
        <v>20</v>
      </c>
      <c r="C11" s="10"/>
      <c r="D11" s="10">
        <v>62020</v>
      </c>
      <c r="E11" s="10"/>
      <c r="F11" s="10"/>
      <c r="G11" s="10">
        <f t="shared" si="0"/>
        <v>62020</v>
      </c>
      <c r="H11" s="16">
        <f t="shared" si="1"/>
        <v>38.450000000000003</v>
      </c>
      <c r="I11" s="15">
        <f t="shared" si="2"/>
        <v>7.3999999999999996E-2</v>
      </c>
      <c r="J11" s="15">
        <f>ROUND(G11/59145-1,2)</f>
        <v>0.05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137</v>
      </c>
      <c r="F12" s="10"/>
      <c r="G12" s="10">
        <f t="shared" si="0"/>
        <v>137</v>
      </c>
      <c r="H12" s="16">
        <f t="shared" si="1"/>
        <v>0.08</v>
      </c>
      <c r="I12" s="15">
        <f t="shared" si="2"/>
        <v>0</v>
      </c>
      <c r="J12" s="15">
        <f>ROUND(G12/107-1,2)</f>
        <v>0.28000000000000003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2100</v>
      </c>
      <c r="F13" s="10"/>
      <c r="G13" s="10">
        <f t="shared" si="0"/>
        <v>2100</v>
      </c>
      <c r="H13" s="16">
        <f t="shared" si="1"/>
        <v>1.3</v>
      </c>
      <c r="I13" s="15">
        <f t="shared" si="2"/>
        <v>3.0000000000000001E-3</v>
      </c>
      <c r="J13" s="15">
        <f>ROUND(G13/4800-1,2)</f>
        <v>-0.56000000000000005</v>
      </c>
    </row>
    <row r="14" spans="1:10" x14ac:dyDescent="0.25">
      <c r="A14" s="1" t="s">
        <v>16</v>
      </c>
      <c r="B14" s="1" t="s">
        <v>98</v>
      </c>
      <c r="C14" s="10"/>
      <c r="D14" s="10"/>
      <c r="E14" s="10"/>
      <c r="F14" s="10">
        <v>286</v>
      </c>
      <c r="G14" s="10">
        <f t="shared" si="0"/>
        <v>286</v>
      </c>
      <c r="H14" s="16">
        <f t="shared" si="1"/>
        <v>0.18</v>
      </c>
      <c r="I14" s="15">
        <f t="shared" si="2"/>
        <v>0</v>
      </c>
      <c r="J14" s="15"/>
    </row>
    <row r="15" spans="1:10" x14ac:dyDescent="0.25">
      <c r="A15" s="1" t="s">
        <v>16</v>
      </c>
      <c r="B15" s="1" t="s">
        <v>23</v>
      </c>
      <c r="C15" s="10"/>
      <c r="D15" s="10"/>
      <c r="E15" s="10">
        <v>76660</v>
      </c>
      <c r="F15" s="10"/>
      <c r="G15" s="10">
        <f t="shared" si="0"/>
        <v>76660</v>
      </c>
      <c r="H15" s="16">
        <f t="shared" si="1"/>
        <v>47.53</v>
      </c>
      <c r="I15" s="15">
        <f t="shared" si="2"/>
        <v>9.1999999999999998E-2</v>
      </c>
      <c r="J15" s="15">
        <f>ROUND(G15/67800-1,2)</f>
        <v>0.13</v>
      </c>
    </row>
    <row r="16" spans="1:10" x14ac:dyDescent="0.25">
      <c r="A16" s="1" t="s">
        <v>16</v>
      </c>
      <c r="B16" s="1" t="s">
        <v>24</v>
      </c>
      <c r="C16" s="10"/>
      <c r="D16" s="10">
        <v>65785</v>
      </c>
      <c r="E16" s="10">
        <v>8340</v>
      </c>
      <c r="F16" s="10"/>
      <c r="G16" s="10">
        <f t="shared" si="0"/>
        <v>74125</v>
      </c>
      <c r="H16" s="16">
        <f t="shared" si="1"/>
        <v>45.95</v>
      </c>
      <c r="I16" s="15">
        <f t="shared" si="2"/>
        <v>8.7999999999999995E-2</v>
      </c>
      <c r="J16" s="15">
        <f>ROUND(G16/72970-1,2)</f>
        <v>0.02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3185</v>
      </c>
      <c r="F17" s="10"/>
      <c r="G17" s="10">
        <f t="shared" si="0"/>
        <v>3185</v>
      </c>
      <c r="H17" s="16">
        <f t="shared" si="1"/>
        <v>1.97</v>
      </c>
      <c r="I17" s="15">
        <f t="shared" si="2"/>
        <v>4.0000000000000001E-3</v>
      </c>
      <c r="J17" s="15">
        <f>ROUND(G17/3515-1,2)</f>
        <v>-0.09</v>
      </c>
    </row>
    <row r="18" spans="1:10" x14ac:dyDescent="0.25">
      <c r="A18" s="1" t="s">
        <v>16</v>
      </c>
      <c r="B18" s="1" t="s">
        <v>26</v>
      </c>
      <c r="C18" s="10"/>
      <c r="D18" s="10">
        <v>70210</v>
      </c>
      <c r="E18" s="10"/>
      <c r="F18" s="10">
        <v>960</v>
      </c>
      <c r="G18" s="10">
        <f t="shared" si="0"/>
        <v>71170</v>
      </c>
      <c r="H18" s="16">
        <f t="shared" si="1"/>
        <v>44.12</v>
      </c>
      <c r="I18" s="15">
        <f t="shared" si="2"/>
        <v>8.5000000000000006E-2</v>
      </c>
      <c r="J18" s="15">
        <f>ROUND(G18/80410-1,2)</f>
        <v>-0.11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24</v>
      </c>
      <c r="F19" s="10"/>
      <c r="G19" s="10">
        <f t="shared" si="0"/>
        <v>24</v>
      </c>
      <c r="H19" s="16">
        <f t="shared" si="1"/>
        <v>0.01</v>
      </c>
      <c r="I19" s="15">
        <f t="shared" si="2"/>
        <v>0</v>
      </c>
      <c r="J19" s="15"/>
    </row>
    <row r="20" spans="1:10" x14ac:dyDescent="0.25">
      <c r="A20" s="1" t="s">
        <v>16</v>
      </c>
      <c r="B20" s="1" t="s">
        <v>28</v>
      </c>
      <c r="C20" s="10"/>
      <c r="D20" s="10"/>
      <c r="E20" s="10">
        <v>20</v>
      </c>
      <c r="F20" s="10"/>
      <c r="G20" s="10">
        <f t="shared" si="0"/>
        <v>20</v>
      </c>
      <c r="H20" s="16">
        <f t="shared" si="1"/>
        <v>0.01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29</v>
      </c>
      <c r="C21" s="10"/>
      <c r="D21" s="10"/>
      <c r="E21" s="10">
        <v>1170</v>
      </c>
      <c r="F21" s="10"/>
      <c r="G21" s="10">
        <f t="shared" si="0"/>
        <v>1170</v>
      </c>
      <c r="H21" s="16">
        <f t="shared" si="1"/>
        <v>0.73</v>
      </c>
      <c r="I21" s="15">
        <f t="shared" si="2"/>
        <v>1E-3</v>
      </c>
      <c r="J21" s="15">
        <f>ROUND(G21/1910-1,2)</f>
        <v>-0.39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150</v>
      </c>
      <c r="F22" s="10"/>
      <c r="G22" s="10">
        <f t="shared" si="0"/>
        <v>150</v>
      </c>
      <c r="H22" s="16">
        <f t="shared" si="1"/>
        <v>0.09</v>
      </c>
      <c r="I22" s="15">
        <f t="shared" si="2"/>
        <v>0</v>
      </c>
      <c r="J22" s="15">
        <f>ROUND(G22/410-1,2)</f>
        <v>-0.63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1560</v>
      </c>
      <c r="F23" s="10"/>
      <c r="G23" s="10">
        <f t="shared" si="0"/>
        <v>1560</v>
      </c>
      <c r="H23" s="16">
        <f t="shared" si="1"/>
        <v>0.97</v>
      </c>
      <c r="I23" s="15">
        <f t="shared" si="2"/>
        <v>2E-3</v>
      </c>
      <c r="J23" s="15">
        <f>ROUND(G23/420-1,2)</f>
        <v>2.71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2230</v>
      </c>
      <c r="F24" s="10">
        <v>570</v>
      </c>
      <c r="G24" s="10">
        <f t="shared" si="0"/>
        <v>2800</v>
      </c>
      <c r="H24" s="16">
        <f t="shared" si="1"/>
        <v>1.74</v>
      </c>
      <c r="I24" s="15">
        <f t="shared" si="2"/>
        <v>3.0000000000000001E-3</v>
      </c>
      <c r="J24" s="15">
        <f>ROUND(G24/1305-1,2)</f>
        <v>1.1499999999999999</v>
      </c>
    </row>
    <row r="25" spans="1:10" x14ac:dyDescent="0.25">
      <c r="A25" s="1" t="s">
        <v>16</v>
      </c>
      <c r="B25" s="1" t="s">
        <v>33</v>
      </c>
      <c r="C25" s="10"/>
      <c r="D25" s="10">
        <v>159</v>
      </c>
      <c r="E25" s="10">
        <v>62</v>
      </c>
      <c r="F25" s="10"/>
      <c r="G25" s="10">
        <f t="shared" si="0"/>
        <v>221</v>
      </c>
      <c r="H25" s="16">
        <f t="shared" si="1"/>
        <v>0.14000000000000001</v>
      </c>
      <c r="I25" s="15">
        <f t="shared" si="2"/>
        <v>0</v>
      </c>
      <c r="J25" s="15">
        <f>ROUND(G25/143-1,2)</f>
        <v>0.55000000000000004</v>
      </c>
    </row>
    <row r="26" spans="1:10" x14ac:dyDescent="0.25">
      <c r="A26" s="1" t="s">
        <v>16</v>
      </c>
      <c r="B26" s="1" t="s">
        <v>35</v>
      </c>
      <c r="C26" s="10"/>
      <c r="D26" s="10">
        <v>50</v>
      </c>
      <c r="E26" s="10">
        <v>70</v>
      </c>
      <c r="F26" s="10"/>
      <c r="G26" s="10">
        <f t="shared" si="0"/>
        <v>120</v>
      </c>
      <c r="H26" s="16">
        <f t="shared" si="1"/>
        <v>7.0000000000000007E-2</v>
      </c>
      <c r="I26" s="15">
        <f t="shared" si="2"/>
        <v>0</v>
      </c>
      <c r="J26" s="15">
        <f>ROUND(G26/274-1,2)</f>
        <v>-0.56000000000000005</v>
      </c>
    </row>
    <row r="27" spans="1:10" x14ac:dyDescent="0.25">
      <c r="A27" s="1" t="s">
        <v>16</v>
      </c>
      <c r="B27" s="1" t="s">
        <v>34</v>
      </c>
      <c r="C27" s="10"/>
      <c r="D27" s="10"/>
      <c r="E27" s="10">
        <v>1330</v>
      </c>
      <c r="F27" s="10"/>
      <c r="G27" s="10">
        <f t="shared" si="0"/>
        <v>1330</v>
      </c>
      <c r="H27" s="16">
        <f t="shared" si="1"/>
        <v>0.82</v>
      </c>
      <c r="I27" s="15">
        <f t="shared" si="2"/>
        <v>2E-3</v>
      </c>
      <c r="J27" s="15">
        <f>ROUND(G27/1340-1,2)</f>
        <v>-0.01</v>
      </c>
    </row>
    <row r="28" spans="1:10" x14ac:dyDescent="0.25">
      <c r="A28" s="1" t="s">
        <v>16</v>
      </c>
      <c r="B28" s="1" t="s">
        <v>36</v>
      </c>
      <c r="C28" s="10"/>
      <c r="D28" s="10"/>
      <c r="E28" s="10">
        <v>663</v>
      </c>
      <c r="F28" s="10"/>
      <c r="G28" s="10">
        <f t="shared" si="0"/>
        <v>663</v>
      </c>
      <c r="H28" s="16">
        <f t="shared" si="1"/>
        <v>0.41</v>
      </c>
      <c r="I28" s="15">
        <f t="shared" si="2"/>
        <v>1E-3</v>
      </c>
      <c r="J28" s="15">
        <f>ROUND(G28/1616-1,2)</f>
        <v>-0.59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2373</v>
      </c>
      <c r="F29" s="10"/>
      <c r="G29" s="10">
        <f t="shared" si="0"/>
        <v>2373</v>
      </c>
      <c r="H29" s="16">
        <f t="shared" si="1"/>
        <v>1.47</v>
      </c>
      <c r="I29" s="15">
        <f t="shared" si="2"/>
        <v>3.0000000000000001E-3</v>
      </c>
      <c r="J29" s="15">
        <f>ROUND(G29/4708-1,2)</f>
        <v>-0.5</v>
      </c>
    </row>
    <row r="30" spans="1:10" x14ac:dyDescent="0.25">
      <c r="A30" s="1" t="s">
        <v>16</v>
      </c>
      <c r="B30" s="1" t="s">
        <v>43</v>
      </c>
      <c r="C30" s="10"/>
      <c r="D30" s="10"/>
      <c r="E30" s="10">
        <v>2045</v>
      </c>
      <c r="F30" s="10"/>
      <c r="G30" s="10">
        <f t="shared" si="0"/>
        <v>2045</v>
      </c>
      <c r="H30" s="16">
        <f t="shared" si="1"/>
        <v>1.27</v>
      </c>
      <c r="I30" s="15">
        <f t="shared" si="2"/>
        <v>2E-3</v>
      </c>
      <c r="J30" s="15">
        <f>ROUND(G30/2553-1,2)</f>
        <v>-0.2</v>
      </c>
    </row>
    <row r="31" spans="1:10" x14ac:dyDescent="0.25">
      <c r="A31" s="1" t="s">
        <v>16</v>
      </c>
      <c r="B31" s="1" t="s">
        <v>38</v>
      </c>
      <c r="C31" s="10"/>
      <c r="D31" s="10"/>
      <c r="E31" s="10">
        <v>47145</v>
      </c>
      <c r="F31" s="10"/>
      <c r="G31" s="10">
        <f t="shared" si="0"/>
        <v>47145</v>
      </c>
      <c r="H31" s="16">
        <f t="shared" si="1"/>
        <v>29.23</v>
      </c>
      <c r="I31" s="15">
        <f t="shared" si="2"/>
        <v>5.6000000000000001E-2</v>
      </c>
      <c r="J31" s="15">
        <f>ROUND(G31/41235-1,2)</f>
        <v>0.14000000000000001</v>
      </c>
    </row>
    <row r="32" spans="1:10" x14ac:dyDescent="0.25">
      <c r="A32" s="1" t="s">
        <v>16</v>
      </c>
      <c r="B32" s="1" t="s">
        <v>39</v>
      </c>
      <c r="C32" s="10"/>
      <c r="D32" s="10"/>
      <c r="E32" s="10">
        <v>6920</v>
      </c>
      <c r="F32" s="10"/>
      <c r="G32" s="10">
        <f t="shared" si="0"/>
        <v>6920</v>
      </c>
      <c r="H32" s="16">
        <f t="shared" si="1"/>
        <v>4.29</v>
      </c>
      <c r="I32" s="15">
        <f t="shared" si="2"/>
        <v>8.0000000000000002E-3</v>
      </c>
      <c r="J32" s="15">
        <f>ROUND(G32/5610-1,2)</f>
        <v>0.23</v>
      </c>
    </row>
    <row r="33" spans="1:10" x14ac:dyDescent="0.25">
      <c r="A33" s="1" t="s">
        <v>16</v>
      </c>
      <c r="B33" s="1" t="s">
        <v>40</v>
      </c>
      <c r="C33" s="10"/>
      <c r="D33" s="10"/>
      <c r="E33" s="10">
        <v>26780</v>
      </c>
      <c r="F33" s="10"/>
      <c r="G33" s="10">
        <f t="shared" si="0"/>
        <v>26780</v>
      </c>
      <c r="H33" s="16">
        <f t="shared" si="1"/>
        <v>16.600000000000001</v>
      </c>
      <c r="I33" s="15">
        <f t="shared" si="2"/>
        <v>3.2000000000000001E-2</v>
      </c>
      <c r="J33" s="15">
        <f>ROUND(G33/12490-1,2)</f>
        <v>1.1399999999999999</v>
      </c>
    </row>
    <row r="34" spans="1:10" x14ac:dyDescent="0.25">
      <c r="A34" s="1" t="s">
        <v>16</v>
      </c>
      <c r="B34" s="1" t="s">
        <v>41</v>
      </c>
      <c r="C34" s="10"/>
      <c r="D34" s="10"/>
      <c r="E34" s="10">
        <v>77160</v>
      </c>
      <c r="F34" s="10"/>
      <c r="G34" s="10">
        <f t="shared" si="0"/>
        <v>77160</v>
      </c>
      <c r="H34" s="16">
        <f t="shared" si="1"/>
        <v>47.84</v>
      </c>
      <c r="I34" s="15">
        <f t="shared" si="2"/>
        <v>9.1999999999999998E-2</v>
      </c>
      <c r="J34" s="15">
        <f>ROUND(G34/55930-1,2)</f>
        <v>0.38</v>
      </c>
    </row>
    <row r="35" spans="1:10" x14ac:dyDescent="0.25">
      <c r="A35" s="1" t="s">
        <v>16</v>
      </c>
      <c r="B35" s="1" t="s">
        <v>42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ROUND(G35/212-1,2)</f>
        <v>-1</v>
      </c>
    </row>
    <row r="36" spans="1:10" x14ac:dyDescent="0.25">
      <c r="A36" s="1" t="s">
        <v>44</v>
      </c>
      <c r="B36" s="1" t="s">
        <v>45</v>
      </c>
      <c r="C36" s="10"/>
      <c r="D36" s="10">
        <v>301445</v>
      </c>
      <c r="E36" s="10"/>
      <c r="F36" s="10"/>
      <c r="G36" s="10">
        <f t="shared" si="0"/>
        <v>301445</v>
      </c>
      <c r="H36" s="16">
        <f t="shared" si="1"/>
        <v>186.88</v>
      </c>
      <c r="I36" s="15">
        <f t="shared" si="2"/>
        <v>0.36</v>
      </c>
      <c r="J36" s="15">
        <f>ROUND(G36/299340-1,2)</f>
        <v>0.01</v>
      </c>
    </row>
    <row r="37" spans="1:10" x14ac:dyDescent="0.25">
      <c r="A37" s="1" t="s">
        <v>44</v>
      </c>
      <c r="B37" s="1" t="s">
        <v>46</v>
      </c>
      <c r="C37" s="10"/>
      <c r="D37" s="10"/>
      <c r="E37" s="10">
        <v>24580</v>
      </c>
      <c r="F37" s="10"/>
      <c r="G37" s="10">
        <f t="shared" si="0"/>
        <v>24580</v>
      </c>
      <c r="H37" s="16">
        <f t="shared" si="1"/>
        <v>15.24</v>
      </c>
      <c r="I37" s="15">
        <f t="shared" si="2"/>
        <v>2.9000000000000001E-2</v>
      </c>
      <c r="J37" s="15">
        <f>ROUND(G37/29620-1,2)</f>
        <v>-0.17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48</v>
      </c>
      <c r="B39" s="1" t="s">
        <v>86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27" t="s">
        <v>12</v>
      </c>
      <c r="B40" s="27"/>
      <c r="C40" s="11">
        <f t="shared" ref="C40:H40" si="3">SUM(C8:C39)</f>
        <v>0</v>
      </c>
      <c r="D40" s="11">
        <f t="shared" si="3"/>
        <v>551159</v>
      </c>
      <c r="E40" s="11">
        <f t="shared" si="3"/>
        <v>284756</v>
      </c>
      <c r="F40" s="11">
        <f t="shared" si="3"/>
        <v>1816</v>
      </c>
      <c r="G40" s="11">
        <f t="shared" si="3"/>
        <v>837731</v>
      </c>
      <c r="H40" s="14">
        <f t="shared" si="3"/>
        <v>519.33999999999992</v>
      </c>
      <c r="I40" s="17"/>
      <c r="J40" s="17"/>
    </row>
    <row r="41" spans="1:10" x14ac:dyDescent="0.25">
      <c r="A41" s="27" t="s">
        <v>14</v>
      </c>
      <c r="B41" s="27"/>
      <c r="C41" s="12">
        <f>ROUND(C40/G40,2)</f>
        <v>0</v>
      </c>
      <c r="D41" s="12">
        <f>ROUND(D40/G40,2)</f>
        <v>0.66</v>
      </c>
      <c r="E41" s="12">
        <f>ROUND(E40/G40,2)</f>
        <v>0.34</v>
      </c>
      <c r="F41" s="12">
        <f>ROUND(F40/G40,2)</f>
        <v>0</v>
      </c>
      <c r="G41" s="13"/>
      <c r="H41" s="13"/>
      <c r="I41" s="17"/>
      <c r="J41" s="17"/>
    </row>
    <row r="42" spans="1:10" x14ac:dyDescent="0.25">
      <c r="A42" s="2" t="s">
        <v>52</v>
      </c>
      <c r="B42" s="2"/>
      <c r="C42" s="13"/>
      <c r="D42" s="13"/>
      <c r="E42" s="13"/>
      <c r="F42" s="13"/>
      <c r="G42" s="13"/>
      <c r="H42" s="13"/>
      <c r="I42" s="17"/>
      <c r="J42" s="17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7" t="s">
        <v>53</v>
      </c>
      <c r="B46" s="27"/>
      <c r="C46" s="11" t="s">
        <v>8</v>
      </c>
      <c r="D46" s="11" t="s">
        <v>9</v>
      </c>
      <c r="E46" s="11" t="s">
        <v>10</v>
      </c>
      <c r="F46" s="11" t="s">
        <v>11</v>
      </c>
      <c r="G46" s="11" t="s">
        <v>12</v>
      </c>
      <c r="H46" s="14" t="s">
        <v>13</v>
      </c>
      <c r="I46" s="17"/>
      <c r="J46" s="17"/>
    </row>
    <row r="47" spans="1:10" x14ac:dyDescent="0.25">
      <c r="A47" s="22" t="s">
        <v>54</v>
      </c>
      <c r="B47" s="22"/>
      <c r="C47" s="10">
        <v>0</v>
      </c>
      <c r="D47" s="10">
        <v>249714</v>
      </c>
      <c r="E47" s="10">
        <v>260176</v>
      </c>
      <c r="F47" s="10">
        <v>1816</v>
      </c>
      <c r="G47" s="10">
        <f>SUM(C47:F47)</f>
        <v>511706</v>
      </c>
      <c r="H47" s="16">
        <f>ROUND(G47/1613,2)</f>
        <v>317.24</v>
      </c>
      <c r="I47" s="9"/>
      <c r="J47" s="9"/>
    </row>
    <row r="48" spans="1:10" x14ac:dyDescent="0.25">
      <c r="A48" s="22" t="s">
        <v>55</v>
      </c>
      <c r="B48" s="22"/>
      <c r="C48" s="10">
        <v>0</v>
      </c>
      <c r="D48" s="10">
        <v>301445</v>
      </c>
      <c r="E48" s="10">
        <v>24580</v>
      </c>
      <c r="F48" s="10">
        <v>0</v>
      </c>
      <c r="G48" s="10">
        <f>SUM(C48:F48)</f>
        <v>326025</v>
      </c>
      <c r="H48" s="16">
        <f>ROUND(G48/1613,2)</f>
        <v>202.12</v>
      </c>
      <c r="I48" s="9"/>
      <c r="J48" s="9"/>
    </row>
    <row r="49" spans="1:10" x14ac:dyDescent="0.25">
      <c r="A49" s="22" t="s">
        <v>56</v>
      </c>
      <c r="B49" s="22"/>
      <c r="C49" s="10">
        <v>0</v>
      </c>
      <c r="D49" s="10">
        <v>0</v>
      </c>
      <c r="E49" s="10">
        <v>0</v>
      </c>
      <c r="F49" s="10">
        <v>0</v>
      </c>
      <c r="G49" s="10">
        <f>SUM(C49:F49)</f>
        <v>0</v>
      </c>
      <c r="H49" s="16">
        <f>ROUND(G49/1613,2)</f>
        <v>0</v>
      </c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57</v>
      </c>
      <c r="B54" s="27"/>
      <c r="C54" s="14" t="s">
        <v>2</v>
      </c>
      <c r="D54" s="14">
        <v>2023</v>
      </c>
      <c r="E54" s="14" t="s">
        <v>59</v>
      </c>
      <c r="F54" s="13"/>
      <c r="G54" s="14" t="s">
        <v>60</v>
      </c>
      <c r="H54" s="14" t="s">
        <v>2</v>
      </c>
      <c r="I54" s="12" t="s">
        <v>61</v>
      </c>
      <c r="J54" s="12" t="s">
        <v>59</v>
      </c>
    </row>
    <row r="55" spans="1:10" x14ac:dyDescent="0.25">
      <c r="A55" s="22" t="s">
        <v>58</v>
      </c>
      <c r="B55" s="22"/>
      <c r="C55" s="15">
        <f>ROUND(0.5994, 4)</f>
        <v>0.59940000000000004</v>
      </c>
      <c r="D55" s="15">
        <f>ROUND(0.5905, 4)</f>
        <v>0.59050000000000002</v>
      </c>
      <c r="E55" s="15">
        <f>ROUND(0.777, 4)</f>
        <v>0.77700000000000002</v>
      </c>
      <c r="F55" s="8"/>
      <c r="G55" s="14" t="s">
        <v>62</v>
      </c>
      <c r="H55" s="28" t="s">
        <v>63</v>
      </c>
      <c r="I55" s="25" t="s">
        <v>64</v>
      </c>
      <c r="J55" s="25" t="s">
        <v>65</v>
      </c>
    </row>
    <row r="56" spans="1:10" x14ac:dyDescent="0.25">
      <c r="A56" s="22" t="s">
        <v>66</v>
      </c>
      <c r="B56" s="22"/>
      <c r="C56" s="15">
        <f>ROUND(0.5741, 4)</f>
        <v>0.57410000000000005</v>
      </c>
      <c r="D56" s="15">
        <f>ROUND(0.5628, 4)</f>
        <v>0.56279999999999997</v>
      </c>
      <c r="E56" s="15">
        <f>ROUND(0.7608, 4)</f>
        <v>0.76080000000000003</v>
      </c>
      <c r="F56" s="8"/>
      <c r="G56" s="14" t="s">
        <v>67</v>
      </c>
      <c r="H56" s="29"/>
      <c r="I56" s="26"/>
      <c r="J56" s="26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68</v>
      </c>
      <c r="B60" s="27"/>
      <c r="C60" s="14" t="s">
        <v>2</v>
      </c>
      <c r="D60" s="14" t="s">
        <v>209</v>
      </c>
      <c r="E60" s="14" t="s">
        <v>70</v>
      </c>
      <c r="F60" s="14" t="s">
        <v>71</v>
      </c>
      <c r="G60" s="14" t="s">
        <v>72</v>
      </c>
      <c r="H60" s="13"/>
      <c r="I60" s="17"/>
      <c r="J60" s="17"/>
    </row>
    <row r="61" spans="1:10" x14ac:dyDescent="0.25">
      <c r="A61" s="22" t="s">
        <v>73</v>
      </c>
      <c r="B61" s="22"/>
      <c r="C61" s="16">
        <v>186.88</v>
      </c>
      <c r="D61" s="16">
        <v>183.22</v>
      </c>
      <c r="E61" s="16">
        <v>92.53</v>
      </c>
      <c r="F61" s="16">
        <v>56.06</v>
      </c>
      <c r="G61" s="16">
        <f>12/11*C61</f>
        <v>203.86909090909089</v>
      </c>
      <c r="H61" s="8"/>
      <c r="I61" s="9"/>
      <c r="J61" s="9"/>
    </row>
    <row r="62" spans="1:10" x14ac:dyDescent="0.25">
      <c r="A62" s="22" t="s">
        <v>74</v>
      </c>
      <c r="B62" s="22"/>
      <c r="C62" s="16">
        <v>44.12</v>
      </c>
      <c r="D62" s="16">
        <v>54.47</v>
      </c>
      <c r="E62" s="16">
        <v>61.98</v>
      </c>
      <c r="F62" s="16">
        <v>64.09</v>
      </c>
      <c r="G62" s="16">
        <f>12/11*C62</f>
        <v>48.130909090909086</v>
      </c>
      <c r="H62" s="8"/>
      <c r="I62" s="9"/>
      <c r="J62" s="9"/>
    </row>
    <row r="63" spans="1:10" x14ac:dyDescent="0.25">
      <c r="A63" s="22" t="s">
        <v>75</v>
      </c>
      <c r="B63" s="22"/>
      <c r="C63" s="16">
        <v>317.24</v>
      </c>
      <c r="D63" s="16">
        <v>329.25</v>
      </c>
      <c r="E63" s="16">
        <v>291.51</v>
      </c>
      <c r="F63" s="16">
        <v>284.45</v>
      </c>
      <c r="G63" s="16">
        <f>12/11*C63</f>
        <v>346.08</v>
      </c>
      <c r="H63" s="8"/>
      <c r="I63" s="9"/>
      <c r="J63" s="9"/>
    </row>
    <row r="64" spans="1:10" x14ac:dyDescent="0.25">
      <c r="A64" s="22" t="s">
        <v>76</v>
      </c>
      <c r="B64" s="22"/>
      <c r="C64" s="16">
        <v>202.12</v>
      </c>
      <c r="D64" s="16">
        <v>203.31</v>
      </c>
      <c r="E64" s="16">
        <v>116.46</v>
      </c>
      <c r="F64" s="16">
        <v>79.959999999999994</v>
      </c>
      <c r="G64" s="16">
        <f>12/11*C64</f>
        <v>220.49454545454543</v>
      </c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3" t="s">
        <v>60</v>
      </c>
      <c r="B67" s="24"/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77</v>
      </c>
      <c r="B68" s="1" t="s">
        <v>210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70</v>
      </c>
      <c r="B69" s="1" t="s">
        <v>79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71</v>
      </c>
      <c r="B70" s="1" t="s">
        <v>80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72</v>
      </c>
      <c r="B71" s="1" t="s">
        <v>81</v>
      </c>
      <c r="C71" s="8"/>
      <c r="D71" s="8"/>
      <c r="E71" s="8"/>
      <c r="F71" s="8"/>
      <c r="G71" s="8"/>
      <c r="H71" s="8"/>
      <c r="I71" s="9"/>
      <c r="J71" s="9"/>
    </row>
  </sheetData>
  <mergeCells count="19">
    <mergeCell ref="C7:G7"/>
    <mergeCell ref="A40:B40"/>
    <mergeCell ref="A41:B41"/>
    <mergeCell ref="A46:B46"/>
    <mergeCell ref="A47:B47"/>
    <mergeCell ref="J55:J56"/>
    <mergeCell ref="A56:B56"/>
    <mergeCell ref="A60:B60"/>
    <mergeCell ref="A61:B61"/>
    <mergeCell ref="A48:B48"/>
    <mergeCell ref="A49:B49"/>
    <mergeCell ref="A54:B54"/>
    <mergeCell ref="A55:B55"/>
    <mergeCell ref="H55:H56"/>
    <mergeCell ref="A62:B62"/>
    <mergeCell ref="A63:B63"/>
    <mergeCell ref="A64:B64"/>
    <mergeCell ref="A67:B67"/>
    <mergeCell ref="I55:I5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J71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5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211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1602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75</v>
      </c>
      <c r="F9" s="10"/>
      <c r="G9" s="10">
        <f t="shared" ref="G9:G39" si="0">SUM(C9:F9)</f>
        <v>75</v>
      </c>
      <c r="H9" s="16">
        <f t="shared" ref="H9:H39" si="1">ROUND(G9/1602,2)</f>
        <v>0.05</v>
      </c>
      <c r="I9" s="15">
        <f t="shared" ref="I9:I39" si="2">ROUND(G9/$G$40,3)</f>
        <v>0</v>
      </c>
      <c r="J9" s="15"/>
    </row>
    <row r="10" spans="1:10" x14ac:dyDescent="0.25">
      <c r="A10" s="1" t="s">
        <v>16</v>
      </c>
      <c r="B10" s="1" t="s">
        <v>19</v>
      </c>
      <c r="C10" s="10">
        <v>41510</v>
      </c>
      <c r="D10" s="10"/>
      <c r="E10" s="10"/>
      <c r="F10" s="10">
        <v>210</v>
      </c>
      <c r="G10" s="10">
        <f t="shared" si="0"/>
        <v>41720</v>
      </c>
      <c r="H10" s="16">
        <f t="shared" si="1"/>
        <v>26.04</v>
      </c>
      <c r="I10" s="15">
        <f t="shared" si="2"/>
        <v>9.4E-2</v>
      </c>
      <c r="J10" s="15">
        <f>ROUND(G10/38200-1,2)</f>
        <v>0.09</v>
      </c>
    </row>
    <row r="11" spans="1:10" x14ac:dyDescent="0.25">
      <c r="A11" s="1" t="s">
        <v>16</v>
      </c>
      <c r="B11" s="1" t="s">
        <v>20</v>
      </c>
      <c r="C11" s="10">
        <v>54560</v>
      </c>
      <c r="D11" s="10"/>
      <c r="E11" s="10"/>
      <c r="F11" s="10"/>
      <c r="G11" s="10">
        <f t="shared" si="0"/>
        <v>54560</v>
      </c>
      <c r="H11" s="16">
        <f t="shared" si="1"/>
        <v>34.06</v>
      </c>
      <c r="I11" s="15">
        <f t="shared" si="2"/>
        <v>0.123</v>
      </c>
      <c r="J11" s="15">
        <f>ROUND(G11/54230-1,2)</f>
        <v>0.01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64</v>
      </c>
      <c r="F12" s="10">
        <v>32</v>
      </c>
      <c r="G12" s="10">
        <f t="shared" si="0"/>
        <v>96</v>
      </c>
      <c r="H12" s="16">
        <f t="shared" si="1"/>
        <v>0.06</v>
      </c>
      <c r="I12" s="15">
        <f t="shared" si="2"/>
        <v>0</v>
      </c>
      <c r="J12" s="15">
        <f>ROUND(G12/179-1,2)</f>
        <v>-0.46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118</v>
      </c>
      <c r="F13" s="10"/>
      <c r="G13" s="10">
        <f t="shared" si="0"/>
        <v>118</v>
      </c>
      <c r="H13" s="16">
        <f t="shared" si="1"/>
        <v>7.0000000000000007E-2</v>
      </c>
      <c r="I13" s="15">
        <f t="shared" si="2"/>
        <v>0</v>
      </c>
      <c r="J13" s="15">
        <f>ROUND(G13/48-1,2)</f>
        <v>1.46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1100</v>
      </c>
      <c r="F14" s="10"/>
      <c r="G14" s="10">
        <f t="shared" si="0"/>
        <v>1100</v>
      </c>
      <c r="H14" s="16">
        <f t="shared" si="1"/>
        <v>0.69</v>
      </c>
      <c r="I14" s="15">
        <f t="shared" si="2"/>
        <v>2E-3</v>
      </c>
      <c r="J14" s="15"/>
    </row>
    <row r="15" spans="1:10" x14ac:dyDescent="0.25">
      <c r="A15" s="1" t="s">
        <v>16</v>
      </c>
      <c r="B15" s="1" t="s">
        <v>23</v>
      </c>
      <c r="C15" s="10"/>
      <c r="D15" s="10"/>
      <c r="E15" s="10">
        <v>14260</v>
      </c>
      <c r="F15" s="10"/>
      <c r="G15" s="10">
        <f t="shared" si="0"/>
        <v>14260</v>
      </c>
      <c r="H15" s="16">
        <f t="shared" si="1"/>
        <v>8.9</v>
      </c>
      <c r="I15" s="15">
        <f t="shared" si="2"/>
        <v>3.2000000000000001E-2</v>
      </c>
      <c r="J15" s="15">
        <f>ROUND(G15/18480-1,2)</f>
        <v>-0.23</v>
      </c>
    </row>
    <row r="16" spans="1:10" x14ac:dyDescent="0.25">
      <c r="A16" s="1" t="s">
        <v>16</v>
      </c>
      <c r="B16" s="1" t="s">
        <v>24</v>
      </c>
      <c r="C16" s="10">
        <v>50210</v>
      </c>
      <c r="D16" s="10"/>
      <c r="E16" s="10"/>
      <c r="F16" s="10">
        <v>330</v>
      </c>
      <c r="G16" s="10">
        <f t="shared" si="0"/>
        <v>50540</v>
      </c>
      <c r="H16" s="16">
        <f t="shared" si="1"/>
        <v>31.55</v>
      </c>
      <c r="I16" s="15">
        <f t="shared" si="2"/>
        <v>0.114</v>
      </c>
      <c r="J16" s="15">
        <f>ROUND(G16/47460-1,2)</f>
        <v>0.06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1440</v>
      </c>
      <c r="F17" s="10"/>
      <c r="G17" s="10">
        <f t="shared" si="0"/>
        <v>1440</v>
      </c>
      <c r="H17" s="16">
        <f t="shared" si="1"/>
        <v>0.9</v>
      </c>
      <c r="I17" s="15">
        <f t="shared" si="2"/>
        <v>3.0000000000000001E-3</v>
      </c>
      <c r="J17" s="15"/>
    </row>
    <row r="18" spans="1:10" x14ac:dyDescent="0.25">
      <c r="A18" s="1" t="s">
        <v>16</v>
      </c>
      <c r="B18" s="1" t="s">
        <v>26</v>
      </c>
      <c r="C18" s="10">
        <v>109880</v>
      </c>
      <c r="D18" s="10"/>
      <c r="E18" s="10"/>
      <c r="F18" s="10">
        <v>840</v>
      </c>
      <c r="G18" s="10">
        <f t="shared" si="0"/>
        <v>110720</v>
      </c>
      <c r="H18" s="16">
        <f t="shared" si="1"/>
        <v>69.11</v>
      </c>
      <c r="I18" s="15">
        <f t="shared" si="2"/>
        <v>0.25</v>
      </c>
      <c r="J18" s="15">
        <f>ROUND(G18/122860-1,2)</f>
        <v>-0.1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708</v>
      </c>
      <c r="F19" s="10"/>
      <c r="G19" s="10">
        <f t="shared" si="0"/>
        <v>708</v>
      </c>
      <c r="H19" s="16">
        <f t="shared" si="1"/>
        <v>0.44</v>
      </c>
      <c r="I19" s="15">
        <f t="shared" si="2"/>
        <v>2E-3</v>
      </c>
      <c r="J19" s="15"/>
    </row>
    <row r="20" spans="1:10" x14ac:dyDescent="0.25">
      <c r="A20" s="1" t="s">
        <v>16</v>
      </c>
      <c r="B20" s="1" t="s">
        <v>28</v>
      </c>
      <c r="C20" s="10"/>
      <c r="D20" s="10"/>
      <c r="E20" s="10">
        <v>305</v>
      </c>
      <c r="F20" s="10"/>
      <c r="G20" s="10">
        <f t="shared" si="0"/>
        <v>305</v>
      </c>
      <c r="H20" s="16">
        <f t="shared" si="1"/>
        <v>0.19</v>
      </c>
      <c r="I20" s="15">
        <f t="shared" si="2"/>
        <v>1E-3</v>
      </c>
      <c r="J20" s="15"/>
    </row>
    <row r="21" spans="1:10" x14ac:dyDescent="0.25">
      <c r="A21" s="1" t="s">
        <v>16</v>
      </c>
      <c r="B21" s="1" t="s">
        <v>29</v>
      </c>
      <c r="C21" s="10"/>
      <c r="D21" s="10"/>
      <c r="E21" s="10">
        <v>860</v>
      </c>
      <c r="F21" s="10"/>
      <c r="G21" s="10">
        <f t="shared" si="0"/>
        <v>860</v>
      </c>
      <c r="H21" s="16">
        <f t="shared" si="1"/>
        <v>0.54</v>
      </c>
      <c r="I21" s="15">
        <f t="shared" si="2"/>
        <v>2E-3</v>
      </c>
      <c r="J21" s="15">
        <f>ROUND(G21/800-1,2)</f>
        <v>0.08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600</v>
      </c>
      <c r="F22" s="10"/>
      <c r="G22" s="10">
        <f t="shared" si="0"/>
        <v>600</v>
      </c>
      <c r="H22" s="16">
        <f t="shared" si="1"/>
        <v>0.37</v>
      </c>
      <c r="I22" s="15">
        <f t="shared" si="2"/>
        <v>1E-3</v>
      </c>
      <c r="J22" s="15">
        <f>ROUND(G22/610-1,2)</f>
        <v>-0.02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815</v>
      </c>
      <c r="F23" s="10">
        <v>410</v>
      </c>
      <c r="G23" s="10">
        <f t="shared" si="0"/>
        <v>1225</v>
      </c>
      <c r="H23" s="16">
        <f t="shared" si="1"/>
        <v>0.76</v>
      </c>
      <c r="I23" s="15">
        <f t="shared" si="2"/>
        <v>3.0000000000000001E-3</v>
      </c>
      <c r="J23" s="15">
        <f>ROUND(G23/640-1,2)</f>
        <v>0.91</v>
      </c>
    </row>
    <row r="24" spans="1:10" x14ac:dyDescent="0.25">
      <c r="A24" s="1" t="s">
        <v>16</v>
      </c>
      <c r="B24" s="1" t="s">
        <v>33</v>
      </c>
      <c r="C24" s="10"/>
      <c r="D24" s="10">
        <v>113</v>
      </c>
      <c r="E24" s="10">
        <v>76</v>
      </c>
      <c r="F24" s="10"/>
      <c r="G24" s="10">
        <f t="shared" si="0"/>
        <v>189</v>
      </c>
      <c r="H24" s="16">
        <f t="shared" si="1"/>
        <v>0.12</v>
      </c>
      <c r="I24" s="15">
        <f t="shared" si="2"/>
        <v>0</v>
      </c>
      <c r="J24" s="15">
        <f>ROUND(G24/192-1,2)</f>
        <v>-0.02</v>
      </c>
    </row>
    <row r="25" spans="1:10" x14ac:dyDescent="0.25">
      <c r="A25" s="1" t="s">
        <v>16</v>
      </c>
      <c r="B25" s="1" t="s">
        <v>34</v>
      </c>
      <c r="C25" s="10"/>
      <c r="D25" s="10"/>
      <c r="E25" s="10">
        <v>490</v>
      </c>
      <c r="F25" s="10"/>
      <c r="G25" s="10">
        <f t="shared" si="0"/>
        <v>490</v>
      </c>
      <c r="H25" s="16">
        <f t="shared" si="1"/>
        <v>0.31</v>
      </c>
      <c r="I25" s="15">
        <f t="shared" si="2"/>
        <v>1E-3</v>
      </c>
      <c r="J25" s="15"/>
    </row>
    <row r="26" spans="1:10" x14ac:dyDescent="0.25">
      <c r="A26" s="1" t="s">
        <v>16</v>
      </c>
      <c r="B26" s="1" t="s">
        <v>35</v>
      </c>
      <c r="C26" s="10"/>
      <c r="D26" s="10"/>
      <c r="E26" s="10">
        <v>150</v>
      </c>
      <c r="F26" s="10"/>
      <c r="G26" s="10">
        <f t="shared" si="0"/>
        <v>150</v>
      </c>
      <c r="H26" s="16">
        <f t="shared" si="1"/>
        <v>0.09</v>
      </c>
      <c r="I26" s="15">
        <f t="shared" si="2"/>
        <v>0</v>
      </c>
      <c r="J26" s="15">
        <f>ROUND(G26/810-1,2)</f>
        <v>-0.81</v>
      </c>
    </row>
    <row r="27" spans="1:10" x14ac:dyDescent="0.25">
      <c r="A27" s="1" t="s">
        <v>16</v>
      </c>
      <c r="B27" s="1" t="s">
        <v>37</v>
      </c>
      <c r="C27" s="10"/>
      <c r="D27" s="10"/>
      <c r="E27" s="10">
        <v>2110</v>
      </c>
      <c r="F27" s="10"/>
      <c r="G27" s="10">
        <f t="shared" si="0"/>
        <v>2110</v>
      </c>
      <c r="H27" s="16">
        <f t="shared" si="1"/>
        <v>1.32</v>
      </c>
      <c r="I27" s="15">
        <f t="shared" si="2"/>
        <v>5.0000000000000001E-3</v>
      </c>
      <c r="J27" s="15">
        <f>ROUND(G27/1732-1,2)</f>
        <v>0.22</v>
      </c>
    </row>
    <row r="28" spans="1:10" x14ac:dyDescent="0.25">
      <c r="A28" s="1" t="s">
        <v>16</v>
      </c>
      <c r="B28" s="1" t="s">
        <v>43</v>
      </c>
      <c r="C28" s="10"/>
      <c r="D28" s="10"/>
      <c r="E28" s="10">
        <v>2020</v>
      </c>
      <c r="F28" s="10"/>
      <c r="G28" s="10">
        <f t="shared" si="0"/>
        <v>2020</v>
      </c>
      <c r="H28" s="16">
        <f t="shared" si="1"/>
        <v>1.26</v>
      </c>
      <c r="I28" s="15">
        <f t="shared" si="2"/>
        <v>5.0000000000000001E-3</v>
      </c>
      <c r="J28" s="15">
        <f>ROUND(G28/2360-1,2)</f>
        <v>-0.14000000000000001</v>
      </c>
    </row>
    <row r="29" spans="1:10" x14ac:dyDescent="0.25">
      <c r="A29" s="1" t="s">
        <v>16</v>
      </c>
      <c r="B29" s="1" t="s">
        <v>38</v>
      </c>
      <c r="C29" s="10"/>
      <c r="D29" s="10"/>
      <c r="E29" s="10">
        <v>26270</v>
      </c>
      <c r="F29" s="10"/>
      <c r="G29" s="10">
        <f t="shared" si="0"/>
        <v>26270</v>
      </c>
      <c r="H29" s="16">
        <f t="shared" si="1"/>
        <v>16.399999999999999</v>
      </c>
      <c r="I29" s="15">
        <f t="shared" si="2"/>
        <v>5.8999999999999997E-2</v>
      </c>
      <c r="J29" s="15">
        <f>ROUND(G29/14850-1,2)</f>
        <v>0.77</v>
      </c>
    </row>
    <row r="30" spans="1:10" x14ac:dyDescent="0.25">
      <c r="A30" s="1" t="s">
        <v>16</v>
      </c>
      <c r="B30" s="1" t="s">
        <v>39</v>
      </c>
      <c r="C30" s="10"/>
      <c r="D30" s="10"/>
      <c r="E30" s="10">
        <v>1140</v>
      </c>
      <c r="F30" s="10"/>
      <c r="G30" s="10">
        <f t="shared" si="0"/>
        <v>1140</v>
      </c>
      <c r="H30" s="16">
        <f t="shared" si="1"/>
        <v>0.71</v>
      </c>
      <c r="I30" s="15">
        <f t="shared" si="2"/>
        <v>3.0000000000000001E-3</v>
      </c>
      <c r="J30" s="15"/>
    </row>
    <row r="31" spans="1:10" x14ac:dyDescent="0.25">
      <c r="A31" s="1" t="s">
        <v>16</v>
      </c>
      <c r="B31" s="1" t="s">
        <v>40</v>
      </c>
      <c r="C31" s="10"/>
      <c r="D31" s="10"/>
      <c r="E31" s="10">
        <v>6340</v>
      </c>
      <c r="F31" s="10"/>
      <c r="G31" s="10">
        <f t="shared" si="0"/>
        <v>6340</v>
      </c>
      <c r="H31" s="16">
        <f t="shared" si="1"/>
        <v>3.96</v>
      </c>
      <c r="I31" s="15">
        <f t="shared" si="2"/>
        <v>1.4E-2</v>
      </c>
      <c r="J31" s="15">
        <f>ROUND(G31/3700-1,2)</f>
        <v>0.71</v>
      </c>
    </row>
    <row r="32" spans="1:10" x14ac:dyDescent="0.25">
      <c r="A32" s="1" t="s">
        <v>16</v>
      </c>
      <c r="B32" s="1" t="s">
        <v>41</v>
      </c>
      <c r="C32" s="10"/>
      <c r="D32" s="10"/>
      <c r="E32" s="10">
        <v>46660</v>
      </c>
      <c r="F32" s="10"/>
      <c r="G32" s="10">
        <f t="shared" si="0"/>
        <v>46660</v>
      </c>
      <c r="H32" s="16">
        <f t="shared" si="1"/>
        <v>29.13</v>
      </c>
      <c r="I32" s="15">
        <f t="shared" si="2"/>
        <v>0.105</v>
      </c>
      <c r="J32" s="15">
        <f>ROUND(G32/43870-1,2)</f>
        <v>0.06</v>
      </c>
    </row>
    <row r="33" spans="1:10" x14ac:dyDescent="0.25">
      <c r="A33" s="1" t="s">
        <v>16</v>
      </c>
      <c r="B33" s="1" t="s">
        <v>42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ROUND(G33/110-1,2)</f>
        <v>-1</v>
      </c>
    </row>
    <row r="34" spans="1:10" x14ac:dyDescent="0.25">
      <c r="A34" s="1" t="s">
        <v>16</v>
      </c>
      <c r="B34" s="1" t="s">
        <v>31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ROUND(G34/270-1,2)</f>
        <v>-1</v>
      </c>
    </row>
    <row r="35" spans="1:10" x14ac:dyDescent="0.25">
      <c r="A35" s="1" t="s">
        <v>16</v>
      </c>
      <c r="B35" s="1" t="s">
        <v>36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ROUND(G35/650-1,2)</f>
        <v>-1</v>
      </c>
    </row>
    <row r="36" spans="1:10" x14ac:dyDescent="0.25">
      <c r="A36" s="1" t="s">
        <v>44</v>
      </c>
      <c r="B36" s="1" t="s">
        <v>45</v>
      </c>
      <c r="C36" s="10">
        <v>53160</v>
      </c>
      <c r="D36" s="10"/>
      <c r="E36" s="10"/>
      <c r="F36" s="10"/>
      <c r="G36" s="10">
        <f t="shared" si="0"/>
        <v>53160</v>
      </c>
      <c r="H36" s="16">
        <f t="shared" si="1"/>
        <v>33.18</v>
      </c>
      <c r="I36" s="15">
        <f t="shared" si="2"/>
        <v>0.12</v>
      </c>
      <c r="J36" s="15">
        <f>ROUND(G36/50220-1,2)</f>
        <v>0.06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>
        <v>6020</v>
      </c>
      <c r="G37" s="10">
        <f t="shared" si="0"/>
        <v>6020</v>
      </c>
      <c r="H37" s="16">
        <f t="shared" si="1"/>
        <v>3.76</v>
      </c>
      <c r="I37" s="15">
        <f t="shared" si="2"/>
        <v>1.4E-2</v>
      </c>
      <c r="J37" s="15">
        <f>ROUND(G37/20320-1,2)</f>
        <v>-0.7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20790</v>
      </c>
      <c r="F38" s="10"/>
      <c r="G38" s="10">
        <f t="shared" si="0"/>
        <v>20790</v>
      </c>
      <c r="H38" s="16">
        <f t="shared" si="1"/>
        <v>12.98</v>
      </c>
      <c r="I38" s="15">
        <f t="shared" si="2"/>
        <v>4.7E-2</v>
      </c>
      <c r="J38" s="15">
        <f>ROUND(G38/9090-1,2)</f>
        <v>1.29</v>
      </c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27" t="s">
        <v>12</v>
      </c>
      <c r="B40" s="27"/>
      <c r="C40" s="11">
        <f t="shared" ref="C40:H40" si="3">SUM(C8:C39)</f>
        <v>309320</v>
      </c>
      <c r="D40" s="11">
        <f t="shared" si="3"/>
        <v>113</v>
      </c>
      <c r="E40" s="11">
        <f t="shared" si="3"/>
        <v>126391</v>
      </c>
      <c r="F40" s="11">
        <f t="shared" si="3"/>
        <v>7842</v>
      </c>
      <c r="G40" s="11">
        <f t="shared" si="3"/>
        <v>443666</v>
      </c>
      <c r="H40" s="14">
        <f t="shared" si="3"/>
        <v>276.95</v>
      </c>
      <c r="I40" s="17"/>
      <c r="J40" s="17"/>
    </row>
    <row r="41" spans="1:10" x14ac:dyDescent="0.25">
      <c r="A41" s="27" t="s">
        <v>14</v>
      </c>
      <c r="B41" s="27"/>
      <c r="C41" s="12">
        <f>ROUND(C40/G40,2)</f>
        <v>0.7</v>
      </c>
      <c r="D41" s="12">
        <f>ROUND(D40/G40,2)</f>
        <v>0</v>
      </c>
      <c r="E41" s="12">
        <f>ROUND(E40/G40,2)</f>
        <v>0.28000000000000003</v>
      </c>
      <c r="F41" s="12">
        <f>ROUND(F40/G40,2)</f>
        <v>0.02</v>
      </c>
      <c r="G41" s="13"/>
      <c r="H41" s="13"/>
      <c r="I41" s="17"/>
      <c r="J41" s="17"/>
    </row>
    <row r="42" spans="1:10" x14ac:dyDescent="0.25">
      <c r="A42" s="2" t="s">
        <v>52</v>
      </c>
      <c r="B42" s="2"/>
      <c r="C42" s="13"/>
      <c r="D42" s="13"/>
      <c r="E42" s="13"/>
      <c r="F42" s="13"/>
      <c r="G42" s="13"/>
      <c r="H42" s="13"/>
      <c r="I42" s="17"/>
      <c r="J42" s="17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7" t="s">
        <v>53</v>
      </c>
      <c r="B46" s="27"/>
      <c r="C46" s="11" t="s">
        <v>8</v>
      </c>
      <c r="D46" s="11" t="s">
        <v>9</v>
      </c>
      <c r="E46" s="11" t="s">
        <v>10</v>
      </c>
      <c r="F46" s="11" t="s">
        <v>11</v>
      </c>
      <c r="G46" s="11" t="s">
        <v>12</v>
      </c>
      <c r="H46" s="14" t="s">
        <v>13</v>
      </c>
      <c r="I46" s="17"/>
      <c r="J46" s="17"/>
    </row>
    <row r="47" spans="1:10" x14ac:dyDescent="0.25">
      <c r="A47" s="22" t="s">
        <v>54</v>
      </c>
      <c r="B47" s="22"/>
      <c r="C47" s="10">
        <v>256160</v>
      </c>
      <c r="D47" s="10">
        <v>113</v>
      </c>
      <c r="E47" s="10">
        <v>105601</v>
      </c>
      <c r="F47" s="10">
        <v>1822</v>
      </c>
      <c r="G47" s="10">
        <f>SUM(C47:F47)</f>
        <v>363696</v>
      </c>
      <c r="H47" s="16">
        <f>ROUND(G47/1602,2)</f>
        <v>227.03</v>
      </c>
      <c r="I47" s="9"/>
      <c r="J47" s="9"/>
    </row>
    <row r="48" spans="1:10" x14ac:dyDescent="0.25">
      <c r="A48" s="22" t="s">
        <v>55</v>
      </c>
      <c r="B48" s="22"/>
      <c r="C48" s="10">
        <v>53160</v>
      </c>
      <c r="D48" s="10">
        <v>0</v>
      </c>
      <c r="E48" s="10">
        <v>20790</v>
      </c>
      <c r="F48" s="10">
        <v>6020</v>
      </c>
      <c r="G48" s="10">
        <f>SUM(C48:F48)</f>
        <v>79970</v>
      </c>
      <c r="H48" s="16">
        <f>ROUND(G48/1602,2)</f>
        <v>49.92</v>
      </c>
      <c r="I48" s="9"/>
      <c r="J48" s="9"/>
    </row>
    <row r="49" spans="1:10" x14ac:dyDescent="0.25">
      <c r="A49" s="22" t="s">
        <v>56</v>
      </c>
      <c r="B49" s="22"/>
      <c r="C49" s="10">
        <v>0</v>
      </c>
      <c r="D49" s="10">
        <v>0</v>
      </c>
      <c r="E49" s="10">
        <v>0</v>
      </c>
      <c r="F49" s="10">
        <v>0</v>
      </c>
      <c r="G49" s="10">
        <f>SUM(C49:F49)</f>
        <v>0</v>
      </c>
      <c r="H49" s="16">
        <f>ROUND(G49/1602,2)</f>
        <v>0</v>
      </c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57</v>
      </c>
      <c r="B54" s="27"/>
      <c r="C54" s="14" t="s">
        <v>2</v>
      </c>
      <c r="D54" s="14">
        <v>2023</v>
      </c>
      <c r="E54" s="14" t="s">
        <v>59</v>
      </c>
      <c r="F54" s="13"/>
      <c r="G54" s="14" t="s">
        <v>60</v>
      </c>
      <c r="H54" s="14" t="s">
        <v>2</v>
      </c>
      <c r="I54" s="12" t="s">
        <v>61</v>
      </c>
      <c r="J54" s="12" t="s">
        <v>59</v>
      </c>
    </row>
    <row r="55" spans="1:10" x14ac:dyDescent="0.25">
      <c r="A55" s="22" t="s">
        <v>58</v>
      </c>
      <c r="B55" s="22"/>
      <c r="C55" s="15">
        <f>ROUND(0.8686, 4)</f>
        <v>0.86860000000000004</v>
      </c>
      <c r="D55" s="15">
        <f>ROUND(0.8675, 4)</f>
        <v>0.86750000000000005</v>
      </c>
      <c r="E55" s="15">
        <f>ROUND(0.777, 4)</f>
        <v>0.77700000000000002</v>
      </c>
      <c r="F55" s="8"/>
      <c r="G55" s="14" t="s">
        <v>62</v>
      </c>
      <c r="H55" s="28" t="s">
        <v>63</v>
      </c>
      <c r="I55" s="25" t="s">
        <v>64</v>
      </c>
      <c r="J55" s="25" t="s">
        <v>65</v>
      </c>
    </row>
    <row r="56" spans="1:10" x14ac:dyDescent="0.25">
      <c r="A56" s="22" t="s">
        <v>66</v>
      </c>
      <c r="B56" s="22"/>
      <c r="C56" s="15">
        <f>ROUND(0.8561, 4)</f>
        <v>0.85609999999999997</v>
      </c>
      <c r="D56" s="15">
        <f>ROUND(0.8552, 4)</f>
        <v>0.85519999999999996</v>
      </c>
      <c r="E56" s="15">
        <f>ROUND(0.7608, 4)</f>
        <v>0.76080000000000003</v>
      </c>
      <c r="F56" s="8"/>
      <c r="G56" s="14" t="s">
        <v>67</v>
      </c>
      <c r="H56" s="29"/>
      <c r="I56" s="26"/>
      <c r="J56" s="26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68</v>
      </c>
      <c r="B60" s="27"/>
      <c r="C60" s="14" t="s">
        <v>2</v>
      </c>
      <c r="D60" s="14" t="s">
        <v>212</v>
      </c>
      <c r="E60" s="14" t="s">
        <v>70</v>
      </c>
      <c r="F60" s="14" t="s">
        <v>71</v>
      </c>
      <c r="G60" s="14" t="s">
        <v>72</v>
      </c>
      <c r="H60" s="13"/>
      <c r="I60" s="17"/>
      <c r="J60" s="17"/>
    </row>
    <row r="61" spans="1:10" x14ac:dyDescent="0.25">
      <c r="A61" s="22" t="s">
        <v>73</v>
      </c>
      <c r="B61" s="22"/>
      <c r="C61" s="16">
        <v>33.18</v>
      </c>
      <c r="D61" s="16">
        <v>42.98</v>
      </c>
      <c r="E61" s="16">
        <v>92.53</v>
      </c>
      <c r="F61" s="16">
        <v>56.06</v>
      </c>
      <c r="G61" s="16">
        <f>12/11*C61</f>
        <v>36.196363636363635</v>
      </c>
      <c r="H61" s="8"/>
      <c r="I61" s="9"/>
      <c r="J61" s="9"/>
    </row>
    <row r="62" spans="1:10" x14ac:dyDescent="0.25">
      <c r="A62" s="22" t="s">
        <v>74</v>
      </c>
      <c r="B62" s="22"/>
      <c r="C62" s="16">
        <v>69.11</v>
      </c>
      <c r="D62" s="16">
        <v>82</v>
      </c>
      <c r="E62" s="16">
        <v>61.98</v>
      </c>
      <c r="F62" s="16">
        <v>64.09</v>
      </c>
      <c r="G62" s="16">
        <f>12/11*C62</f>
        <v>75.392727272727271</v>
      </c>
      <c r="H62" s="8"/>
      <c r="I62" s="9"/>
      <c r="J62" s="9"/>
    </row>
    <row r="63" spans="1:10" x14ac:dyDescent="0.25">
      <c r="A63" s="22" t="s">
        <v>75</v>
      </c>
      <c r="B63" s="22"/>
      <c r="C63" s="16">
        <v>227.03</v>
      </c>
      <c r="D63" s="16">
        <v>244.18</v>
      </c>
      <c r="E63" s="16">
        <v>291.51</v>
      </c>
      <c r="F63" s="16">
        <v>284.45</v>
      </c>
      <c r="G63" s="16">
        <f>12/11*C63</f>
        <v>247.6690909090909</v>
      </c>
      <c r="H63" s="8"/>
      <c r="I63" s="9"/>
      <c r="J63" s="9"/>
    </row>
    <row r="64" spans="1:10" x14ac:dyDescent="0.25">
      <c r="A64" s="22" t="s">
        <v>76</v>
      </c>
      <c r="B64" s="22"/>
      <c r="C64" s="16">
        <v>49.92</v>
      </c>
      <c r="D64" s="16">
        <v>62.7</v>
      </c>
      <c r="E64" s="16">
        <v>116.46</v>
      </c>
      <c r="F64" s="16">
        <v>79.959999999999994</v>
      </c>
      <c r="G64" s="16">
        <f>12/11*C64</f>
        <v>54.458181818181814</v>
      </c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3" t="s">
        <v>60</v>
      </c>
      <c r="B67" s="24"/>
    </row>
    <row r="68" spans="1:10" x14ac:dyDescent="0.25">
      <c r="A68" s="3" t="s">
        <v>77</v>
      </c>
      <c r="B68" s="1" t="s">
        <v>213</v>
      </c>
    </row>
    <row r="69" spans="1:10" x14ac:dyDescent="0.25">
      <c r="A69" s="3" t="s">
        <v>70</v>
      </c>
      <c r="B69" s="1" t="s">
        <v>79</v>
      </c>
    </row>
    <row r="70" spans="1:10" x14ac:dyDescent="0.25">
      <c r="A70" s="3" t="s">
        <v>71</v>
      </c>
      <c r="B70" s="1" t="s">
        <v>80</v>
      </c>
    </row>
    <row r="71" spans="1:10" x14ac:dyDescent="0.25">
      <c r="A71" s="3" t="s">
        <v>72</v>
      </c>
      <c r="B71" s="1" t="s">
        <v>81</v>
      </c>
    </row>
  </sheetData>
  <mergeCells count="19">
    <mergeCell ref="C7:G7"/>
    <mergeCell ref="A40:B40"/>
    <mergeCell ref="A41:B41"/>
    <mergeCell ref="A46:B46"/>
    <mergeCell ref="A47:B47"/>
    <mergeCell ref="J55:J56"/>
    <mergeCell ref="A56:B56"/>
    <mergeCell ref="A60:B60"/>
    <mergeCell ref="A61:B61"/>
    <mergeCell ref="A48:B48"/>
    <mergeCell ref="A49:B49"/>
    <mergeCell ref="A54:B54"/>
    <mergeCell ref="A55:B55"/>
    <mergeCell ref="H55:H56"/>
    <mergeCell ref="A62:B62"/>
    <mergeCell ref="A63:B63"/>
    <mergeCell ref="A64:B64"/>
    <mergeCell ref="A67:B67"/>
    <mergeCell ref="I55:I5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6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214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483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>
        <v>13100</v>
      </c>
      <c r="D9" s="10"/>
      <c r="E9" s="10"/>
      <c r="F9" s="10"/>
      <c r="G9" s="10">
        <f t="shared" ref="G9:G34" si="0">SUM(C9:F9)</f>
        <v>13100</v>
      </c>
      <c r="H9" s="16">
        <f t="shared" ref="H9:H34" si="1">ROUND(G9/483,2)</f>
        <v>27.12</v>
      </c>
      <c r="I9" s="15">
        <f t="shared" ref="I9:I34" si="2">ROUND(G9/$G$35,3)</f>
        <v>0.08</v>
      </c>
      <c r="J9" s="15">
        <f>ROUND(G9/11170-1,2)</f>
        <v>0.17</v>
      </c>
    </row>
    <row r="10" spans="1:10" x14ac:dyDescent="0.25">
      <c r="A10" s="1" t="s">
        <v>16</v>
      </c>
      <c r="B10" s="1" t="s">
        <v>20</v>
      </c>
      <c r="C10" s="10">
        <v>19700</v>
      </c>
      <c r="D10" s="10"/>
      <c r="E10" s="10"/>
      <c r="F10" s="10"/>
      <c r="G10" s="10">
        <f t="shared" si="0"/>
        <v>19700</v>
      </c>
      <c r="H10" s="16">
        <f t="shared" si="1"/>
        <v>40.79</v>
      </c>
      <c r="I10" s="15">
        <f t="shared" si="2"/>
        <v>0.12</v>
      </c>
      <c r="J10" s="15">
        <f>ROUND(G10/18980-1,2)</f>
        <v>0.04</v>
      </c>
    </row>
    <row r="11" spans="1:10" x14ac:dyDescent="0.25">
      <c r="A11" s="1" t="s">
        <v>16</v>
      </c>
      <c r="B11" s="1" t="s">
        <v>21</v>
      </c>
      <c r="C11" s="10"/>
      <c r="D11" s="10"/>
      <c r="E11" s="10">
        <v>50</v>
      </c>
      <c r="F11" s="10"/>
      <c r="G11" s="10">
        <f t="shared" si="0"/>
        <v>50</v>
      </c>
      <c r="H11" s="16">
        <f t="shared" si="1"/>
        <v>0.1</v>
      </c>
      <c r="I11" s="15">
        <f t="shared" si="2"/>
        <v>0</v>
      </c>
      <c r="J11" s="15">
        <f>ROUND(G11/67-1,2)</f>
        <v>-0.25</v>
      </c>
    </row>
    <row r="12" spans="1:10" x14ac:dyDescent="0.25">
      <c r="A12" s="1" t="s">
        <v>16</v>
      </c>
      <c r="B12" s="1" t="s">
        <v>22</v>
      </c>
      <c r="C12" s="10"/>
      <c r="D12" s="10"/>
      <c r="E12" s="10">
        <v>700</v>
      </c>
      <c r="F12" s="10"/>
      <c r="G12" s="10">
        <f t="shared" si="0"/>
        <v>700</v>
      </c>
      <c r="H12" s="16">
        <f t="shared" si="1"/>
        <v>1.45</v>
      </c>
      <c r="I12" s="15">
        <f t="shared" si="2"/>
        <v>4.0000000000000001E-3</v>
      </c>
      <c r="J12" s="15">
        <f>ROUND(G12/840-1,2)</f>
        <v>-0.17</v>
      </c>
    </row>
    <row r="13" spans="1:10" x14ac:dyDescent="0.25">
      <c r="A13" s="1" t="s">
        <v>16</v>
      </c>
      <c r="B13" s="1" t="s">
        <v>24</v>
      </c>
      <c r="C13" s="10">
        <v>16390</v>
      </c>
      <c r="D13" s="10"/>
      <c r="E13" s="10"/>
      <c r="F13" s="10"/>
      <c r="G13" s="10">
        <f t="shared" si="0"/>
        <v>16390</v>
      </c>
      <c r="H13" s="16">
        <f t="shared" si="1"/>
        <v>33.93</v>
      </c>
      <c r="I13" s="15">
        <f t="shared" si="2"/>
        <v>0.1</v>
      </c>
      <c r="J13" s="15">
        <f>ROUND(G13/15930-1,2)</f>
        <v>0.03</v>
      </c>
    </row>
    <row r="14" spans="1:10" x14ac:dyDescent="0.25">
      <c r="A14" s="1" t="s">
        <v>16</v>
      </c>
      <c r="B14" s="1" t="s">
        <v>25</v>
      </c>
      <c r="C14" s="10"/>
      <c r="D14" s="10"/>
      <c r="E14" s="10">
        <v>1190</v>
      </c>
      <c r="F14" s="10"/>
      <c r="G14" s="10">
        <f t="shared" si="0"/>
        <v>1190</v>
      </c>
      <c r="H14" s="16">
        <f t="shared" si="1"/>
        <v>2.46</v>
      </c>
      <c r="I14" s="15">
        <f t="shared" si="2"/>
        <v>7.0000000000000001E-3</v>
      </c>
      <c r="J14" s="15"/>
    </row>
    <row r="15" spans="1:10" x14ac:dyDescent="0.25">
      <c r="A15" s="1" t="s">
        <v>16</v>
      </c>
      <c r="B15" s="1" t="s">
        <v>26</v>
      </c>
      <c r="C15" s="10">
        <v>11820</v>
      </c>
      <c r="D15" s="10"/>
      <c r="E15" s="10"/>
      <c r="F15" s="10">
        <v>220</v>
      </c>
      <c r="G15" s="10">
        <f t="shared" si="0"/>
        <v>12040</v>
      </c>
      <c r="H15" s="16">
        <f t="shared" si="1"/>
        <v>24.93</v>
      </c>
      <c r="I15" s="15">
        <f t="shared" si="2"/>
        <v>7.3999999999999996E-2</v>
      </c>
      <c r="J15" s="15">
        <f>ROUND(G15/11340-1,2)</f>
        <v>0.06</v>
      </c>
    </row>
    <row r="16" spans="1:10" x14ac:dyDescent="0.25">
      <c r="A16" s="1" t="s">
        <v>16</v>
      </c>
      <c r="B16" s="1" t="s">
        <v>29</v>
      </c>
      <c r="C16" s="10"/>
      <c r="D16" s="10"/>
      <c r="E16" s="10">
        <v>480</v>
      </c>
      <c r="F16" s="10"/>
      <c r="G16" s="10">
        <f t="shared" si="0"/>
        <v>480</v>
      </c>
      <c r="H16" s="16">
        <f t="shared" si="1"/>
        <v>0.99</v>
      </c>
      <c r="I16" s="15">
        <f t="shared" si="2"/>
        <v>3.0000000000000001E-3</v>
      </c>
      <c r="J16" s="15">
        <f>ROUND(G16/1550-1,2)</f>
        <v>-0.69</v>
      </c>
    </row>
    <row r="17" spans="1:10" x14ac:dyDescent="0.25">
      <c r="A17" s="1" t="s">
        <v>16</v>
      </c>
      <c r="B17" s="1" t="s">
        <v>30</v>
      </c>
      <c r="C17" s="10"/>
      <c r="D17" s="10"/>
      <c r="E17" s="10">
        <v>410</v>
      </c>
      <c r="F17" s="10"/>
      <c r="G17" s="10">
        <f t="shared" si="0"/>
        <v>410</v>
      </c>
      <c r="H17" s="16">
        <f t="shared" si="1"/>
        <v>0.85</v>
      </c>
      <c r="I17" s="15">
        <f t="shared" si="2"/>
        <v>3.0000000000000001E-3</v>
      </c>
      <c r="J17" s="15"/>
    </row>
    <row r="18" spans="1:10" x14ac:dyDescent="0.25">
      <c r="A18" s="1" t="s">
        <v>16</v>
      </c>
      <c r="B18" s="1" t="s">
        <v>32</v>
      </c>
      <c r="C18" s="10"/>
      <c r="D18" s="10"/>
      <c r="E18" s="10">
        <v>540</v>
      </c>
      <c r="F18" s="10"/>
      <c r="G18" s="10">
        <f t="shared" si="0"/>
        <v>540</v>
      </c>
      <c r="H18" s="16">
        <f t="shared" si="1"/>
        <v>1.1200000000000001</v>
      </c>
      <c r="I18" s="15">
        <f t="shared" si="2"/>
        <v>3.0000000000000001E-3</v>
      </c>
      <c r="J18" s="15">
        <f>ROUND(G18/1015-1,2)</f>
        <v>-0.47</v>
      </c>
    </row>
    <row r="19" spans="1:10" x14ac:dyDescent="0.25">
      <c r="A19" s="1" t="s">
        <v>16</v>
      </c>
      <c r="B19" s="1" t="s">
        <v>33</v>
      </c>
      <c r="C19" s="10"/>
      <c r="D19" s="10">
        <v>55</v>
      </c>
      <c r="E19" s="10">
        <v>24</v>
      </c>
      <c r="F19" s="10"/>
      <c r="G19" s="10">
        <f t="shared" si="0"/>
        <v>79</v>
      </c>
      <c r="H19" s="16">
        <f t="shared" si="1"/>
        <v>0.16</v>
      </c>
      <c r="I19" s="15">
        <f t="shared" si="2"/>
        <v>0</v>
      </c>
      <c r="J19" s="15">
        <f>ROUND(G19/46-1,2)</f>
        <v>0.72</v>
      </c>
    </row>
    <row r="20" spans="1:10" x14ac:dyDescent="0.25">
      <c r="A20" s="1" t="s">
        <v>16</v>
      </c>
      <c r="B20" s="1" t="s">
        <v>34</v>
      </c>
      <c r="C20" s="10"/>
      <c r="D20" s="10"/>
      <c r="E20" s="10">
        <v>540</v>
      </c>
      <c r="F20" s="10"/>
      <c r="G20" s="10">
        <f t="shared" si="0"/>
        <v>540</v>
      </c>
      <c r="H20" s="16">
        <f t="shared" si="1"/>
        <v>1.1200000000000001</v>
      </c>
      <c r="I20" s="15">
        <f t="shared" si="2"/>
        <v>3.0000000000000001E-3</v>
      </c>
      <c r="J20" s="15"/>
    </row>
    <row r="21" spans="1:10" x14ac:dyDescent="0.25">
      <c r="A21" s="1" t="s">
        <v>16</v>
      </c>
      <c r="B21" s="1" t="s">
        <v>35</v>
      </c>
      <c r="C21" s="10"/>
      <c r="D21" s="10">
        <v>160</v>
      </c>
      <c r="E21" s="10"/>
      <c r="F21" s="10"/>
      <c r="G21" s="10">
        <f t="shared" si="0"/>
        <v>160</v>
      </c>
      <c r="H21" s="16">
        <f t="shared" si="1"/>
        <v>0.33</v>
      </c>
      <c r="I21" s="15">
        <f t="shared" si="2"/>
        <v>1E-3</v>
      </c>
      <c r="J21" s="15"/>
    </row>
    <row r="22" spans="1:10" x14ac:dyDescent="0.25">
      <c r="A22" s="1" t="s">
        <v>16</v>
      </c>
      <c r="B22" s="1" t="s">
        <v>37</v>
      </c>
      <c r="C22" s="10"/>
      <c r="D22" s="10"/>
      <c r="E22" s="10">
        <v>690</v>
      </c>
      <c r="F22" s="10"/>
      <c r="G22" s="10">
        <f t="shared" si="0"/>
        <v>690</v>
      </c>
      <c r="H22" s="16">
        <f t="shared" si="1"/>
        <v>1.43</v>
      </c>
      <c r="I22" s="15">
        <f t="shared" si="2"/>
        <v>4.0000000000000001E-3</v>
      </c>
      <c r="J22" s="15">
        <f>ROUND(G22/500-1,2)</f>
        <v>0.38</v>
      </c>
    </row>
    <row r="23" spans="1:10" x14ac:dyDescent="0.25">
      <c r="A23" s="1" t="s">
        <v>16</v>
      </c>
      <c r="B23" s="1" t="s">
        <v>38</v>
      </c>
      <c r="C23" s="10"/>
      <c r="D23" s="10"/>
      <c r="E23" s="10">
        <v>24295</v>
      </c>
      <c r="F23" s="10"/>
      <c r="G23" s="10">
        <f t="shared" si="0"/>
        <v>24295</v>
      </c>
      <c r="H23" s="16">
        <f t="shared" si="1"/>
        <v>50.3</v>
      </c>
      <c r="I23" s="15">
        <f t="shared" si="2"/>
        <v>0.14899999999999999</v>
      </c>
      <c r="J23" s="15">
        <f>ROUND(G23/14370-1,2)</f>
        <v>0.69</v>
      </c>
    </row>
    <row r="24" spans="1:10" x14ac:dyDescent="0.25">
      <c r="A24" s="1" t="s">
        <v>16</v>
      </c>
      <c r="B24" s="1" t="s">
        <v>39</v>
      </c>
      <c r="C24" s="10"/>
      <c r="D24" s="10"/>
      <c r="E24" s="10">
        <v>1410</v>
      </c>
      <c r="F24" s="10"/>
      <c r="G24" s="10">
        <f t="shared" si="0"/>
        <v>1410</v>
      </c>
      <c r="H24" s="16">
        <f t="shared" si="1"/>
        <v>2.92</v>
      </c>
      <c r="I24" s="15">
        <f t="shared" si="2"/>
        <v>8.9999999999999993E-3</v>
      </c>
      <c r="J24" s="15">
        <f>ROUND(G24/2490-1,2)</f>
        <v>-0.43</v>
      </c>
    </row>
    <row r="25" spans="1:10" x14ac:dyDescent="0.25">
      <c r="A25" s="1" t="s">
        <v>16</v>
      </c>
      <c r="B25" s="1" t="s">
        <v>40</v>
      </c>
      <c r="C25" s="10"/>
      <c r="D25" s="10"/>
      <c r="E25" s="10">
        <v>9140</v>
      </c>
      <c r="F25" s="10"/>
      <c r="G25" s="10">
        <f t="shared" si="0"/>
        <v>9140</v>
      </c>
      <c r="H25" s="16">
        <f t="shared" si="1"/>
        <v>18.920000000000002</v>
      </c>
      <c r="I25" s="15">
        <f t="shared" si="2"/>
        <v>5.6000000000000001E-2</v>
      </c>
      <c r="J25" s="15">
        <f>ROUND(G25/7340-1,2)</f>
        <v>0.25</v>
      </c>
    </row>
    <row r="26" spans="1:10" x14ac:dyDescent="0.25">
      <c r="A26" s="1" t="s">
        <v>16</v>
      </c>
      <c r="B26" s="1" t="s">
        <v>41</v>
      </c>
      <c r="C26" s="10"/>
      <c r="D26" s="10"/>
      <c r="E26" s="10"/>
      <c r="F26" s="10">
        <v>11820</v>
      </c>
      <c r="G26" s="10">
        <f t="shared" si="0"/>
        <v>11820</v>
      </c>
      <c r="H26" s="16">
        <f t="shared" si="1"/>
        <v>24.47</v>
      </c>
      <c r="I26" s="15">
        <f t="shared" si="2"/>
        <v>7.1999999999999995E-2</v>
      </c>
      <c r="J26" s="15"/>
    </row>
    <row r="27" spans="1:10" x14ac:dyDescent="0.25">
      <c r="A27" s="1" t="s">
        <v>16</v>
      </c>
      <c r="B27" s="1" t="s">
        <v>36</v>
      </c>
      <c r="C27" s="10"/>
      <c r="D27" s="10"/>
      <c r="E27" s="10"/>
      <c r="F27" s="10"/>
      <c r="G27" s="10">
        <f t="shared" si="0"/>
        <v>0</v>
      </c>
      <c r="H27" s="16">
        <f t="shared" si="1"/>
        <v>0</v>
      </c>
      <c r="I27" s="15">
        <f t="shared" si="2"/>
        <v>0</v>
      </c>
      <c r="J27" s="15">
        <f>ROUND(G27/663-1,2)</f>
        <v>-1</v>
      </c>
    </row>
    <row r="28" spans="1:10" x14ac:dyDescent="0.25">
      <c r="A28" s="1" t="s">
        <v>16</v>
      </c>
      <c r="B28" s="1" t="s">
        <v>43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ROUND(G28/2040-1,2)</f>
        <v>-1</v>
      </c>
    </row>
    <row r="29" spans="1:10" x14ac:dyDescent="0.25">
      <c r="A29" s="1" t="s">
        <v>16</v>
      </c>
      <c r="B29" s="1" t="s">
        <v>17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/>
    </row>
    <row r="30" spans="1:10" x14ac:dyDescent="0.25">
      <c r="A30" s="1" t="s">
        <v>16</v>
      </c>
      <c r="B30" s="1" t="s">
        <v>23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/>
    </row>
    <row r="31" spans="1:10" x14ac:dyDescent="0.25">
      <c r="A31" s="1" t="s">
        <v>16</v>
      </c>
      <c r="B31" s="1" t="s">
        <v>31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ROUND(G31/270-1,2)</f>
        <v>-1</v>
      </c>
    </row>
    <row r="32" spans="1:10" x14ac:dyDescent="0.25">
      <c r="A32" s="1" t="s">
        <v>16</v>
      </c>
      <c r="B32" s="1" t="s">
        <v>42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44</v>
      </c>
      <c r="B33" s="1" t="s">
        <v>45</v>
      </c>
      <c r="C33" s="10">
        <v>38060</v>
      </c>
      <c r="D33" s="10"/>
      <c r="E33" s="10"/>
      <c r="F33" s="10">
        <v>140</v>
      </c>
      <c r="G33" s="10">
        <f t="shared" si="0"/>
        <v>38200</v>
      </c>
      <c r="H33" s="16">
        <f t="shared" si="1"/>
        <v>79.09</v>
      </c>
      <c r="I33" s="15">
        <f t="shared" si="2"/>
        <v>0.23400000000000001</v>
      </c>
      <c r="J33" s="15">
        <f>ROUND(G33/49660-1,2)</f>
        <v>-0.23</v>
      </c>
    </row>
    <row r="34" spans="1:10" x14ac:dyDescent="0.25">
      <c r="A34" s="1" t="s">
        <v>44</v>
      </c>
      <c r="B34" s="1" t="s">
        <v>46</v>
      </c>
      <c r="C34" s="10"/>
      <c r="D34" s="10"/>
      <c r="E34" s="10">
        <v>12660</v>
      </c>
      <c r="F34" s="10"/>
      <c r="G34" s="10">
        <f t="shared" si="0"/>
        <v>12660</v>
      </c>
      <c r="H34" s="16">
        <f t="shared" si="1"/>
        <v>26.21</v>
      </c>
      <c r="I34" s="15">
        <f t="shared" si="2"/>
        <v>7.6999999999999999E-2</v>
      </c>
      <c r="J34" s="15">
        <f>ROUND(G34/7560-1,2)</f>
        <v>0.67</v>
      </c>
    </row>
    <row r="35" spans="1:10" x14ac:dyDescent="0.25">
      <c r="A35" s="27" t="s">
        <v>12</v>
      </c>
      <c r="B35" s="27"/>
      <c r="C35" s="11">
        <f t="shared" ref="C35:H35" si="3">SUM(C8:C34)</f>
        <v>99070</v>
      </c>
      <c r="D35" s="11">
        <f t="shared" si="3"/>
        <v>215</v>
      </c>
      <c r="E35" s="11">
        <f t="shared" si="3"/>
        <v>52129</v>
      </c>
      <c r="F35" s="11">
        <f t="shared" si="3"/>
        <v>12180</v>
      </c>
      <c r="G35" s="11">
        <f t="shared" si="3"/>
        <v>163594</v>
      </c>
      <c r="H35" s="14">
        <f t="shared" si="3"/>
        <v>338.68999999999994</v>
      </c>
      <c r="I35" s="17"/>
      <c r="J35" s="17"/>
    </row>
    <row r="36" spans="1:10" x14ac:dyDescent="0.25">
      <c r="A36" s="27" t="s">
        <v>14</v>
      </c>
      <c r="B36" s="27"/>
      <c r="C36" s="12">
        <f>ROUND(C35/G35,2)</f>
        <v>0.61</v>
      </c>
      <c r="D36" s="12">
        <f>ROUND(D35/G35,2)</f>
        <v>0</v>
      </c>
      <c r="E36" s="12">
        <f>ROUND(E35/G35,2)</f>
        <v>0.32</v>
      </c>
      <c r="F36" s="12">
        <f>ROUND(F35/G35,2)</f>
        <v>7.0000000000000007E-2</v>
      </c>
      <c r="G36" s="13"/>
      <c r="H36" s="13"/>
      <c r="I36" s="17"/>
      <c r="J36" s="17"/>
    </row>
    <row r="37" spans="1:10" x14ac:dyDescent="0.25">
      <c r="A37" s="2" t="s">
        <v>52</v>
      </c>
      <c r="B37" s="2"/>
      <c r="C37" s="13"/>
      <c r="D37" s="13"/>
      <c r="E37" s="13"/>
      <c r="F37" s="13"/>
      <c r="G37" s="13"/>
      <c r="H37" s="13"/>
      <c r="I37" s="17"/>
      <c r="J37" s="17"/>
    </row>
    <row r="38" spans="1:10" x14ac:dyDescent="0.25">
      <c r="C38" s="8"/>
      <c r="D38" s="8"/>
      <c r="E38" s="8"/>
      <c r="F38" s="8"/>
      <c r="G38" s="8"/>
      <c r="H38" s="8"/>
      <c r="I38" s="9"/>
      <c r="J38" s="9"/>
    </row>
    <row r="39" spans="1:10" x14ac:dyDescent="0.25">
      <c r="C39" s="8"/>
      <c r="D39" s="8"/>
      <c r="E39" s="8"/>
      <c r="F39" s="8"/>
      <c r="G39" s="8"/>
      <c r="H39" s="8"/>
      <c r="I39" s="9"/>
      <c r="J39" s="9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A41" s="27" t="s">
        <v>53</v>
      </c>
      <c r="B41" s="27"/>
      <c r="C41" s="11" t="s">
        <v>8</v>
      </c>
      <c r="D41" s="11" t="s">
        <v>9</v>
      </c>
      <c r="E41" s="11" t="s">
        <v>10</v>
      </c>
      <c r="F41" s="11" t="s">
        <v>11</v>
      </c>
      <c r="G41" s="11" t="s">
        <v>12</v>
      </c>
      <c r="H41" s="14" t="s">
        <v>13</v>
      </c>
      <c r="I41" s="17"/>
      <c r="J41" s="17"/>
    </row>
    <row r="42" spans="1:10" x14ac:dyDescent="0.25">
      <c r="A42" s="22" t="s">
        <v>54</v>
      </c>
      <c r="B42" s="22"/>
      <c r="C42" s="10">
        <v>61010</v>
      </c>
      <c r="D42" s="10">
        <v>215</v>
      </c>
      <c r="E42" s="10">
        <v>39469</v>
      </c>
      <c r="F42" s="10">
        <v>12040</v>
      </c>
      <c r="G42" s="10">
        <f>SUM(C42:F42)</f>
        <v>112734</v>
      </c>
      <c r="H42" s="16">
        <f>ROUND(G42/483,2)</f>
        <v>233.4</v>
      </c>
      <c r="I42" s="9"/>
      <c r="J42" s="9"/>
    </row>
    <row r="43" spans="1:10" x14ac:dyDescent="0.25">
      <c r="A43" s="22" t="s">
        <v>55</v>
      </c>
      <c r="B43" s="22"/>
      <c r="C43" s="10">
        <v>38060</v>
      </c>
      <c r="D43" s="10">
        <v>0</v>
      </c>
      <c r="E43" s="10">
        <v>12660</v>
      </c>
      <c r="F43" s="10">
        <v>140</v>
      </c>
      <c r="G43" s="10">
        <f>SUM(C43:F43)</f>
        <v>50860</v>
      </c>
      <c r="H43" s="16">
        <f>ROUND(G43/483,2)</f>
        <v>105.3</v>
      </c>
      <c r="I43" s="9"/>
      <c r="J43" s="9"/>
    </row>
    <row r="44" spans="1:10" x14ac:dyDescent="0.25">
      <c r="A44" s="22" t="s">
        <v>56</v>
      </c>
      <c r="B44" s="22"/>
      <c r="C44" s="10"/>
      <c r="D44" s="10"/>
      <c r="E44" s="10"/>
      <c r="F44" s="10"/>
      <c r="G44" s="10">
        <f>SUM(C44:F44)</f>
        <v>0</v>
      </c>
      <c r="H44" s="16">
        <f>ROUND(G44/483,2)</f>
        <v>0</v>
      </c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A49" s="27" t="s">
        <v>57</v>
      </c>
      <c r="B49" s="27"/>
      <c r="C49" s="14" t="s">
        <v>2</v>
      </c>
      <c r="D49" s="14">
        <v>2023</v>
      </c>
      <c r="E49" s="14" t="s">
        <v>59</v>
      </c>
      <c r="F49" s="13"/>
      <c r="G49" s="14" t="s">
        <v>60</v>
      </c>
      <c r="H49" s="14" t="s">
        <v>2</v>
      </c>
      <c r="I49" s="12" t="s">
        <v>61</v>
      </c>
      <c r="J49" s="12" t="s">
        <v>59</v>
      </c>
    </row>
    <row r="50" spans="1:10" x14ac:dyDescent="0.25">
      <c r="A50" s="22" t="s">
        <v>58</v>
      </c>
      <c r="B50" s="22"/>
      <c r="C50" s="15">
        <f>ROUND(0.7571, 4)</f>
        <v>0.7571</v>
      </c>
      <c r="D50" s="15">
        <f>ROUND(0.6509, 4)</f>
        <v>0.65090000000000003</v>
      </c>
      <c r="E50" s="15">
        <f>ROUND(0.777, 4)</f>
        <v>0.77700000000000002</v>
      </c>
      <c r="F50" s="8"/>
      <c r="G50" s="14" t="s">
        <v>62</v>
      </c>
      <c r="H50" s="28" t="s">
        <v>63</v>
      </c>
      <c r="I50" s="25" t="s">
        <v>64</v>
      </c>
      <c r="J50" s="25" t="s">
        <v>65</v>
      </c>
    </row>
    <row r="51" spans="1:10" x14ac:dyDescent="0.25">
      <c r="A51" s="22" t="s">
        <v>66</v>
      </c>
      <c r="B51" s="22"/>
      <c r="C51" s="15">
        <f>ROUND(0.7468, 4)</f>
        <v>0.74680000000000002</v>
      </c>
      <c r="D51" s="15">
        <f>ROUND(0.6408, 4)</f>
        <v>0.64080000000000004</v>
      </c>
      <c r="E51" s="15">
        <f>ROUND(0.7608, 4)</f>
        <v>0.76080000000000003</v>
      </c>
      <c r="F51" s="8"/>
      <c r="G51" s="14" t="s">
        <v>67</v>
      </c>
      <c r="H51" s="29"/>
      <c r="I51" s="26"/>
      <c r="J51" s="26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68</v>
      </c>
      <c r="B55" s="27"/>
      <c r="C55" s="14" t="s">
        <v>2</v>
      </c>
      <c r="D55" s="14" t="s">
        <v>215</v>
      </c>
      <c r="E55" s="14" t="s">
        <v>70</v>
      </c>
      <c r="F55" s="14" t="s">
        <v>71</v>
      </c>
      <c r="G55" s="14" t="s">
        <v>72</v>
      </c>
      <c r="H55" s="13"/>
      <c r="I55" s="17"/>
      <c r="J55" s="17"/>
    </row>
    <row r="56" spans="1:10" x14ac:dyDescent="0.25">
      <c r="A56" s="22" t="s">
        <v>73</v>
      </c>
      <c r="B56" s="22"/>
      <c r="C56" s="16">
        <v>79.09</v>
      </c>
      <c r="D56" s="16">
        <v>103.36</v>
      </c>
      <c r="E56" s="16">
        <v>92.53</v>
      </c>
      <c r="F56" s="16">
        <v>56.06</v>
      </c>
      <c r="G56" s="16">
        <f>12/11*C56</f>
        <v>86.28</v>
      </c>
      <c r="H56" s="8"/>
      <c r="I56" s="9"/>
      <c r="J56" s="9"/>
    </row>
    <row r="57" spans="1:10" x14ac:dyDescent="0.25">
      <c r="A57" s="22" t="s">
        <v>74</v>
      </c>
      <c r="B57" s="22"/>
      <c r="C57" s="16">
        <v>24.93</v>
      </c>
      <c r="D57" s="16">
        <v>29.26</v>
      </c>
      <c r="E57" s="16">
        <v>61.98</v>
      </c>
      <c r="F57" s="16">
        <v>64.09</v>
      </c>
      <c r="G57" s="16">
        <f>12/11*C57</f>
        <v>27.196363636363635</v>
      </c>
      <c r="H57" s="8"/>
      <c r="I57" s="9"/>
      <c r="J57" s="9"/>
    </row>
    <row r="58" spans="1:10" x14ac:dyDescent="0.25">
      <c r="A58" s="22" t="s">
        <v>75</v>
      </c>
      <c r="B58" s="22"/>
      <c r="C58" s="16">
        <v>233.4</v>
      </c>
      <c r="D58" s="16">
        <v>243.15</v>
      </c>
      <c r="E58" s="16">
        <v>291.51</v>
      </c>
      <c r="F58" s="16">
        <v>284.45</v>
      </c>
      <c r="G58" s="16">
        <f>12/11*C58</f>
        <v>254.6181818181818</v>
      </c>
      <c r="H58" s="8"/>
      <c r="I58" s="9"/>
      <c r="J58" s="9"/>
    </row>
    <row r="59" spans="1:10" x14ac:dyDescent="0.25">
      <c r="A59" s="22" t="s">
        <v>76</v>
      </c>
      <c r="B59" s="22"/>
      <c r="C59" s="16">
        <v>105.3</v>
      </c>
      <c r="D59" s="16">
        <v>121.29</v>
      </c>
      <c r="E59" s="16">
        <v>116.46</v>
      </c>
      <c r="F59" s="16">
        <v>79.959999999999994</v>
      </c>
      <c r="G59" s="16">
        <f>12/11*C59</f>
        <v>114.87272727272726</v>
      </c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3" t="s">
        <v>60</v>
      </c>
      <c r="B62" s="24"/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3" t="s">
        <v>77</v>
      </c>
      <c r="B63" s="1" t="s">
        <v>216</v>
      </c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3" t="s">
        <v>70</v>
      </c>
      <c r="B64" s="1" t="s">
        <v>79</v>
      </c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3" t="s">
        <v>71</v>
      </c>
      <c r="B65" s="1" t="s">
        <v>80</v>
      </c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72</v>
      </c>
      <c r="B66" s="1" t="s">
        <v>81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</sheetData>
  <mergeCells count="19">
    <mergeCell ref="C7:G7"/>
    <mergeCell ref="A35:B35"/>
    <mergeCell ref="A36:B36"/>
    <mergeCell ref="A41:B41"/>
    <mergeCell ref="A42:B42"/>
    <mergeCell ref="J50:J51"/>
    <mergeCell ref="A51:B51"/>
    <mergeCell ref="A55:B55"/>
    <mergeCell ref="A56:B56"/>
    <mergeCell ref="A43:B43"/>
    <mergeCell ref="A44:B44"/>
    <mergeCell ref="A49:B49"/>
    <mergeCell ref="A50:B50"/>
    <mergeCell ref="H50:H51"/>
    <mergeCell ref="A57:B57"/>
    <mergeCell ref="A58:B58"/>
    <mergeCell ref="A59:B59"/>
    <mergeCell ref="A62:B62"/>
    <mergeCell ref="I50:I5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8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217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4801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49</v>
      </c>
      <c r="C9" s="10"/>
      <c r="D9" s="10"/>
      <c r="E9" s="10"/>
      <c r="F9" s="10">
        <v>438</v>
      </c>
      <c r="G9" s="10">
        <f t="shared" ref="G9:G43" si="0">SUM(C9:F9)</f>
        <v>438</v>
      </c>
      <c r="H9" s="16">
        <f t="shared" ref="H9:H43" si="1">ROUND(G9/4801,2)</f>
        <v>0.09</v>
      </c>
      <c r="I9" s="15">
        <f t="shared" ref="I9:I43" si="2">ROUND(G9/$G$44,3)</f>
        <v>0</v>
      </c>
      <c r="J9" s="15">
        <f>ROUND(G9/2200-1,2)</f>
        <v>-0.8</v>
      </c>
    </row>
    <row r="10" spans="1:10" x14ac:dyDescent="0.25">
      <c r="A10" s="1" t="s">
        <v>48</v>
      </c>
      <c r="B10" s="1" t="s">
        <v>51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/>
    </row>
    <row r="11" spans="1:10" x14ac:dyDescent="0.25">
      <c r="A11" s="1" t="s">
        <v>16</v>
      </c>
      <c r="B11" s="1" t="s">
        <v>17</v>
      </c>
      <c r="C11" s="10"/>
      <c r="D11" s="10"/>
      <c r="E11" s="10">
        <v>100</v>
      </c>
      <c r="F11" s="10"/>
      <c r="G11" s="10">
        <f t="shared" si="0"/>
        <v>100</v>
      </c>
      <c r="H11" s="16">
        <f t="shared" si="1"/>
        <v>0.02</v>
      </c>
      <c r="I11" s="15">
        <f t="shared" si="2"/>
        <v>0</v>
      </c>
      <c r="J11" s="15">
        <f>ROUND(G11/126-1,2)</f>
        <v>-0.21</v>
      </c>
    </row>
    <row r="12" spans="1:10" x14ac:dyDescent="0.25">
      <c r="A12" s="1" t="s">
        <v>16</v>
      </c>
      <c r="B12" s="1" t="s">
        <v>19</v>
      </c>
      <c r="C12" s="10">
        <v>139595</v>
      </c>
      <c r="D12" s="10"/>
      <c r="E12" s="10"/>
      <c r="F12" s="10">
        <v>3355</v>
      </c>
      <c r="G12" s="10">
        <f t="shared" si="0"/>
        <v>142950</v>
      </c>
      <c r="H12" s="16">
        <f t="shared" si="1"/>
        <v>29.78</v>
      </c>
      <c r="I12" s="15">
        <f t="shared" si="2"/>
        <v>6.6000000000000003E-2</v>
      </c>
      <c r="J12" s="15">
        <f>ROUND(G12/143810-1,2)</f>
        <v>-0.01</v>
      </c>
    </row>
    <row r="13" spans="1:10" x14ac:dyDescent="0.25">
      <c r="A13" s="1" t="s">
        <v>16</v>
      </c>
      <c r="B13" s="1" t="s">
        <v>20</v>
      </c>
      <c r="C13" s="10">
        <v>226390</v>
      </c>
      <c r="D13" s="10"/>
      <c r="E13" s="10"/>
      <c r="F13" s="10"/>
      <c r="G13" s="10">
        <f t="shared" si="0"/>
        <v>226390</v>
      </c>
      <c r="H13" s="16">
        <f t="shared" si="1"/>
        <v>47.15</v>
      </c>
      <c r="I13" s="15">
        <f t="shared" si="2"/>
        <v>0.105</v>
      </c>
      <c r="J13" s="15">
        <f>ROUND(G13/234700-1,2)</f>
        <v>-0.04</v>
      </c>
    </row>
    <row r="14" spans="1:10" x14ac:dyDescent="0.25">
      <c r="A14" s="1" t="s">
        <v>16</v>
      </c>
      <c r="B14" s="1" t="s">
        <v>95</v>
      </c>
      <c r="C14" s="10"/>
      <c r="D14" s="10"/>
      <c r="E14" s="10">
        <v>187</v>
      </c>
      <c r="F14" s="10"/>
      <c r="G14" s="10">
        <f t="shared" si="0"/>
        <v>187</v>
      </c>
      <c r="H14" s="16">
        <f t="shared" si="1"/>
        <v>0.04</v>
      </c>
      <c r="I14" s="15">
        <f t="shared" si="2"/>
        <v>0</v>
      </c>
      <c r="J14" s="15">
        <f>ROUND(G14/82-1,2)</f>
        <v>1.28</v>
      </c>
    </row>
    <row r="15" spans="1:10" x14ac:dyDescent="0.25">
      <c r="A15" s="1" t="s">
        <v>16</v>
      </c>
      <c r="B15" s="1" t="s">
        <v>21</v>
      </c>
      <c r="C15" s="10"/>
      <c r="D15" s="10"/>
      <c r="E15" s="10">
        <v>667</v>
      </c>
      <c r="F15" s="10"/>
      <c r="G15" s="10">
        <f t="shared" si="0"/>
        <v>667</v>
      </c>
      <c r="H15" s="16">
        <f t="shared" si="1"/>
        <v>0.14000000000000001</v>
      </c>
      <c r="I15" s="15">
        <f t="shared" si="2"/>
        <v>0</v>
      </c>
      <c r="J15" s="15">
        <f>ROUND(G15/275-1,2)</f>
        <v>1.43</v>
      </c>
    </row>
    <row r="16" spans="1:10" x14ac:dyDescent="0.25">
      <c r="A16" s="1" t="s">
        <v>16</v>
      </c>
      <c r="B16" s="1" t="s">
        <v>22</v>
      </c>
      <c r="C16" s="10"/>
      <c r="D16" s="10"/>
      <c r="E16" s="10">
        <v>2600</v>
      </c>
      <c r="F16" s="10"/>
      <c r="G16" s="10">
        <f t="shared" si="0"/>
        <v>2600</v>
      </c>
      <c r="H16" s="16">
        <f t="shared" si="1"/>
        <v>0.54</v>
      </c>
      <c r="I16" s="15">
        <f t="shared" si="2"/>
        <v>1E-3</v>
      </c>
      <c r="J16" s="15">
        <f>ROUND(G16/2700-1,2)</f>
        <v>-0.04</v>
      </c>
    </row>
    <row r="17" spans="1:10" x14ac:dyDescent="0.25">
      <c r="A17" s="1" t="s">
        <v>16</v>
      </c>
      <c r="B17" s="1" t="s">
        <v>23</v>
      </c>
      <c r="C17" s="10"/>
      <c r="D17" s="10"/>
      <c r="E17" s="10">
        <v>163460</v>
      </c>
      <c r="F17" s="10"/>
      <c r="G17" s="10">
        <f t="shared" si="0"/>
        <v>163460</v>
      </c>
      <c r="H17" s="16">
        <f t="shared" si="1"/>
        <v>34.049999999999997</v>
      </c>
      <c r="I17" s="15">
        <f t="shared" si="2"/>
        <v>7.5999999999999998E-2</v>
      </c>
      <c r="J17" s="15">
        <f>ROUND(G17/24460-1,2)</f>
        <v>5.68</v>
      </c>
    </row>
    <row r="18" spans="1:10" x14ac:dyDescent="0.25">
      <c r="A18" s="1" t="s">
        <v>16</v>
      </c>
      <c r="B18" s="1" t="s">
        <v>24</v>
      </c>
      <c r="C18" s="10">
        <v>197970</v>
      </c>
      <c r="D18" s="10"/>
      <c r="E18" s="10">
        <v>22240</v>
      </c>
      <c r="F18" s="10">
        <v>21240</v>
      </c>
      <c r="G18" s="10">
        <f t="shared" si="0"/>
        <v>241450</v>
      </c>
      <c r="H18" s="16">
        <f t="shared" si="1"/>
        <v>50.29</v>
      </c>
      <c r="I18" s="15">
        <f t="shared" si="2"/>
        <v>0.112</v>
      </c>
      <c r="J18" s="15">
        <f>ROUND(G18/234750-1,2)</f>
        <v>0.03</v>
      </c>
    </row>
    <row r="19" spans="1:10" x14ac:dyDescent="0.25">
      <c r="A19" s="1" t="s">
        <v>16</v>
      </c>
      <c r="B19" s="1" t="s">
        <v>25</v>
      </c>
      <c r="C19" s="10"/>
      <c r="D19" s="10"/>
      <c r="E19" s="10">
        <v>13930</v>
      </c>
      <c r="F19" s="10"/>
      <c r="G19" s="10">
        <f t="shared" si="0"/>
        <v>13930</v>
      </c>
      <c r="H19" s="16">
        <f t="shared" si="1"/>
        <v>2.9</v>
      </c>
      <c r="I19" s="15">
        <f t="shared" si="2"/>
        <v>6.0000000000000001E-3</v>
      </c>
      <c r="J19" s="15">
        <f>ROUND(G19/8330-1,2)</f>
        <v>0.67</v>
      </c>
    </row>
    <row r="20" spans="1:10" x14ac:dyDescent="0.25">
      <c r="A20" s="1" t="s">
        <v>16</v>
      </c>
      <c r="B20" s="1" t="s">
        <v>26</v>
      </c>
      <c r="C20" s="10">
        <v>285180</v>
      </c>
      <c r="D20" s="10"/>
      <c r="E20" s="10"/>
      <c r="F20" s="10">
        <v>1220</v>
      </c>
      <c r="G20" s="10">
        <f t="shared" si="0"/>
        <v>286400</v>
      </c>
      <c r="H20" s="16">
        <f t="shared" si="1"/>
        <v>59.65</v>
      </c>
      <c r="I20" s="15">
        <f t="shared" si="2"/>
        <v>0.13300000000000001</v>
      </c>
      <c r="J20" s="15">
        <f>ROUND(G20/287560-1,2)</f>
        <v>0</v>
      </c>
    </row>
    <row r="21" spans="1:10" x14ac:dyDescent="0.25">
      <c r="A21" s="1" t="s">
        <v>16</v>
      </c>
      <c r="B21" s="1" t="s">
        <v>27</v>
      </c>
      <c r="C21" s="10"/>
      <c r="D21" s="10"/>
      <c r="E21" s="10">
        <v>1696</v>
      </c>
      <c r="F21" s="10"/>
      <c r="G21" s="10">
        <f t="shared" si="0"/>
        <v>1696</v>
      </c>
      <c r="H21" s="16">
        <f t="shared" si="1"/>
        <v>0.35</v>
      </c>
      <c r="I21" s="15">
        <f t="shared" si="2"/>
        <v>1E-3</v>
      </c>
      <c r="J21" s="15">
        <f>ROUND(G21/827-1,2)</f>
        <v>1.05</v>
      </c>
    </row>
    <row r="22" spans="1:10" x14ac:dyDescent="0.25">
      <c r="A22" s="1" t="s">
        <v>16</v>
      </c>
      <c r="B22" s="1" t="s">
        <v>28</v>
      </c>
      <c r="C22" s="10"/>
      <c r="D22" s="10"/>
      <c r="E22" s="10">
        <v>841</v>
      </c>
      <c r="F22" s="10"/>
      <c r="G22" s="10">
        <f t="shared" si="0"/>
        <v>841</v>
      </c>
      <c r="H22" s="16">
        <f t="shared" si="1"/>
        <v>0.18</v>
      </c>
      <c r="I22" s="15">
        <f t="shared" si="2"/>
        <v>0</v>
      </c>
      <c r="J22" s="15">
        <f>ROUND(G22/676-1,2)</f>
        <v>0.24</v>
      </c>
    </row>
    <row r="23" spans="1:10" x14ac:dyDescent="0.25">
      <c r="A23" s="1" t="s">
        <v>16</v>
      </c>
      <c r="B23" s="1" t="s">
        <v>29</v>
      </c>
      <c r="C23" s="10"/>
      <c r="D23" s="10"/>
      <c r="E23" s="10">
        <v>4970</v>
      </c>
      <c r="F23" s="10"/>
      <c r="G23" s="10">
        <f t="shared" si="0"/>
        <v>4970</v>
      </c>
      <c r="H23" s="16">
        <f t="shared" si="1"/>
        <v>1.04</v>
      </c>
      <c r="I23" s="15">
        <f t="shared" si="2"/>
        <v>2E-3</v>
      </c>
      <c r="J23" s="15">
        <f>ROUND(G23/12900-1,2)</f>
        <v>-0.61</v>
      </c>
    </row>
    <row r="24" spans="1:10" x14ac:dyDescent="0.25">
      <c r="A24" s="1" t="s">
        <v>16</v>
      </c>
      <c r="B24" s="1" t="s">
        <v>30</v>
      </c>
      <c r="C24" s="10"/>
      <c r="D24" s="10"/>
      <c r="E24" s="10">
        <v>880</v>
      </c>
      <c r="F24" s="10"/>
      <c r="G24" s="10">
        <f t="shared" si="0"/>
        <v>880</v>
      </c>
      <c r="H24" s="16">
        <f t="shared" si="1"/>
        <v>0.18</v>
      </c>
      <c r="I24" s="15">
        <f t="shared" si="2"/>
        <v>0</v>
      </c>
      <c r="J24" s="15">
        <f>ROUND(G24/1520-1,2)</f>
        <v>-0.42</v>
      </c>
    </row>
    <row r="25" spans="1:10" x14ac:dyDescent="0.25">
      <c r="A25" s="1" t="s">
        <v>16</v>
      </c>
      <c r="B25" s="1" t="s">
        <v>31</v>
      </c>
      <c r="C25" s="10"/>
      <c r="D25" s="10"/>
      <c r="E25" s="10">
        <v>220</v>
      </c>
      <c r="F25" s="10"/>
      <c r="G25" s="10">
        <f t="shared" si="0"/>
        <v>220</v>
      </c>
      <c r="H25" s="16">
        <f t="shared" si="1"/>
        <v>0.05</v>
      </c>
      <c r="I25" s="15">
        <f t="shared" si="2"/>
        <v>0</v>
      </c>
      <c r="J25" s="15"/>
    </row>
    <row r="26" spans="1:10" x14ac:dyDescent="0.25">
      <c r="A26" s="1" t="s">
        <v>16</v>
      </c>
      <c r="B26" s="1" t="s">
        <v>32</v>
      </c>
      <c r="C26" s="10"/>
      <c r="D26" s="10"/>
      <c r="E26" s="10">
        <v>3330</v>
      </c>
      <c r="F26" s="10"/>
      <c r="G26" s="10">
        <f t="shared" si="0"/>
        <v>3330</v>
      </c>
      <c r="H26" s="16">
        <f t="shared" si="1"/>
        <v>0.69</v>
      </c>
      <c r="I26" s="15">
        <f t="shared" si="2"/>
        <v>2E-3</v>
      </c>
      <c r="J26" s="15">
        <f>ROUND(G26/1735-1,2)</f>
        <v>0.92</v>
      </c>
    </row>
    <row r="27" spans="1:10" x14ac:dyDescent="0.25">
      <c r="A27" s="1" t="s">
        <v>16</v>
      </c>
      <c r="B27" s="1" t="s">
        <v>33</v>
      </c>
      <c r="C27" s="10"/>
      <c r="D27" s="10">
        <v>280</v>
      </c>
      <c r="E27" s="10">
        <v>24</v>
      </c>
      <c r="F27" s="10"/>
      <c r="G27" s="10">
        <f t="shared" si="0"/>
        <v>304</v>
      </c>
      <c r="H27" s="16">
        <f t="shared" si="1"/>
        <v>0.06</v>
      </c>
      <c r="I27" s="15">
        <f t="shared" si="2"/>
        <v>0</v>
      </c>
      <c r="J27" s="15">
        <f>ROUND(G27/399-1,2)</f>
        <v>-0.24</v>
      </c>
    </row>
    <row r="28" spans="1:10" x14ac:dyDescent="0.25">
      <c r="A28" s="1" t="s">
        <v>16</v>
      </c>
      <c r="B28" s="1" t="s">
        <v>35</v>
      </c>
      <c r="C28" s="10"/>
      <c r="D28" s="10"/>
      <c r="E28" s="10">
        <v>550</v>
      </c>
      <c r="F28" s="10"/>
      <c r="G28" s="10">
        <f t="shared" si="0"/>
        <v>550</v>
      </c>
      <c r="H28" s="16">
        <f t="shared" si="1"/>
        <v>0.11</v>
      </c>
      <c r="I28" s="15">
        <f t="shared" si="2"/>
        <v>0</v>
      </c>
      <c r="J28" s="15"/>
    </row>
    <row r="29" spans="1:10" x14ac:dyDescent="0.25">
      <c r="A29" s="1" t="s">
        <v>16</v>
      </c>
      <c r="B29" s="1" t="s">
        <v>37</v>
      </c>
      <c r="C29" s="10"/>
      <c r="D29" s="10"/>
      <c r="E29" s="10">
        <v>6150</v>
      </c>
      <c r="F29" s="10"/>
      <c r="G29" s="10">
        <f t="shared" si="0"/>
        <v>6150</v>
      </c>
      <c r="H29" s="16">
        <f t="shared" si="1"/>
        <v>1.28</v>
      </c>
      <c r="I29" s="15">
        <f t="shared" si="2"/>
        <v>3.0000000000000001E-3</v>
      </c>
      <c r="J29" s="15">
        <f>ROUND(G29/6130-1,2)</f>
        <v>0</v>
      </c>
    </row>
    <row r="30" spans="1:10" x14ac:dyDescent="0.25">
      <c r="A30" s="1" t="s">
        <v>16</v>
      </c>
      <c r="B30" s="1" t="s">
        <v>43</v>
      </c>
      <c r="C30" s="10"/>
      <c r="D30" s="10"/>
      <c r="E30" s="10">
        <v>10829</v>
      </c>
      <c r="F30" s="10"/>
      <c r="G30" s="10">
        <f t="shared" si="0"/>
        <v>10829</v>
      </c>
      <c r="H30" s="16">
        <f t="shared" si="1"/>
        <v>2.2599999999999998</v>
      </c>
      <c r="I30" s="15">
        <f t="shared" si="2"/>
        <v>5.0000000000000001E-3</v>
      </c>
      <c r="J30" s="15">
        <f>ROUND(G30/14072-1,2)</f>
        <v>-0.23</v>
      </c>
    </row>
    <row r="31" spans="1:10" x14ac:dyDescent="0.25">
      <c r="A31" s="1" t="s">
        <v>16</v>
      </c>
      <c r="B31" s="1" t="s">
        <v>38</v>
      </c>
      <c r="C31" s="10"/>
      <c r="D31" s="10"/>
      <c r="E31" s="10">
        <v>160905</v>
      </c>
      <c r="F31" s="10"/>
      <c r="G31" s="10">
        <f t="shared" si="0"/>
        <v>160905</v>
      </c>
      <c r="H31" s="16">
        <f t="shared" si="1"/>
        <v>33.51</v>
      </c>
      <c r="I31" s="15">
        <f t="shared" si="2"/>
        <v>7.3999999999999996E-2</v>
      </c>
      <c r="J31" s="15">
        <f>ROUND(G31/70400-1,2)</f>
        <v>1.29</v>
      </c>
    </row>
    <row r="32" spans="1:10" x14ac:dyDescent="0.25">
      <c r="A32" s="1" t="s">
        <v>16</v>
      </c>
      <c r="B32" s="1" t="s">
        <v>39</v>
      </c>
      <c r="C32" s="10"/>
      <c r="D32" s="10"/>
      <c r="E32" s="10">
        <v>12330</v>
      </c>
      <c r="F32" s="10"/>
      <c r="G32" s="10">
        <f t="shared" si="0"/>
        <v>12330</v>
      </c>
      <c r="H32" s="16">
        <f t="shared" si="1"/>
        <v>2.57</v>
      </c>
      <c r="I32" s="15">
        <f t="shared" si="2"/>
        <v>6.0000000000000001E-3</v>
      </c>
      <c r="J32" s="15">
        <f>ROUND(G32/18055-1,2)</f>
        <v>-0.32</v>
      </c>
    </row>
    <row r="33" spans="1:10" x14ac:dyDescent="0.25">
      <c r="A33" s="1" t="s">
        <v>16</v>
      </c>
      <c r="B33" s="1" t="s">
        <v>40</v>
      </c>
      <c r="C33" s="10"/>
      <c r="D33" s="10"/>
      <c r="E33" s="10">
        <v>41430</v>
      </c>
      <c r="F33" s="10"/>
      <c r="G33" s="10">
        <f t="shared" si="0"/>
        <v>41430</v>
      </c>
      <c r="H33" s="16">
        <f t="shared" si="1"/>
        <v>8.6300000000000008</v>
      </c>
      <c r="I33" s="15">
        <f t="shared" si="2"/>
        <v>1.9E-2</v>
      </c>
      <c r="J33" s="15">
        <f>ROUND(G33/34970-1,2)</f>
        <v>0.18</v>
      </c>
    </row>
    <row r="34" spans="1:10" x14ac:dyDescent="0.25">
      <c r="A34" s="1" t="s">
        <v>16</v>
      </c>
      <c r="B34" s="1" t="s">
        <v>41</v>
      </c>
      <c r="C34" s="10"/>
      <c r="D34" s="10"/>
      <c r="E34" s="10">
        <v>251990</v>
      </c>
      <c r="F34" s="10">
        <v>2300</v>
      </c>
      <c r="G34" s="10">
        <f t="shared" si="0"/>
        <v>254290</v>
      </c>
      <c r="H34" s="16">
        <f t="shared" si="1"/>
        <v>52.97</v>
      </c>
      <c r="I34" s="15">
        <f t="shared" si="2"/>
        <v>0.11799999999999999</v>
      </c>
      <c r="J34" s="15">
        <f>ROUND(G34/210980-1,2)</f>
        <v>0.21</v>
      </c>
    </row>
    <row r="35" spans="1:10" x14ac:dyDescent="0.25">
      <c r="A35" s="1" t="s">
        <v>16</v>
      </c>
      <c r="B35" s="1" t="s">
        <v>42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ROUND(G35/289-1,2)</f>
        <v>-1</v>
      </c>
    </row>
    <row r="36" spans="1:10" x14ac:dyDescent="0.25">
      <c r="A36" s="1" t="s">
        <v>16</v>
      </c>
      <c r="B36" s="1" t="s">
        <v>34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ROUND(G36/520-1,2)</f>
        <v>-1</v>
      </c>
    </row>
    <row r="37" spans="1:10" x14ac:dyDescent="0.25">
      <c r="A37" s="1" t="s">
        <v>16</v>
      </c>
      <c r="B37" s="1" t="s">
        <v>36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ROUND(G37/3750-1,2)</f>
        <v>-1</v>
      </c>
    </row>
    <row r="38" spans="1:10" x14ac:dyDescent="0.25">
      <c r="A38" s="1" t="s">
        <v>16</v>
      </c>
      <c r="B38" s="1" t="s">
        <v>218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16</v>
      </c>
      <c r="B39" s="1" t="s">
        <v>161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16</v>
      </c>
      <c r="B40" s="1" t="s">
        <v>219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ROUND(G40/14600-1,2)</f>
        <v>-1</v>
      </c>
    </row>
    <row r="41" spans="1:10" x14ac:dyDescent="0.25">
      <c r="A41" s="1" t="s">
        <v>44</v>
      </c>
      <c r="B41" s="1" t="s">
        <v>45</v>
      </c>
      <c r="C41" s="10">
        <v>396270</v>
      </c>
      <c r="D41" s="10"/>
      <c r="E41" s="10"/>
      <c r="F41" s="10">
        <v>15870</v>
      </c>
      <c r="G41" s="10">
        <f t="shared" si="0"/>
        <v>412140</v>
      </c>
      <c r="H41" s="16">
        <f t="shared" si="1"/>
        <v>85.84</v>
      </c>
      <c r="I41" s="15">
        <f t="shared" si="2"/>
        <v>0.191</v>
      </c>
      <c r="J41" s="15">
        <f>ROUND(G41/434130-1,2)</f>
        <v>-0.05</v>
      </c>
    </row>
    <row r="42" spans="1:10" x14ac:dyDescent="0.25">
      <c r="A42" s="1" t="s">
        <v>44</v>
      </c>
      <c r="B42" s="1" t="s">
        <v>47</v>
      </c>
      <c r="C42" s="10"/>
      <c r="D42" s="10"/>
      <c r="E42" s="10"/>
      <c r="F42" s="10">
        <v>72900</v>
      </c>
      <c r="G42" s="10">
        <f t="shared" si="0"/>
        <v>72900</v>
      </c>
      <c r="H42" s="16">
        <f t="shared" si="1"/>
        <v>15.18</v>
      </c>
      <c r="I42" s="15">
        <f t="shared" si="2"/>
        <v>3.4000000000000002E-2</v>
      </c>
      <c r="J42" s="15">
        <f>ROUND(G42/67810-1,2)</f>
        <v>0.08</v>
      </c>
    </row>
    <row r="43" spans="1:10" x14ac:dyDescent="0.25">
      <c r="A43" s="1" t="s">
        <v>44</v>
      </c>
      <c r="B43" s="1" t="s">
        <v>46</v>
      </c>
      <c r="C43" s="10"/>
      <c r="D43" s="10"/>
      <c r="E43" s="10">
        <v>97540</v>
      </c>
      <c r="F43" s="10"/>
      <c r="G43" s="10">
        <f t="shared" si="0"/>
        <v>97540</v>
      </c>
      <c r="H43" s="16">
        <f t="shared" si="1"/>
        <v>20.32</v>
      </c>
      <c r="I43" s="15">
        <f t="shared" si="2"/>
        <v>4.4999999999999998E-2</v>
      </c>
      <c r="J43" s="15">
        <f>ROUND(G43/47570-1,2)</f>
        <v>1.05</v>
      </c>
    </row>
    <row r="44" spans="1:10" x14ac:dyDescent="0.25">
      <c r="A44" s="27" t="s">
        <v>12</v>
      </c>
      <c r="B44" s="27"/>
      <c r="C44" s="11">
        <f t="shared" ref="C44:H44" si="3">SUM(C8:C43)</f>
        <v>1245405</v>
      </c>
      <c r="D44" s="11">
        <f t="shared" si="3"/>
        <v>280</v>
      </c>
      <c r="E44" s="11">
        <f t="shared" si="3"/>
        <v>796869</v>
      </c>
      <c r="F44" s="11">
        <f t="shared" si="3"/>
        <v>117323</v>
      </c>
      <c r="G44" s="11">
        <f t="shared" si="3"/>
        <v>2159877</v>
      </c>
      <c r="H44" s="14">
        <f t="shared" si="3"/>
        <v>449.87</v>
      </c>
      <c r="I44" s="17"/>
      <c r="J44" s="17"/>
    </row>
    <row r="45" spans="1:10" x14ac:dyDescent="0.25">
      <c r="A45" s="27" t="s">
        <v>14</v>
      </c>
      <c r="B45" s="27"/>
      <c r="C45" s="12">
        <f>ROUND(C44/G44,2)</f>
        <v>0.57999999999999996</v>
      </c>
      <c r="D45" s="12">
        <f>ROUND(D44/G44,2)</f>
        <v>0</v>
      </c>
      <c r="E45" s="12">
        <f>ROUND(E44/G44,2)</f>
        <v>0.37</v>
      </c>
      <c r="F45" s="12">
        <f>ROUND(F44/G44,2)</f>
        <v>0.05</v>
      </c>
      <c r="G45" s="13"/>
      <c r="H45" s="13"/>
      <c r="I45" s="17"/>
      <c r="J45" s="17"/>
    </row>
    <row r="46" spans="1:10" x14ac:dyDescent="0.25">
      <c r="A46" s="2" t="s">
        <v>52</v>
      </c>
      <c r="B46" s="2"/>
      <c r="C46" s="13"/>
      <c r="D46" s="13"/>
      <c r="E46" s="13"/>
      <c r="F46" s="13"/>
      <c r="G46" s="13"/>
      <c r="H46" s="13"/>
      <c r="I46" s="17"/>
      <c r="J46" s="17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53</v>
      </c>
      <c r="B50" s="27"/>
      <c r="C50" s="11" t="s">
        <v>8</v>
      </c>
      <c r="D50" s="11" t="s">
        <v>9</v>
      </c>
      <c r="E50" s="11" t="s">
        <v>10</v>
      </c>
      <c r="F50" s="11" t="s">
        <v>11</v>
      </c>
      <c r="G50" s="11" t="s">
        <v>12</v>
      </c>
      <c r="H50" s="14" t="s">
        <v>13</v>
      </c>
      <c r="I50" s="17"/>
      <c r="J50" s="17"/>
    </row>
    <row r="51" spans="1:10" x14ac:dyDescent="0.25">
      <c r="A51" s="22" t="s">
        <v>54</v>
      </c>
      <c r="B51" s="22"/>
      <c r="C51" s="10">
        <v>849135</v>
      </c>
      <c r="D51" s="10">
        <v>280</v>
      </c>
      <c r="E51" s="10">
        <v>699329</v>
      </c>
      <c r="F51" s="10">
        <v>28115</v>
      </c>
      <c r="G51" s="10">
        <f>SUM(C51:F51)</f>
        <v>1576859</v>
      </c>
      <c r="H51" s="16">
        <f>ROUND(G51/4801,2)</f>
        <v>328.44</v>
      </c>
      <c r="I51" s="9"/>
      <c r="J51" s="9"/>
    </row>
    <row r="52" spans="1:10" x14ac:dyDescent="0.25">
      <c r="A52" s="22" t="s">
        <v>55</v>
      </c>
      <c r="B52" s="22"/>
      <c r="C52" s="10">
        <v>396270</v>
      </c>
      <c r="D52" s="10">
        <v>0</v>
      </c>
      <c r="E52" s="10">
        <v>97540</v>
      </c>
      <c r="F52" s="10">
        <v>88770</v>
      </c>
      <c r="G52" s="10">
        <f>SUM(C52:F52)</f>
        <v>582580</v>
      </c>
      <c r="H52" s="16">
        <f>ROUND(G52/4801,2)</f>
        <v>121.35</v>
      </c>
      <c r="I52" s="9"/>
      <c r="J52" s="9"/>
    </row>
    <row r="53" spans="1:10" x14ac:dyDescent="0.25">
      <c r="A53" s="22" t="s">
        <v>56</v>
      </c>
      <c r="B53" s="22"/>
      <c r="C53" s="10">
        <v>0</v>
      </c>
      <c r="D53" s="10">
        <v>0</v>
      </c>
      <c r="E53" s="10">
        <v>0</v>
      </c>
      <c r="F53" s="10">
        <v>438</v>
      </c>
      <c r="G53" s="10">
        <f>SUM(C53:F53)</f>
        <v>438</v>
      </c>
      <c r="H53" s="16">
        <f>ROUND(G53/4801,2)</f>
        <v>0.09</v>
      </c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57</v>
      </c>
      <c r="B58" s="27"/>
      <c r="C58" s="14" t="s">
        <v>2</v>
      </c>
      <c r="D58" s="14">
        <v>2023</v>
      </c>
      <c r="E58" s="14" t="s">
        <v>59</v>
      </c>
      <c r="F58" s="13"/>
      <c r="G58" s="14" t="s">
        <v>60</v>
      </c>
      <c r="H58" s="14" t="s">
        <v>2</v>
      </c>
      <c r="I58" s="12" t="s">
        <v>61</v>
      </c>
      <c r="J58" s="12" t="s">
        <v>59</v>
      </c>
    </row>
    <row r="59" spans="1:10" x14ac:dyDescent="0.25">
      <c r="A59" s="22" t="s">
        <v>58</v>
      </c>
      <c r="B59" s="22"/>
      <c r="C59" s="15">
        <f>ROUND(0.7832, 4)</f>
        <v>0.78320000000000001</v>
      </c>
      <c r="D59" s="15">
        <f>ROUND(0.7907, 4)</f>
        <v>0.79069999999999996</v>
      </c>
      <c r="E59" s="15">
        <f>ROUND(0.777, 4)</f>
        <v>0.77700000000000002</v>
      </c>
      <c r="F59" s="8"/>
      <c r="G59" s="14" t="s">
        <v>62</v>
      </c>
      <c r="H59" s="28" t="s">
        <v>63</v>
      </c>
      <c r="I59" s="25" t="s">
        <v>64</v>
      </c>
      <c r="J59" s="25" t="s">
        <v>65</v>
      </c>
    </row>
    <row r="60" spans="1:10" x14ac:dyDescent="0.25">
      <c r="A60" s="22" t="s">
        <v>66</v>
      </c>
      <c r="B60" s="22"/>
      <c r="C60" s="15">
        <f>ROUND(0.774, 4)</f>
        <v>0.77400000000000002</v>
      </c>
      <c r="D60" s="15">
        <f>ROUND(0.7819, 4)</f>
        <v>0.78190000000000004</v>
      </c>
      <c r="E60" s="15">
        <f>ROUND(0.7608, 4)</f>
        <v>0.76080000000000003</v>
      </c>
      <c r="F60" s="8"/>
      <c r="G60" s="14" t="s">
        <v>67</v>
      </c>
      <c r="H60" s="29"/>
      <c r="I60" s="26"/>
      <c r="J60" s="26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7" t="s">
        <v>68</v>
      </c>
      <c r="B64" s="27"/>
      <c r="C64" s="14" t="s">
        <v>2</v>
      </c>
      <c r="D64" s="14" t="s">
        <v>220</v>
      </c>
      <c r="E64" s="14" t="s">
        <v>70</v>
      </c>
      <c r="F64" s="14" t="s">
        <v>71</v>
      </c>
      <c r="G64" s="14" t="s">
        <v>72</v>
      </c>
      <c r="H64" s="13"/>
      <c r="I64" s="17"/>
      <c r="J64" s="17"/>
    </row>
    <row r="65" spans="1:10" x14ac:dyDescent="0.25">
      <c r="A65" s="22" t="s">
        <v>73</v>
      </c>
      <c r="B65" s="22"/>
      <c r="C65" s="16">
        <v>86.62</v>
      </c>
      <c r="D65" s="16">
        <v>90.3</v>
      </c>
      <c r="E65" s="16">
        <v>92.53</v>
      </c>
      <c r="F65" s="16">
        <v>56.06</v>
      </c>
      <c r="G65" s="16">
        <f>12/11*C65</f>
        <v>94.49454545454546</v>
      </c>
      <c r="H65" s="8"/>
      <c r="I65" s="9"/>
      <c r="J65" s="9"/>
    </row>
    <row r="66" spans="1:10" x14ac:dyDescent="0.25">
      <c r="A66" s="22" t="s">
        <v>74</v>
      </c>
      <c r="B66" s="22"/>
      <c r="C66" s="16">
        <v>59.65</v>
      </c>
      <c r="D66" s="16">
        <v>68.69</v>
      </c>
      <c r="E66" s="16">
        <v>61.98</v>
      </c>
      <c r="F66" s="16">
        <v>64.09</v>
      </c>
      <c r="G66" s="16">
        <f>12/11*C66</f>
        <v>65.072727272727263</v>
      </c>
      <c r="H66" s="8"/>
      <c r="I66" s="9"/>
      <c r="J66" s="9"/>
    </row>
    <row r="67" spans="1:10" x14ac:dyDescent="0.25">
      <c r="A67" s="22" t="s">
        <v>75</v>
      </c>
      <c r="B67" s="22"/>
      <c r="C67" s="16">
        <v>374.57</v>
      </c>
      <c r="D67" s="16">
        <v>409.18</v>
      </c>
      <c r="E67" s="16">
        <v>291.51</v>
      </c>
      <c r="F67" s="16">
        <v>284.45</v>
      </c>
      <c r="G67" s="16">
        <f>12/11*C67</f>
        <v>408.62181818181813</v>
      </c>
      <c r="H67" s="8"/>
      <c r="I67" s="9"/>
      <c r="J67" s="9"/>
    </row>
    <row r="68" spans="1:10" x14ac:dyDescent="0.25">
      <c r="A68" s="22" t="s">
        <v>76</v>
      </c>
      <c r="B68" s="22"/>
      <c r="C68" s="16">
        <v>122.12</v>
      </c>
      <c r="D68" s="16">
        <v>122.43</v>
      </c>
      <c r="E68" s="16">
        <v>116.46</v>
      </c>
      <c r="F68" s="16">
        <v>79.959999999999994</v>
      </c>
      <c r="G68" s="16">
        <f>12/11*C68</f>
        <v>133.22181818181818</v>
      </c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23" t="s">
        <v>60</v>
      </c>
      <c r="B71" s="24"/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77</v>
      </c>
      <c r="B72" s="1" t="s">
        <v>221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70</v>
      </c>
      <c r="B73" s="1" t="s">
        <v>79</v>
      </c>
      <c r="C73" s="8"/>
      <c r="D73" s="8"/>
      <c r="E73" s="8"/>
      <c r="F73" s="8"/>
      <c r="G73" s="8"/>
      <c r="H73" s="8"/>
      <c r="I73" s="9"/>
      <c r="J73" s="9"/>
    </row>
    <row r="74" spans="1:10" x14ac:dyDescent="0.25">
      <c r="A74" s="3" t="s">
        <v>71</v>
      </c>
      <c r="B74" s="1" t="s">
        <v>80</v>
      </c>
      <c r="C74" s="8"/>
      <c r="D74" s="8"/>
      <c r="E74" s="8"/>
      <c r="F74" s="8"/>
      <c r="G74" s="8"/>
      <c r="H74" s="8"/>
      <c r="I74" s="9"/>
      <c r="J74" s="9"/>
    </row>
    <row r="75" spans="1:10" x14ac:dyDescent="0.25">
      <c r="A75" s="3" t="s">
        <v>72</v>
      </c>
      <c r="B75" s="1" t="s">
        <v>81</v>
      </c>
      <c r="C75" s="8"/>
      <c r="D75" s="8"/>
      <c r="E75" s="8"/>
      <c r="F75" s="8"/>
      <c r="G75" s="8"/>
      <c r="H75" s="8"/>
      <c r="I75" s="9"/>
      <c r="J75" s="9"/>
    </row>
  </sheetData>
  <mergeCells count="19">
    <mergeCell ref="C7:G7"/>
    <mergeCell ref="A44:B44"/>
    <mergeCell ref="A45:B45"/>
    <mergeCell ref="A50:B50"/>
    <mergeCell ref="A51:B51"/>
    <mergeCell ref="J59:J60"/>
    <mergeCell ref="A60:B60"/>
    <mergeCell ref="A64:B64"/>
    <mergeCell ref="A65:B65"/>
    <mergeCell ref="A52:B52"/>
    <mergeCell ref="A53:B53"/>
    <mergeCell ref="A58:B58"/>
    <mergeCell ref="A59:B59"/>
    <mergeCell ref="H59:H60"/>
    <mergeCell ref="A66:B66"/>
    <mergeCell ref="A67:B67"/>
    <mergeCell ref="A68:B68"/>
    <mergeCell ref="A71:B71"/>
    <mergeCell ref="I59:I60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112" bestFit="1" customWidth="1"/>
    <col min="3" max="3" width="12.7109375" bestFit="1" customWidth="1"/>
    <col min="4" max="4" width="23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222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2406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76</v>
      </c>
      <c r="F9" s="10"/>
      <c r="G9" s="10">
        <f t="shared" ref="G9:G43" si="0">SUM(C9:F9)</f>
        <v>76</v>
      </c>
      <c r="H9" s="16">
        <f t="shared" ref="H9:H43" si="1">ROUND(G9/2406,2)</f>
        <v>0.03</v>
      </c>
      <c r="I9" s="15">
        <f t="shared" ref="I9:I43" si="2">ROUND(G9/$G$44,3)</f>
        <v>0</v>
      </c>
      <c r="J9" s="15">
        <f>ROUND(G9/108-1,2)</f>
        <v>-0.3</v>
      </c>
    </row>
    <row r="10" spans="1:10" x14ac:dyDescent="0.25">
      <c r="A10" s="1" t="s">
        <v>16</v>
      </c>
      <c r="B10" s="1" t="s">
        <v>19</v>
      </c>
      <c r="C10" s="10">
        <v>60730</v>
      </c>
      <c r="D10" s="10"/>
      <c r="E10" s="10"/>
      <c r="F10" s="10"/>
      <c r="G10" s="10">
        <f t="shared" si="0"/>
        <v>60730</v>
      </c>
      <c r="H10" s="16">
        <f t="shared" si="1"/>
        <v>25.24</v>
      </c>
      <c r="I10" s="15">
        <f t="shared" si="2"/>
        <v>7.2999999999999995E-2</v>
      </c>
      <c r="J10" s="15">
        <f>ROUND(G10/60360-1,2)</f>
        <v>0.01</v>
      </c>
    </row>
    <row r="11" spans="1:10" x14ac:dyDescent="0.25">
      <c r="A11" s="1" t="s">
        <v>16</v>
      </c>
      <c r="B11" s="1" t="s">
        <v>20</v>
      </c>
      <c r="C11" s="10">
        <v>100760</v>
      </c>
      <c r="D11" s="10"/>
      <c r="E11" s="10"/>
      <c r="F11" s="10"/>
      <c r="G11" s="10">
        <f t="shared" si="0"/>
        <v>100760</v>
      </c>
      <c r="H11" s="16">
        <f t="shared" si="1"/>
        <v>41.88</v>
      </c>
      <c r="I11" s="15">
        <f t="shared" si="2"/>
        <v>0.121</v>
      </c>
      <c r="J11" s="15">
        <f>ROUND(G11/100580-1,2)</f>
        <v>0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144</v>
      </c>
      <c r="F12" s="10"/>
      <c r="G12" s="10">
        <f t="shared" si="0"/>
        <v>144</v>
      </c>
      <c r="H12" s="16">
        <f t="shared" si="1"/>
        <v>0.06</v>
      </c>
      <c r="I12" s="15">
        <f t="shared" si="2"/>
        <v>0</v>
      </c>
      <c r="J12" s="15">
        <f>ROUND(G12/107-1,2)</f>
        <v>0.35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274</v>
      </c>
      <c r="F13" s="10"/>
      <c r="G13" s="10">
        <f t="shared" si="0"/>
        <v>274</v>
      </c>
      <c r="H13" s="16">
        <f t="shared" si="1"/>
        <v>0.11</v>
      </c>
      <c r="I13" s="15">
        <f t="shared" si="2"/>
        <v>0</v>
      </c>
      <c r="J13" s="15">
        <f>ROUND(G13/93-1,2)</f>
        <v>1.95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1800</v>
      </c>
      <c r="F14" s="10"/>
      <c r="G14" s="10">
        <f t="shared" si="0"/>
        <v>1800</v>
      </c>
      <c r="H14" s="16">
        <f t="shared" si="1"/>
        <v>0.75</v>
      </c>
      <c r="I14" s="15">
        <f t="shared" si="2"/>
        <v>2E-3</v>
      </c>
      <c r="J14" s="15">
        <f>ROUND(G14/900-1,2)</f>
        <v>1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41530</v>
      </c>
      <c r="F15" s="10"/>
      <c r="G15" s="10">
        <f t="shared" si="0"/>
        <v>41530</v>
      </c>
      <c r="H15" s="16">
        <f t="shared" si="1"/>
        <v>17.260000000000002</v>
      </c>
      <c r="I15" s="15">
        <f t="shared" si="2"/>
        <v>0.05</v>
      </c>
      <c r="J15" s="15">
        <f>ROUND(G15/41440-1,2)</f>
        <v>0</v>
      </c>
    </row>
    <row r="16" spans="1:10" x14ac:dyDescent="0.25">
      <c r="A16" s="1" t="s">
        <v>16</v>
      </c>
      <c r="B16" s="1" t="s">
        <v>24</v>
      </c>
      <c r="C16" s="10">
        <v>95780</v>
      </c>
      <c r="D16" s="10"/>
      <c r="E16" s="10"/>
      <c r="F16" s="10"/>
      <c r="G16" s="10">
        <f t="shared" si="0"/>
        <v>95780</v>
      </c>
      <c r="H16" s="16">
        <f t="shared" si="1"/>
        <v>39.81</v>
      </c>
      <c r="I16" s="15">
        <f t="shared" si="2"/>
        <v>0.115</v>
      </c>
      <c r="J16" s="15">
        <f>ROUND(G16/91820-1,2)</f>
        <v>0.04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2760</v>
      </c>
      <c r="F17" s="10"/>
      <c r="G17" s="10">
        <f t="shared" si="0"/>
        <v>2760</v>
      </c>
      <c r="H17" s="16">
        <f t="shared" si="1"/>
        <v>1.1499999999999999</v>
      </c>
      <c r="I17" s="15">
        <f t="shared" si="2"/>
        <v>3.0000000000000001E-3</v>
      </c>
      <c r="J17" s="15">
        <f>ROUND(G17/1750-1,2)</f>
        <v>0.57999999999999996</v>
      </c>
    </row>
    <row r="18" spans="1:10" x14ac:dyDescent="0.25">
      <c r="A18" s="1" t="s">
        <v>16</v>
      </c>
      <c r="B18" s="1" t="s">
        <v>26</v>
      </c>
      <c r="C18" s="10">
        <v>144320</v>
      </c>
      <c r="D18" s="10"/>
      <c r="E18" s="10"/>
      <c r="F18" s="10">
        <v>3660</v>
      </c>
      <c r="G18" s="10">
        <f t="shared" si="0"/>
        <v>147980</v>
      </c>
      <c r="H18" s="16">
        <f t="shared" si="1"/>
        <v>61.5</v>
      </c>
      <c r="I18" s="15">
        <f t="shared" si="2"/>
        <v>0.17799999999999999</v>
      </c>
      <c r="J18" s="15">
        <f>ROUND(G18/132940-1,2)</f>
        <v>0.11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583</v>
      </c>
      <c r="F19" s="10"/>
      <c r="G19" s="10">
        <f t="shared" si="0"/>
        <v>583</v>
      </c>
      <c r="H19" s="16">
        <f t="shared" si="1"/>
        <v>0.24</v>
      </c>
      <c r="I19" s="15">
        <f t="shared" si="2"/>
        <v>1E-3</v>
      </c>
      <c r="J19" s="15">
        <f>ROUND(G19/642-1,2)</f>
        <v>-0.09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387</v>
      </c>
      <c r="F20" s="10"/>
      <c r="G20" s="10">
        <f t="shared" si="0"/>
        <v>387</v>
      </c>
      <c r="H20" s="16">
        <f t="shared" si="1"/>
        <v>0.16</v>
      </c>
      <c r="I20" s="15">
        <f t="shared" si="2"/>
        <v>0</v>
      </c>
      <c r="J20" s="15">
        <f>ROUND(G20/357-1,2)</f>
        <v>0.08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1600</v>
      </c>
      <c r="F21" s="10"/>
      <c r="G21" s="10">
        <f t="shared" si="0"/>
        <v>1600</v>
      </c>
      <c r="H21" s="16">
        <f t="shared" si="1"/>
        <v>0.67</v>
      </c>
      <c r="I21" s="15">
        <f t="shared" si="2"/>
        <v>2E-3</v>
      </c>
      <c r="J21" s="15">
        <f>ROUND(G21/2259-1,2)</f>
        <v>-0.28999999999999998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790</v>
      </c>
      <c r="F22" s="10"/>
      <c r="G22" s="10">
        <f t="shared" si="0"/>
        <v>790</v>
      </c>
      <c r="H22" s="16">
        <f t="shared" si="1"/>
        <v>0.33</v>
      </c>
      <c r="I22" s="15">
        <f t="shared" si="2"/>
        <v>1E-3</v>
      </c>
      <c r="J22" s="15">
        <f>ROUND(G22/800-1,2)</f>
        <v>-0.01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435</v>
      </c>
      <c r="F23" s="10"/>
      <c r="G23" s="10">
        <f t="shared" si="0"/>
        <v>435</v>
      </c>
      <c r="H23" s="16">
        <f t="shared" si="1"/>
        <v>0.18</v>
      </c>
      <c r="I23" s="15">
        <f t="shared" si="2"/>
        <v>1E-3</v>
      </c>
      <c r="J23" s="15">
        <f>ROUND(G23/350-1,2)</f>
        <v>0.24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1240</v>
      </c>
      <c r="F24" s="10"/>
      <c r="G24" s="10">
        <f t="shared" si="0"/>
        <v>1240</v>
      </c>
      <c r="H24" s="16">
        <f t="shared" si="1"/>
        <v>0.52</v>
      </c>
      <c r="I24" s="15">
        <f t="shared" si="2"/>
        <v>1E-3</v>
      </c>
      <c r="J24" s="15">
        <f>ROUND(G24/735-1,2)</f>
        <v>0.69</v>
      </c>
    </row>
    <row r="25" spans="1:10" x14ac:dyDescent="0.25">
      <c r="A25" s="1" t="s">
        <v>16</v>
      </c>
      <c r="B25" s="1" t="s">
        <v>33</v>
      </c>
      <c r="C25" s="10"/>
      <c r="D25" s="10">
        <v>162</v>
      </c>
      <c r="E25" s="10">
        <v>53</v>
      </c>
      <c r="F25" s="10"/>
      <c r="G25" s="10">
        <f t="shared" si="0"/>
        <v>215</v>
      </c>
      <c r="H25" s="16">
        <f t="shared" si="1"/>
        <v>0.09</v>
      </c>
      <c r="I25" s="15">
        <f t="shared" si="2"/>
        <v>0</v>
      </c>
      <c r="J25" s="15">
        <f>ROUND(G25/185-1,2)</f>
        <v>0.16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1960</v>
      </c>
      <c r="F26" s="10"/>
      <c r="G26" s="10">
        <f t="shared" si="0"/>
        <v>1960</v>
      </c>
      <c r="H26" s="16">
        <f t="shared" si="1"/>
        <v>0.81</v>
      </c>
      <c r="I26" s="15">
        <f t="shared" si="2"/>
        <v>2E-3</v>
      </c>
      <c r="J26" s="15">
        <f>ROUND(G26/1330-1,2)</f>
        <v>0.47</v>
      </c>
    </row>
    <row r="27" spans="1:10" x14ac:dyDescent="0.25">
      <c r="A27" s="1" t="s">
        <v>16</v>
      </c>
      <c r="B27" s="1" t="s">
        <v>35</v>
      </c>
      <c r="C27" s="10"/>
      <c r="D27" s="10">
        <v>100</v>
      </c>
      <c r="E27" s="10"/>
      <c r="F27" s="10"/>
      <c r="G27" s="10">
        <f t="shared" si="0"/>
        <v>100</v>
      </c>
      <c r="H27" s="16">
        <f t="shared" si="1"/>
        <v>0.04</v>
      </c>
      <c r="I27" s="15">
        <f t="shared" si="2"/>
        <v>0</v>
      </c>
      <c r="J27" s="15">
        <f>ROUND(G27/330-1,2)</f>
        <v>-0.7</v>
      </c>
    </row>
    <row r="28" spans="1:10" x14ac:dyDescent="0.25">
      <c r="A28" s="1" t="s">
        <v>16</v>
      </c>
      <c r="B28" s="1" t="s">
        <v>43</v>
      </c>
      <c r="C28" s="10"/>
      <c r="D28" s="10"/>
      <c r="E28" s="10">
        <v>2440</v>
      </c>
      <c r="F28" s="10"/>
      <c r="G28" s="10">
        <f t="shared" si="0"/>
        <v>2440</v>
      </c>
      <c r="H28" s="16">
        <f t="shared" si="1"/>
        <v>1.01</v>
      </c>
      <c r="I28" s="15">
        <f t="shared" si="2"/>
        <v>3.0000000000000001E-3</v>
      </c>
      <c r="J28" s="15">
        <f>ROUND(G28/5802-1,2)</f>
        <v>-0.57999999999999996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2690</v>
      </c>
      <c r="F29" s="10"/>
      <c r="G29" s="10">
        <f t="shared" si="0"/>
        <v>2690</v>
      </c>
      <c r="H29" s="16">
        <f t="shared" si="1"/>
        <v>1.1200000000000001</v>
      </c>
      <c r="I29" s="15">
        <f t="shared" si="2"/>
        <v>3.0000000000000001E-3</v>
      </c>
      <c r="J29" s="15">
        <f>ROUND(G29/2610-1,2)</f>
        <v>0.03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46855</v>
      </c>
      <c r="F30" s="10"/>
      <c r="G30" s="10">
        <f t="shared" si="0"/>
        <v>46855</v>
      </c>
      <c r="H30" s="16">
        <f t="shared" si="1"/>
        <v>19.47</v>
      </c>
      <c r="I30" s="15">
        <f t="shared" si="2"/>
        <v>5.6000000000000001E-2</v>
      </c>
      <c r="J30" s="15">
        <f>ROUND(G30/41770-1,2)</f>
        <v>0.12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3620</v>
      </c>
      <c r="F31" s="10"/>
      <c r="G31" s="10">
        <f t="shared" si="0"/>
        <v>3620</v>
      </c>
      <c r="H31" s="16">
        <f t="shared" si="1"/>
        <v>1.5</v>
      </c>
      <c r="I31" s="15">
        <f t="shared" si="2"/>
        <v>4.0000000000000001E-3</v>
      </c>
      <c r="J31" s="15">
        <f>ROUND(G31/3550-1,2)</f>
        <v>0.02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16310</v>
      </c>
      <c r="F32" s="10"/>
      <c r="G32" s="10">
        <f t="shared" si="0"/>
        <v>16310</v>
      </c>
      <c r="H32" s="16">
        <f t="shared" si="1"/>
        <v>6.78</v>
      </c>
      <c r="I32" s="15">
        <f t="shared" si="2"/>
        <v>0.02</v>
      </c>
      <c r="J32" s="15">
        <f>ROUND(G32/15470-1,2)</f>
        <v>0.05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102530</v>
      </c>
      <c r="F33" s="10"/>
      <c r="G33" s="10">
        <f t="shared" si="0"/>
        <v>102530</v>
      </c>
      <c r="H33" s="16">
        <f t="shared" si="1"/>
        <v>42.61</v>
      </c>
      <c r="I33" s="15">
        <f t="shared" si="2"/>
        <v>0.123</v>
      </c>
      <c r="J33" s="15">
        <f>ROUND(G33/69920-1,2)</f>
        <v>0.47</v>
      </c>
    </row>
    <row r="34" spans="1:10" x14ac:dyDescent="0.25">
      <c r="A34" s="1" t="s">
        <v>16</v>
      </c>
      <c r="B34" s="1" t="s">
        <v>98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ROUND(G34/408-1,2)</f>
        <v>-1</v>
      </c>
    </row>
    <row r="35" spans="1:10" x14ac:dyDescent="0.25">
      <c r="A35" s="1" t="s">
        <v>16</v>
      </c>
      <c r="B35" s="1" t="s">
        <v>42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ROUND(G35/136-1,2)</f>
        <v>-1</v>
      </c>
    </row>
    <row r="36" spans="1:10" x14ac:dyDescent="0.25">
      <c r="A36" s="1" t="s">
        <v>16</v>
      </c>
      <c r="B36" s="1" t="s">
        <v>36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ROUND(G36/1679-1,2)</f>
        <v>-1</v>
      </c>
    </row>
    <row r="37" spans="1:10" x14ac:dyDescent="0.25">
      <c r="A37" s="1" t="s">
        <v>16</v>
      </c>
      <c r="B37" s="1" t="s">
        <v>198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16</v>
      </c>
      <c r="B38" s="1" t="s">
        <v>223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44</v>
      </c>
      <c r="B39" s="1" t="s">
        <v>45</v>
      </c>
      <c r="C39" s="10">
        <v>165560</v>
      </c>
      <c r="D39" s="10"/>
      <c r="E39" s="10"/>
      <c r="F39" s="10"/>
      <c r="G39" s="10">
        <f t="shared" si="0"/>
        <v>165560</v>
      </c>
      <c r="H39" s="16">
        <f t="shared" si="1"/>
        <v>68.81</v>
      </c>
      <c r="I39" s="15">
        <f t="shared" si="2"/>
        <v>0.19900000000000001</v>
      </c>
      <c r="J39" s="15">
        <f>ROUND(G39/153770-1,2)</f>
        <v>0.08</v>
      </c>
    </row>
    <row r="40" spans="1:10" x14ac:dyDescent="0.25">
      <c r="A40" s="1" t="s">
        <v>44</v>
      </c>
      <c r="B40" s="1" t="s">
        <v>46</v>
      </c>
      <c r="C40" s="10"/>
      <c r="D40" s="10"/>
      <c r="E40" s="10">
        <v>32670</v>
      </c>
      <c r="F40" s="10"/>
      <c r="G40" s="10">
        <f t="shared" si="0"/>
        <v>32670</v>
      </c>
      <c r="H40" s="16">
        <f t="shared" si="1"/>
        <v>13.58</v>
      </c>
      <c r="I40" s="15">
        <f t="shared" si="2"/>
        <v>3.9E-2</v>
      </c>
      <c r="J40" s="15">
        <f>ROUND(G40/32300-1,2)</f>
        <v>0.01</v>
      </c>
    </row>
    <row r="41" spans="1:10" x14ac:dyDescent="0.25">
      <c r="A41" s="1" t="s">
        <v>44</v>
      </c>
      <c r="B41" s="1" t="s">
        <v>47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ROUND(G41/12620-1,2)</f>
        <v>-1</v>
      </c>
    </row>
    <row r="42" spans="1:10" x14ac:dyDescent="0.25">
      <c r="A42" s="1" t="s">
        <v>48</v>
      </c>
      <c r="B42" s="1" t="s">
        <v>51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1" t="s">
        <v>48</v>
      </c>
      <c r="B43" s="1" t="s">
        <v>49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>
        <f>ROUND(G43/37-1,2)</f>
        <v>-1</v>
      </c>
    </row>
    <row r="44" spans="1:10" x14ac:dyDescent="0.25">
      <c r="A44" s="27" t="s">
        <v>12</v>
      </c>
      <c r="B44" s="27"/>
      <c r="C44" s="11">
        <f t="shared" ref="C44:H44" si="3">SUM(C8:C43)</f>
        <v>567150</v>
      </c>
      <c r="D44" s="11">
        <f t="shared" si="3"/>
        <v>262</v>
      </c>
      <c r="E44" s="11">
        <f t="shared" si="3"/>
        <v>260747</v>
      </c>
      <c r="F44" s="11">
        <f t="shared" si="3"/>
        <v>3660</v>
      </c>
      <c r="G44" s="11">
        <f t="shared" si="3"/>
        <v>831819</v>
      </c>
      <c r="H44" s="14">
        <f t="shared" si="3"/>
        <v>345.71000000000004</v>
      </c>
      <c r="I44" s="17"/>
      <c r="J44" s="17"/>
    </row>
    <row r="45" spans="1:10" x14ac:dyDescent="0.25">
      <c r="A45" s="27" t="s">
        <v>14</v>
      </c>
      <c r="B45" s="27"/>
      <c r="C45" s="12">
        <f>ROUND(C44/G44,2)</f>
        <v>0.68</v>
      </c>
      <c r="D45" s="12">
        <f>ROUND(D44/G44,2)</f>
        <v>0</v>
      </c>
      <c r="E45" s="12">
        <f>ROUND(E44/G44,2)</f>
        <v>0.31</v>
      </c>
      <c r="F45" s="12">
        <f>ROUND(F44/G44,2)</f>
        <v>0</v>
      </c>
      <c r="G45" s="13"/>
      <c r="H45" s="13"/>
      <c r="I45" s="17"/>
      <c r="J45" s="17"/>
    </row>
    <row r="46" spans="1:10" x14ac:dyDescent="0.25">
      <c r="A46" s="2" t="s">
        <v>52</v>
      </c>
      <c r="B46" s="2"/>
      <c r="C46" s="13"/>
      <c r="D46" s="13"/>
      <c r="E46" s="13"/>
      <c r="F46" s="13"/>
      <c r="G46" s="13"/>
      <c r="H46" s="13"/>
      <c r="I46" s="17"/>
      <c r="J46" s="17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53</v>
      </c>
      <c r="B50" s="27"/>
      <c r="C50" s="11" t="s">
        <v>8</v>
      </c>
      <c r="D50" s="11" t="s">
        <v>9</v>
      </c>
      <c r="E50" s="11" t="s">
        <v>10</v>
      </c>
      <c r="F50" s="11" t="s">
        <v>11</v>
      </c>
      <c r="G50" s="11" t="s">
        <v>12</v>
      </c>
      <c r="H50" s="14" t="s">
        <v>13</v>
      </c>
      <c r="I50" s="17"/>
      <c r="J50" s="17"/>
    </row>
    <row r="51" spans="1:10" x14ac:dyDescent="0.25">
      <c r="A51" s="22" t="s">
        <v>54</v>
      </c>
      <c r="B51" s="22"/>
      <c r="C51" s="10">
        <v>401590</v>
      </c>
      <c r="D51" s="10">
        <v>262</v>
      </c>
      <c r="E51" s="10">
        <v>228077</v>
      </c>
      <c r="F51" s="10">
        <v>3660</v>
      </c>
      <c r="G51" s="10">
        <f>SUM(C51:F51)</f>
        <v>633589</v>
      </c>
      <c r="H51" s="16">
        <f>ROUND(G51/2406,2)</f>
        <v>263.33999999999997</v>
      </c>
      <c r="I51" s="9"/>
      <c r="J51" s="9"/>
    </row>
    <row r="52" spans="1:10" x14ac:dyDescent="0.25">
      <c r="A52" s="22" t="s">
        <v>55</v>
      </c>
      <c r="B52" s="22"/>
      <c r="C52" s="10">
        <v>165560</v>
      </c>
      <c r="D52" s="10">
        <v>0</v>
      </c>
      <c r="E52" s="10">
        <v>32670</v>
      </c>
      <c r="F52" s="10">
        <v>0</v>
      </c>
      <c r="G52" s="10">
        <f>SUM(C52:F52)</f>
        <v>198230</v>
      </c>
      <c r="H52" s="16">
        <f>ROUND(G52/2406,2)</f>
        <v>82.39</v>
      </c>
      <c r="I52" s="9"/>
      <c r="J52" s="9"/>
    </row>
    <row r="53" spans="1:10" x14ac:dyDescent="0.25">
      <c r="A53" s="22" t="s">
        <v>56</v>
      </c>
      <c r="B53" s="22"/>
      <c r="C53" s="10">
        <v>0</v>
      </c>
      <c r="D53" s="10">
        <v>0</v>
      </c>
      <c r="E53" s="10">
        <v>0</v>
      </c>
      <c r="F53" s="10">
        <v>0</v>
      </c>
      <c r="G53" s="10">
        <f>SUM(C53:F53)</f>
        <v>0</v>
      </c>
      <c r="H53" s="16">
        <f>ROUND(G53/2406,2)</f>
        <v>0</v>
      </c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57</v>
      </c>
      <c r="B58" s="27"/>
      <c r="C58" s="14" t="s">
        <v>2</v>
      </c>
      <c r="D58" s="14">
        <v>2023</v>
      </c>
      <c r="E58" s="14" t="s">
        <v>59</v>
      </c>
      <c r="F58" s="13"/>
      <c r="G58" s="14" t="s">
        <v>60</v>
      </c>
      <c r="H58" s="14" t="s">
        <v>2</v>
      </c>
      <c r="I58" s="12" t="s">
        <v>61</v>
      </c>
      <c r="J58" s="12" t="s">
        <v>59</v>
      </c>
    </row>
    <row r="59" spans="1:10" x14ac:dyDescent="0.25">
      <c r="A59" s="22" t="s">
        <v>58</v>
      </c>
      <c r="B59" s="22"/>
      <c r="C59" s="15">
        <f>ROUND(0.7894, 4)</f>
        <v>0.78939999999999999</v>
      </c>
      <c r="D59" s="15">
        <f>ROUND(0.7864, 4)</f>
        <v>0.78639999999999999</v>
      </c>
      <c r="E59" s="15">
        <f>ROUND(0.777, 4)</f>
        <v>0.77700000000000002</v>
      </c>
      <c r="F59" s="8"/>
      <c r="G59" s="14" t="s">
        <v>62</v>
      </c>
      <c r="H59" s="28" t="s">
        <v>63</v>
      </c>
      <c r="I59" s="25" t="s">
        <v>64</v>
      </c>
      <c r="J59" s="25" t="s">
        <v>65</v>
      </c>
    </row>
    <row r="60" spans="1:10" x14ac:dyDescent="0.25">
      <c r="A60" s="22" t="s">
        <v>66</v>
      </c>
      <c r="B60" s="22"/>
      <c r="C60" s="15">
        <f>ROUND(0.7795, 4)</f>
        <v>0.77949999999999997</v>
      </c>
      <c r="D60" s="15">
        <f>ROUND(0.7759, 4)</f>
        <v>0.77590000000000003</v>
      </c>
      <c r="E60" s="15">
        <f>ROUND(0.7608, 4)</f>
        <v>0.76080000000000003</v>
      </c>
      <c r="F60" s="8"/>
      <c r="G60" s="14" t="s">
        <v>67</v>
      </c>
      <c r="H60" s="29"/>
      <c r="I60" s="26"/>
      <c r="J60" s="26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7" t="s">
        <v>68</v>
      </c>
      <c r="B64" s="27"/>
      <c r="C64" s="14" t="s">
        <v>2</v>
      </c>
      <c r="D64" s="14" t="s">
        <v>224</v>
      </c>
      <c r="E64" s="14" t="s">
        <v>70</v>
      </c>
      <c r="F64" s="14" t="s">
        <v>71</v>
      </c>
      <c r="G64" s="14" t="s">
        <v>72</v>
      </c>
      <c r="H64" s="13"/>
      <c r="I64" s="17"/>
      <c r="J64" s="17"/>
    </row>
    <row r="65" spans="1:10" x14ac:dyDescent="0.25">
      <c r="A65" s="22" t="s">
        <v>73</v>
      </c>
      <c r="B65" s="22"/>
      <c r="C65" s="16">
        <v>68.81</v>
      </c>
      <c r="D65" s="16">
        <v>65.760000000000005</v>
      </c>
      <c r="E65" s="16">
        <v>92.53</v>
      </c>
      <c r="F65" s="16">
        <v>56.06</v>
      </c>
      <c r="G65" s="16">
        <f>12/11*C65</f>
        <v>75.065454545454543</v>
      </c>
      <c r="H65" s="8"/>
      <c r="I65" s="9"/>
      <c r="J65" s="9"/>
    </row>
    <row r="66" spans="1:10" x14ac:dyDescent="0.25">
      <c r="A66" s="22" t="s">
        <v>74</v>
      </c>
      <c r="B66" s="22"/>
      <c r="C66" s="16">
        <v>61.5</v>
      </c>
      <c r="D66" s="16">
        <v>62.43</v>
      </c>
      <c r="E66" s="16">
        <v>61.98</v>
      </c>
      <c r="F66" s="16">
        <v>64.09</v>
      </c>
      <c r="G66" s="16">
        <f>12/11*C66</f>
        <v>67.090909090909079</v>
      </c>
      <c r="H66" s="8"/>
      <c r="I66" s="9"/>
      <c r="J66" s="9"/>
    </row>
    <row r="67" spans="1:10" x14ac:dyDescent="0.25">
      <c r="A67" s="22" t="s">
        <v>75</v>
      </c>
      <c r="B67" s="22"/>
      <c r="C67" s="16">
        <v>263.33999999999997</v>
      </c>
      <c r="D67" s="16">
        <v>257.69</v>
      </c>
      <c r="E67" s="16">
        <v>291.51</v>
      </c>
      <c r="F67" s="16">
        <v>284.45</v>
      </c>
      <c r="G67" s="16">
        <f>12/11*C67</f>
        <v>287.27999999999997</v>
      </c>
      <c r="H67" s="8"/>
      <c r="I67" s="9"/>
      <c r="J67" s="9"/>
    </row>
    <row r="68" spans="1:10" x14ac:dyDescent="0.25">
      <c r="A68" s="22" t="s">
        <v>76</v>
      </c>
      <c r="B68" s="22"/>
      <c r="C68" s="16">
        <v>82.39</v>
      </c>
      <c r="D68" s="16">
        <v>81.66</v>
      </c>
      <c r="E68" s="16">
        <v>116.46</v>
      </c>
      <c r="F68" s="16">
        <v>79.959999999999994</v>
      </c>
      <c r="G68" s="16">
        <f>12/11*C68</f>
        <v>89.88</v>
      </c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23" t="s">
        <v>60</v>
      </c>
      <c r="B71" s="24"/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77</v>
      </c>
      <c r="B72" s="1" t="s">
        <v>225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70</v>
      </c>
      <c r="B73" s="1" t="s">
        <v>79</v>
      </c>
      <c r="C73" s="8"/>
      <c r="D73" s="8"/>
      <c r="E73" s="8"/>
      <c r="F73" s="8"/>
      <c r="G73" s="8"/>
      <c r="H73" s="8"/>
      <c r="I73" s="9"/>
      <c r="J73" s="9"/>
    </row>
    <row r="74" spans="1:10" x14ac:dyDescent="0.25">
      <c r="A74" s="3" t="s">
        <v>71</v>
      </c>
      <c r="B74" s="1" t="s">
        <v>80</v>
      </c>
    </row>
    <row r="75" spans="1:10" x14ac:dyDescent="0.25">
      <c r="A75" s="3" t="s">
        <v>72</v>
      </c>
      <c r="B75" s="1" t="s">
        <v>81</v>
      </c>
    </row>
  </sheetData>
  <mergeCells count="19">
    <mergeCell ref="C7:G7"/>
    <mergeCell ref="A44:B44"/>
    <mergeCell ref="A45:B45"/>
    <mergeCell ref="A50:B50"/>
    <mergeCell ref="A51:B51"/>
    <mergeCell ref="J59:J60"/>
    <mergeCell ref="A60:B60"/>
    <mergeCell ref="A64:B64"/>
    <mergeCell ref="A65:B65"/>
    <mergeCell ref="A52:B52"/>
    <mergeCell ref="A53:B53"/>
    <mergeCell ref="A58:B58"/>
    <mergeCell ref="A59:B59"/>
    <mergeCell ref="H59:H60"/>
    <mergeCell ref="A66:B66"/>
    <mergeCell ref="A67:B67"/>
    <mergeCell ref="A68:B68"/>
    <mergeCell ref="A71:B71"/>
    <mergeCell ref="I59:I6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J73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19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226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2614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51</v>
      </c>
      <c r="F9" s="10"/>
      <c r="G9" s="10">
        <f t="shared" ref="G9:G41" si="0">SUM(C9:F9)</f>
        <v>51</v>
      </c>
      <c r="H9" s="16">
        <f t="shared" ref="H9:H41" si="1">ROUND(G9/2614,2)</f>
        <v>0.02</v>
      </c>
      <c r="I9" s="15">
        <f t="shared" ref="I9:I41" si="2">ROUND(G9/$G$42,3)</f>
        <v>0</v>
      </c>
      <c r="J9" s="15"/>
    </row>
    <row r="10" spans="1:10" x14ac:dyDescent="0.25">
      <c r="A10" s="1" t="s">
        <v>16</v>
      </c>
      <c r="B10" s="1" t="s">
        <v>19</v>
      </c>
      <c r="C10" s="10">
        <v>84430</v>
      </c>
      <c r="D10" s="10"/>
      <c r="E10" s="10"/>
      <c r="F10" s="10"/>
      <c r="G10" s="10">
        <f t="shared" si="0"/>
        <v>84430</v>
      </c>
      <c r="H10" s="16">
        <f t="shared" si="1"/>
        <v>32.299999999999997</v>
      </c>
      <c r="I10" s="15">
        <f t="shared" si="2"/>
        <v>9.2999999999999999E-2</v>
      </c>
      <c r="J10" s="15">
        <f>ROUND(G10/73730-1,2)</f>
        <v>0.15</v>
      </c>
    </row>
    <row r="11" spans="1:10" x14ac:dyDescent="0.25">
      <c r="A11" s="1" t="s">
        <v>16</v>
      </c>
      <c r="B11" s="1" t="s">
        <v>20</v>
      </c>
      <c r="C11" s="10">
        <v>122250</v>
      </c>
      <c r="D11" s="10"/>
      <c r="E11" s="10"/>
      <c r="F11" s="10"/>
      <c r="G11" s="10">
        <f t="shared" si="0"/>
        <v>122250</v>
      </c>
      <c r="H11" s="16">
        <f t="shared" si="1"/>
        <v>46.77</v>
      </c>
      <c r="I11" s="15">
        <f t="shared" si="2"/>
        <v>0.13500000000000001</v>
      </c>
      <c r="J11" s="15">
        <f>ROUND(G11/117630-1,2)</f>
        <v>0.04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49</v>
      </c>
      <c r="F12" s="10"/>
      <c r="G12" s="10">
        <f t="shared" si="0"/>
        <v>49</v>
      </c>
      <c r="H12" s="16">
        <f t="shared" si="1"/>
        <v>0.02</v>
      </c>
      <c r="I12" s="15">
        <f t="shared" si="2"/>
        <v>0</v>
      </c>
      <c r="J12" s="15">
        <f>ROUND(G12/76-1,2)</f>
        <v>-0.36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73</v>
      </c>
      <c r="F13" s="10"/>
      <c r="G13" s="10">
        <f t="shared" si="0"/>
        <v>73</v>
      </c>
      <c r="H13" s="16">
        <f t="shared" si="1"/>
        <v>0.03</v>
      </c>
      <c r="I13" s="15">
        <f t="shared" si="2"/>
        <v>0</v>
      </c>
      <c r="J13" s="15">
        <f>ROUND(G13/88-1,2)</f>
        <v>-0.17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1700</v>
      </c>
      <c r="F14" s="10"/>
      <c r="G14" s="10">
        <f t="shared" si="0"/>
        <v>1700</v>
      </c>
      <c r="H14" s="16">
        <f t="shared" si="1"/>
        <v>0.65</v>
      </c>
      <c r="I14" s="15">
        <f t="shared" si="2"/>
        <v>2E-3</v>
      </c>
      <c r="J14" s="15">
        <f>ROUND(G14/800-1,2)</f>
        <v>1.1299999999999999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24700</v>
      </c>
      <c r="F15" s="10"/>
      <c r="G15" s="10">
        <f t="shared" si="0"/>
        <v>24700</v>
      </c>
      <c r="H15" s="16">
        <f t="shared" si="1"/>
        <v>9.4499999999999993</v>
      </c>
      <c r="I15" s="15">
        <f t="shared" si="2"/>
        <v>2.7E-2</v>
      </c>
      <c r="J15" s="15">
        <f>ROUND(G15/31780-1,2)</f>
        <v>-0.22</v>
      </c>
    </row>
    <row r="16" spans="1:10" x14ac:dyDescent="0.25">
      <c r="A16" s="1" t="s">
        <v>16</v>
      </c>
      <c r="B16" s="1" t="s">
        <v>24</v>
      </c>
      <c r="C16" s="10">
        <v>119955</v>
      </c>
      <c r="D16" s="10"/>
      <c r="E16" s="10">
        <v>4900</v>
      </c>
      <c r="F16" s="10"/>
      <c r="G16" s="10">
        <f t="shared" si="0"/>
        <v>124855</v>
      </c>
      <c r="H16" s="16">
        <f t="shared" si="1"/>
        <v>47.76</v>
      </c>
      <c r="I16" s="15">
        <f t="shared" si="2"/>
        <v>0.13800000000000001</v>
      </c>
      <c r="J16" s="15">
        <f>ROUND(G16/119065-1,2)</f>
        <v>0.05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3605</v>
      </c>
      <c r="F17" s="10"/>
      <c r="G17" s="10">
        <f t="shared" si="0"/>
        <v>3605</v>
      </c>
      <c r="H17" s="16">
        <f t="shared" si="1"/>
        <v>1.38</v>
      </c>
      <c r="I17" s="15">
        <f t="shared" si="2"/>
        <v>4.0000000000000001E-3</v>
      </c>
      <c r="J17" s="15">
        <f>ROUND(G17/3070-1,2)</f>
        <v>0.17</v>
      </c>
    </row>
    <row r="18" spans="1:10" x14ac:dyDescent="0.25">
      <c r="A18" s="1" t="s">
        <v>16</v>
      </c>
      <c r="B18" s="1" t="s">
        <v>26</v>
      </c>
      <c r="C18" s="10">
        <v>194490</v>
      </c>
      <c r="D18" s="10"/>
      <c r="E18" s="10"/>
      <c r="F18" s="10">
        <v>1620</v>
      </c>
      <c r="G18" s="10">
        <f t="shared" si="0"/>
        <v>196110</v>
      </c>
      <c r="H18" s="16">
        <f t="shared" si="1"/>
        <v>75.02</v>
      </c>
      <c r="I18" s="15">
        <f t="shared" si="2"/>
        <v>0.216</v>
      </c>
      <c r="J18" s="15">
        <f>ROUND(G18/169110-1,2)</f>
        <v>0.16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818</v>
      </c>
      <c r="F19" s="10"/>
      <c r="G19" s="10">
        <f t="shared" si="0"/>
        <v>818</v>
      </c>
      <c r="H19" s="16">
        <f t="shared" si="1"/>
        <v>0.31</v>
      </c>
      <c r="I19" s="15">
        <f t="shared" si="2"/>
        <v>1E-3</v>
      </c>
      <c r="J19" s="15">
        <f>ROUND(G19/459-1,2)</f>
        <v>0.78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632</v>
      </c>
      <c r="F20" s="10"/>
      <c r="G20" s="10">
        <f t="shared" si="0"/>
        <v>632</v>
      </c>
      <c r="H20" s="16">
        <f t="shared" si="1"/>
        <v>0.24</v>
      </c>
      <c r="I20" s="15">
        <f t="shared" si="2"/>
        <v>1E-3</v>
      </c>
      <c r="J20" s="15">
        <f>ROUND(G20/538-1,2)</f>
        <v>0.17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2420</v>
      </c>
      <c r="F21" s="10"/>
      <c r="G21" s="10">
        <f t="shared" si="0"/>
        <v>2420</v>
      </c>
      <c r="H21" s="16">
        <f t="shared" si="1"/>
        <v>0.93</v>
      </c>
      <c r="I21" s="15">
        <f t="shared" si="2"/>
        <v>3.0000000000000001E-3</v>
      </c>
      <c r="J21" s="15">
        <f>ROUND(G21/6160-1,2)</f>
        <v>-0.61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650</v>
      </c>
      <c r="F22" s="10"/>
      <c r="G22" s="10">
        <f t="shared" si="0"/>
        <v>650</v>
      </c>
      <c r="H22" s="16">
        <f t="shared" si="1"/>
        <v>0.25</v>
      </c>
      <c r="I22" s="15">
        <f t="shared" si="2"/>
        <v>1E-3</v>
      </c>
      <c r="J22" s="15">
        <f>ROUND(G22/750-1,2)</f>
        <v>-0.13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1040</v>
      </c>
      <c r="F23" s="10"/>
      <c r="G23" s="10">
        <f t="shared" si="0"/>
        <v>1040</v>
      </c>
      <c r="H23" s="16">
        <f t="shared" si="1"/>
        <v>0.4</v>
      </c>
      <c r="I23" s="15">
        <f t="shared" si="2"/>
        <v>1E-3</v>
      </c>
      <c r="J23" s="15">
        <f>ROUND(G23/1520-1,2)</f>
        <v>-0.32</v>
      </c>
    </row>
    <row r="24" spans="1:10" x14ac:dyDescent="0.25">
      <c r="A24" s="1" t="s">
        <v>16</v>
      </c>
      <c r="B24" s="1" t="s">
        <v>33</v>
      </c>
      <c r="C24" s="10"/>
      <c r="D24" s="10">
        <v>370</v>
      </c>
      <c r="E24" s="10">
        <v>95</v>
      </c>
      <c r="F24" s="10"/>
      <c r="G24" s="10">
        <f t="shared" si="0"/>
        <v>465</v>
      </c>
      <c r="H24" s="16">
        <f t="shared" si="1"/>
        <v>0.18</v>
      </c>
      <c r="I24" s="15">
        <f t="shared" si="2"/>
        <v>1E-3</v>
      </c>
      <c r="J24" s="15">
        <f>ROUND(G24/382-1,2)</f>
        <v>0.22</v>
      </c>
    </row>
    <row r="25" spans="1:10" x14ac:dyDescent="0.25">
      <c r="A25" s="1" t="s">
        <v>16</v>
      </c>
      <c r="B25" s="1" t="s">
        <v>35</v>
      </c>
      <c r="C25" s="10"/>
      <c r="D25" s="10"/>
      <c r="E25" s="10">
        <v>119</v>
      </c>
      <c r="F25" s="10"/>
      <c r="G25" s="10">
        <f t="shared" si="0"/>
        <v>119</v>
      </c>
      <c r="H25" s="16">
        <f t="shared" si="1"/>
        <v>0.05</v>
      </c>
      <c r="I25" s="15">
        <f t="shared" si="2"/>
        <v>0</v>
      </c>
      <c r="J25" s="15">
        <f>ROUND(G25/192-1,2)</f>
        <v>-0.38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820</v>
      </c>
      <c r="F26" s="10"/>
      <c r="G26" s="10">
        <f t="shared" si="0"/>
        <v>820</v>
      </c>
      <c r="H26" s="16">
        <f t="shared" si="1"/>
        <v>0.31</v>
      </c>
      <c r="I26" s="15">
        <f t="shared" si="2"/>
        <v>1E-3</v>
      </c>
      <c r="J26" s="15">
        <f>ROUND(G26/2480-1,2)</f>
        <v>-0.67</v>
      </c>
    </row>
    <row r="27" spans="1:10" x14ac:dyDescent="0.25">
      <c r="A27" s="1" t="s">
        <v>16</v>
      </c>
      <c r="B27" s="1" t="s">
        <v>37</v>
      </c>
      <c r="C27" s="10"/>
      <c r="D27" s="10"/>
      <c r="E27" s="10">
        <v>5020</v>
      </c>
      <c r="F27" s="10"/>
      <c r="G27" s="10">
        <f t="shared" si="0"/>
        <v>5020</v>
      </c>
      <c r="H27" s="16">
        <f t="shared" si="1"/>
        <v>1.92</v>
      </c>
      <c r="I27" s="15">
        <f t="shared" si="2"/>
        <v>6.0000000000000001E-3</v>
      </c>
      <c r="J27" s="15">
        <f>ROUND(G27/6570-1,2)</f>
        <v>-0.24</v>
      </c>
    </row>
    <row r="28" spans="1:10" x14ac:dyDescent="0.25">
      <c r="A28" s="1" t="s">
        <v>16</v>
      </c>
      <c r="B28" s="1" t="s">
        <v>43</v>
      </c>
      <c r="C28" s="10"/>
      <c r="D28" s="10"/>
      <c r="E28" s="10">
        <v>700</v>
      </c>
      <c r="F28" s="10"/>
      <c r="G28" s="10">
        <f t="shared" si="0"/>
        <v>700</v>
      </c>
      <c r="H28" s="16">
        <f t="shared" si="1"/>
        <v>0.27</v>
      </c>
      <c r="I28" s="15">
        <f t="shared" si="2"/>
        <v>1E-3</v>
      </c>
      <c r="J28" s="15">
        <f>ROUND(G28/9620-1,2)</f>
        <v>-0.93</v>
      </c>
    </row>
    <row r="29" spans="1:10" x14ac:dyDescent="0.25">
      <c r="A29" s="1" t="s">
        <v>16</v>
      </c>
      <c r="B29" s="1" t="s">
        <v>38</v>
      </c>
      <c r="C29" s="10"/>
      <c r="D29" s="10"/>
      <c r="E29" s="10">
        <v>69380</v>
      </c>
      <c r="F29" s="10"/>
      <c r="G29" s="10">
        <f t="shared" si="0"/>
        <v>69380</v>
      </c>
      <c r="H29" s="16">
        <f t="shared" si="1"/>
        <v>26.54</v>
      </c>
      <c r="I29" s="15">
        <f t="shared" si="2"/>
        <v>7.5999999999999998E-2</v>
      </c>
      <c r="J29" s="15">
        <f>ROUND(G29/71400-1,2)</f>
        <v>-0.03</v>
      </c>
    </row>
    <row r="30" spans="1:10" x14ac:dyDescent="0.25">
      <c r="A30" s="1" t="s">
        <v>16</v>
      </c>
      <c r="B30" s="1" t="s">
        <v>39</v>
      </c>
      <c r="C30" s="10"/>
      <c r="D30" s="10"/>
      <c r="E30" s="10">
        <v>5200</v>
      </c>
      <c r="F30" s="10"/>
      <c r="G30" s="10">
        <f t="shared" si="0"/>
        <v>5200</v>
      </c>
      <c r="H30" s="16">
        <f t="shared" si="1"/>
        <v>1.99</v>
      </c>
      <c r="I30" s="15">
        <f t="shared" si="2"/>
        <v>6.0000000000000001E-3</v>
      </c>
      <c r="J30" s="15">
        <f>ROUND(G30/4900-1,2)</f>
        <v>0.06</v>
      </c>
    </row>
    <row r="31" spans="1:10" x14ac:dyDescent="0.25">
      <c r="A31" s="1" t="s">
        <v>16</v>
      </c>
      <c r="B31" s="1" t="s">
        <v>40</v>
      </c>
      <c r="C31" s="10"/>
      <c r="D31" s="10"/>
      <c r="E31" s="10">
        <v>18770</v>
      </c>
      <c r="F31" s="10"/>
      <c r="G31" s="10">
        <f t="shared" si="0"/>
        <v>18770</v>
      </c>
      <c r="H31" s="16">
        <f t="shared" si="1"/>
        <v>7.18</v>
      </c>
      <c r="I31" s="15">
        <f t="shared" si="2"/>
        <v>2.1000000000000001E-2</v>
      </c>
      <c r="J31" s="15">
        <f>ROUND(G31/18310-1,2)</f>
        <v>0.03</v>
      </c>
    </row>
    <row r="32" spans="1:10" x14ac:dyDescent="0.25">
      <c r="A32" s="1" t="s">
        <v>16</v>
      </c>
      <c r="B32" s="1" t="s">
        <v>41</v>
      </c>
      <c r="C32" s="10"/>
      <c r="D32" s="10"/>
      <c r="E32" s="10"/>
      <c r="F32" s="10">
        <v>45820</v>
      </c>
      <c r="G32" s="10">
        <f t="shared" si="0"/>
        <v>45820</v>
      </c>
      <c r="H32" s="16">
        <f t="shared" si="1"/>
        <v>17.53</v>
      </c>
      <c r="I32" s="15">
        <f t="shared" si="2"/>
        <v>0.05</v>
      </c>
      <c r="J32" s="15">
        <f>ROUND(G32/11280-1,2)</f>
        <v>3.06</v>
      </c>
    </row>
    <row r="33" spans="1:10" x14ac:dyDescent="0.25">
      <c r="A33" s="1" t="s">
        <v>16</v>
      </c>
      <c r="B33" s="1" t="s">
        <v>227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31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ROUND(G34/250-1,2)</f>
        <v>-1</v>
      </c>
    </row>
    <row r="35" spans="1:10" x14ac:dyDescent="0.25">
      <c r="A35" s="1" t="s">
        <v>16</v>
      </c>
      <c r="B35" s="1" t="s">
        <v>36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ROUND(G35/3580-1,2)</f>
        <v>-1</v>
      </c>
    </row>
    <row r="36" spans="1:10" x14ac:dyDescent="0.25">
      <c r="A36" s="1" t="s">
        <v>16</v>
      </c>
      <c r="B36" s="1" t="s">
        <v>42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ROUND(G36/87-1,2)</f>
        <v>-1</v>
      </c>
    </row>
    <row r="37" spans="1:10" x14ac:dyDescent="0.25">
      <c r="A37" s="1" t="s">
        <v>44</v>
      </c>
      <c r="B37" s="1" t="s">
        <v>45</v>
      </c>
      <c r="C37" s="10">
        <v>153880</v>
      </c>
      <c r="D37" s="10"/>
      <c r="E37" s="10"/>
      <c r="F37" s="10"/>
      <c r="G37" s="10">
        <f t="shared" si="0"/>
        <v>153880</v>
      </c>
      <c r="H37" s="16">
        <f t="shared" si="1"/>
        <v>58.87</v>
      </c>
      <c r="I37" s="15">
        <f t="shared" si="2"/>
        <v>0.17</v>
      </c>
      <c r="J37" s="15">
        <f>ROUND(G37/250730-1,2)</f>
        <v>-0.39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44210</v>
      </c>
      <c r="F38" s="10"/>
      <c r="G38" s="10">
        <f t="shared" si="0"/>
        <v>44210</v>
      </c>
      <c r="H38" s="16">
        <f t="shared" si="1"/>
        <v>16.91</v>
      </c>
      <c r="I38" s="15">
        <f t="shared" si="2"/>
        <v>4.9000000000000002E-2</v>
      </c>
      <c r="J38" s="15">
        <f>ROUND(G38/37340-1,2)</f>
        <v>0.18</v>
      </c>
    </row>
    <row r="39" spans="1:10" x14ac:dyDescent="0.25">
      <c r="A39" s="1" t="s">
        <v>44</v>
      </c>
      <c r="B39" s="1" t="s">
        <v>47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48</v>
      </c>
      <c r="B40" s="1" t="s">
        <v>51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48</v>
      </c>
      <c r="B41" s="1" t="s">
        <v>86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27" t="s">
        <v>12</v>
      </c>
      <c r="B42" s="27"/>
      <c r="C42" s="11">
        <f t="shared" ref="C42:H42" si="3">SUM(C8:C41)</f>
        <v>675005</v>
      </c>
      <c r="D42" s="11">
        <f t="shared" si="3"/>
        <v>370</v>
      </c>
      <c r="E42" s="11">
        <f t="shared" si="3"/>
        <v>184952</v>
      </c>
      <c r="F42" s="11">
        <f t="shared" si="3"/>
        <v>47440</v>
      </c>
      <c r="G42" s="11">
        <f t="shared" si="3"/>
        <v>907767</v>
      </c>
      <c r="H42" s="14">
        <f t="shared" si="3"/>
        <v>347.28000000000003</v>
      </c>
      <c r="I42" s="17"/>
      <c r="J42" s="17"/>
    </row>
    <row r="43" spans="1:10" x14ac:dyDescent="0.25">
      <c r="A43" s="27" t="s">
        <v>14</v>
      </c>
      <c r="B43" s="27"/>
      <c r="C43" s="12">
        <f>ROUND(C42/G42,2)</f>
        <v>0.74</v>
      </c>
      <c r="D43" s="12">
        <f>ROUND(D42/G42,2)</f>
        <v>0</v>
      </c>
      <c r="E43" s="12">
        <f>ROUND(E42/G42,2)</f>
        <v>0.2</v>
      </c>
      <c r="F43" s="12">
        <f>ROUND(F42/G42,2)</f>
        <v>0.05</v>
      </c>
      <c r="G43" s="13"/>
      <c r="H43" s="13"/>
      <c r="I43" s="17"/>
      <c r="J43" s="17"/>
    </row>
    <row r="44" spans="1:10" x14ac:dyDescent="0.25">
      <c r="A44" s="2" t="s">
        <v>52</v>
      </c>
      <c r="B44" s="2"/>
      <c r="C44" s="13"/>
      <c r="D44" s="13"/>
      <c r="E44" s="13"/>
      <c r="F44" s="13"/>
      <c r="G44" s="13"/>
      <c r="H44" s="13"/>
      <c r="I44" s="17"/>
      <c r="J44" s="17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A48" s="27" t="s">
        <v>53</v>
      </c>
      <c r="B48" s="27"/>
      <c r="C48" s="11" t="s">
        <v>8</v>
      </c>
      <c r="D48" s="11" t="s">
        <v>9</v>
      </c>
      <c r="E48" s="11" t="s">
        <v>10</v>
      </c>
      <c r="F48" s="11" t="s">
        <v>11</v>
      </c>
      <c r="G48" s="11" t="s">
        <v>12</v>
      </c>
      <c r="H48" s="14" t="s">
        <v>13</v>
      </c>
      <c r="I48" s="17"/>
      <c r="J48" s="17"/>
    </row>
    <row r="49" spans="1:10" x14ac:dyDescent="0.25">
      <c r="A49" s="22" t="s">
        <v>54</v>
      </c>
      <c r="B49" s="22"/>
      <c r="C49" s="10">
        <v>521125</v>
      </c>
      <c r="D49" s="10">
        <v>370</v>
      </c>
      <c r="E49" s="10">
        <v>140742</v>
      </c>
      <c r="F49" s="10">
        <v>47440</v>
      </c>
      <c r="G49" s="10">
        <f>SUM(C49:F49)</f>
        <v>709677</v>
      </c>
      <c r="H49" s="16">
        <f>ROUND(G49/2614,2)</f>
        <v>271.49</v>
      </c>
      <c r="I49" s="9"/>
      <c r="J49" s="9"/>
    </row>
    <row r="50" spans="1:10" x14ac:dyDescent="0.25">
      <c r="A50" s="22" t="s">
        <v>55</v>
      </c>
      <c r="B50" s="22"/>
      <c r="C50" s="10">
        <v>153880</v>
      </c>
      <c r="D50" s="10">
        <v>0</v>
      </c>
      <c r="E50" s="10">
        <v>44210</v>
      </c>
      <c r="F50" s="10">
        <v>0</v>
      </c>
      <c r="G50" s="10">
        <f>SUM(C50:F50)</f>
        <v>198090</v>
      </c>
      <c r="H50" s="16">
        <f>ROUND(G50/2614,2)</f>
        <v>75.78</v>
      </c>
      <c r="I50" s="9"/>
      <c r="J50" s="9"/>
    </row>
    <row r="51" spans="1:10" x14ac:dyDescent="0.25">
      <c r="A51" s="22" t="s">
        <v>56</v>
      </c>
      <c r="B51" s="22"/>
      <c r="C51" s="10">
        <v>0</v>
      </c>
      <c r="D51" s="10">
        <v>0</v>
      </c>
      <c r="E51" s="10">
        <v>0</v>
      </c>
      <c r="F51" s="10">
        <v>0</v>
      </c>
      <c r="G51" s="10">
        <f>SUM(C51:F51)</f>
        <v>0</v>
      </c>
      <c r="H51" s="16">
        <f>ROUND(G51/2614,2)</f>
        <v>0</v>
      </c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A56" s="27" t="s">
        <v>57</v>
      </c>
      <c r="B56" s="27"/>
      <c r="C56" s="14" t="s">
        <v>2</v>
      </c>
      <c r="D56" s="14">
        <v>2023</v>
      </c>
      <c r="E56" s="14" t="s">
        <v>59</v>
      </c>
      <c r="F56" s="13"/>
      <c r="G56" s="14" t="s">
        <v>60</v>
      </c>
      <c r="H56" s="14" t="s">
        <v>2</v>
      </c>
      <c r="I56" s="12" t="s">
        <v>61</v>
      </c>
      <c r="J56" s="12" t="s">
        <v>59</v>
      </c>
    </row>
    <row r="57" spans="1:10" x14ac:dyDescent="0.25">
      <c r="A57" s="22" t="s">
        <v>58</v>
      </c>
      <c r="B57" s="22"/>
      <c r="C57" s="15">
        <f>ROUND(0.8202, 4)</f>
        <v>0.82020000000000004</v>
      </c>
      <c r="D57" s="15">
        <f>ROUND(0.7219, 4)</f>
        <v>0.72189999999999999</v>
      </c>
      <c r="E57" s="15">
        <f>ROUND(0.777, 4)</f>
        <v>0.77700000000000002</v>
      </c>
      <c r="F57" s="8"/>
      <c r="G57" s="14" t="s">
        <v>62</v>
      </c>
      <c r="H57" s="28" t="s">
        <v>63</v>
      </c>
      <c r="I57" s="25" t="s">
        <v>64</v>
      </c>
      <c r="J57" s="25" t="s">
        <v>65</v>
      </c>
    </row>
    <row r="58" spans="1:10" x14ac:dyDescent="0.25">
      <c r="A58" s="22" t="s">
        <v>66</v>
      </c>
      <c r="B58" s="22"/>
      <c r="C58" s="15">
        <f>ROUND(0.8079, 4)</f>
        <v>0.80789999999999995</v>
      </c>
      <c r="D58" s="15">
        <f>ROUND(0.7112, 4)</f>
        <v>0.71120000000000005</v>
      </c>
      <c r="E58" s="15">
        <f>ROUND(0.7608, 4)</f>
        <v>0.76080000000000003</v>
      </c>
      <c r="F58" s="8"/>
      <c r="G58" s="14" t="s">
        <v>67</v>
      </c>
      <c r="H58" s="29"/>
      <c r="I58" s="26"/>
      <c r="J58" s="26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68</v>
      </c>
      <c r="B62" s="27"/>
      <c r="C62" s="14" t="s">
        <v>2</v>
      </c>
      <c r="D62" s="14" t="s">
        <v>228</v>
      </c>
      <c r="E62" s="14" t="s">
        <v>70</v>
      </c>
      <c r="F62" s="14" t="s">
        <v>71</v>
      </c>
      <c r="G62" s="14" t="s">
        <v>72</v>
      </c>
      <c r="H62" s="13"/>
      <c r="I62" s="17"/>
      <c r="J62" s="17"/>
    </row>
    <row r="63" spans="1:10" x14ac:dyDescent="0.25">
      <c r="A63" s="22" t="s">
        <v>73</v>
      </c>
      <c r="B63" s="22"/>
      <c r="C63" s="16">
        <v>58.87</v>
      </c>
      <c r="D63" s="16">
        <v>98.14</v>
      </c>
      <c r="E63" s="16">
        <v>92.53</v>
      </c>
      <c r="F63" s="16">
        <v>56.06</v>
      </c>
      <c r="G63" s="16">
        <f>12/11*C63</f>
        <v>64.221818181818179</v>
      </c>
      <c r="H63" s="8"/>
      <c r="I63" s="9"/>
      <c r="J63" s="9"/>
    </row>
    <row r="64" spans="1:10" x14ac:dyDescent="0.25">
      <c r="A64" s="22" t="s">
        <v>74</v>
      </c>
      <c r="B64" s="22"/>
      <c r="C64" s="16">
        <v>75.02</v>
      </c>
      <c r="D64" s="16">
        <v>72.650000000000006</v>
      </c>
      <c r="E64" s="16">
        <v>61.98</v>
      </c>
      <c r="F64" s="16">
        <v>64.09</v>
      </c>
      <c r="G64" s="16">
        <f>12/11*C64</f>
        <v>81.839999999999989</v>
      </c>
      <c r="H64" s="8"/>
      <c r="I64" s="9"/>
      <c r="J64" s="9"/>
    </row>
    <row r="65" spans="1:10" x14ac:dyDescent="0.25">
      <c r="A65" s="22" t="s">
        <v>75</v>
      </c>
      <c r="B65" s="22"/>
      <c r="C65" s="16">
        <v>271.49</v>
      </c>
      <c r="D65" s="16">
        <v>272.13</v>
      </c>
      <c r="E65" s="16">
        <v>291.51</v>
      </c>
      <c r="F65" s="16">
        <v>284.45</v>
      </c>
      <c r="G65" s="16">
        <f>12/11*C65</f>
        <v>296.17090909090911</v>
      </c>
      <c r="H65" s="8"/>
      <c r="I65" s="9"/>
      <c r="J65" s="9"/>
    </row>
    <row r="66" spans="1:10" x14ac:dyDescent="0.25">
      <c r="A66" s="22" t="s">
        <v>76</v>
      </c>
      <c r="B66" s="22"/>
      <c r="C66" s="16">
        <v>75.78</v>
      </c>
      <c r="D66" s="16">
        <v>115.39</v>
      </c>
      <c r="E66" s="16">
        <v>116.46</v>
      </c>
      <c r="F66" s="16">
        <v>79.959999999999994</v>
      </c>
      <c r="G66" s="16">
        <f>12/11*C66</f>
        <v>82.669090909090897</v>
      </c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23" t="s">
        <v>60</v>
      </c>
      <c r="B69" s="24"/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77</v>
      </c>
      <c r="B70" s="1" t="s">
        <v>229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70</v>
      </c>
      <c r="B71" s="1" t="s">
        <v>79</v>
      </c>
    </row>
    <row r="72" spans="1:10" x14ac:dyDescent="0.25">
      <c r="A72" s="3" t="s">
        <v>71</v>
      </c>
      <c r="B72" s="1" t="s">
        <v>80</v>
      </c>
    </row>
    <row r="73" spans="1:10" x14ac:dyDescent="0.25">
      <c r="A73" s="3" t="s">
        <v>72</v>
      </c>
      <c r="B73" s="1" t="s">
        <v>81</v>
      </c>
    </row>
  </sheetData>
  <mergeCells count="19">
    <mergeCell ref="C7:G7"/>
    <mergeCell ref="A42:B42"/>
    <mergeCell ref="A43:B43"/>
    <mergeCell ref="A48:B48"/>
    <mergeCell ref="A49:B49"/>
    <mergeCell ref="J57:J58"/>
    <mergeCell ref="A58:B58"/>
    <mergeCell ref="A62:B62"/>
    <mergeCell ref="A63:B63"/>
    <mergeCell ref="A50:B50"/>
    <mergeCell ref="A51:B51"/>
    <mergeCell ref="A56:B56"/>
    <mergeCell ref="A57:B57"/>
    <mergeCell ref="H57:H58"/>
    <mergeCell ref="A64:B64"/>
    <mergeCell ref="A65:B65"/>
    <mergeCell ref="A66:B66"/>
    <mergeCell ref="A69:B69"/>
    <mergeCell ref="I57:I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89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2880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75</v>
      </c>
      <c r="F9" s="10"/>
      <c r="G9" s="10">
        <f t="shared" ref="G9:G41" si="0">SUM(C9:F9)</f>
        <v>75</v>
      </c>
      <c r="H9" s="16">
        <f t="shared" ref="H9:H41" si="1">ROUND(G9/2880,2)</f>
        <v>0.03</v>
      </c>
      <c r="I9" s="15">
        <f t="shared" ref="I9:I41" si="2">ROUND(G9/$G$42,3)</f>
        <v>0</v>
      </c>
      <c r="J9" s="15">
        <f>ROUND(G9/53-1,2)</f>
        <v>0.42</v>
      </c>
    </row>
    <row r="10" spans="1:10" x14ac:dyDescent="0.25">
      <c r="A10" s="1" t="s">
        <v>16</v>
      </c>
      <c r="B10" s="1" t="s">
        <v>19</v>
      </c>
      <c r="C10" s="10">
        <v>71400</v>
      </c>
      <c r="D10" s="10"/>
      <c r="E10" s="10"/>
      <c r="F10" s="10"/>
      <c r="G10" s="10">
        <f t="shared" si="0"/>
        <v>71400</v>
      </c>
      <c r="H10" s="16">
        <f t="shared" si="1"/>
        <v>24.79</v>
      </c>
      <c r="I10" s="15">
        <f t="shared" si="2"/>
        <v>7.3999999999999996E-2</v>
      </c>
      <c r="J10" s="15">
        <f>ROUND(G10/72300-1,2)</f>
        <v>-0.01</v>
      </c>
    </row>
    <row r="11" spans="1:10" x14ac:dyDescent="0.25">
      <c r="A11" s="1" t="s">
        <v>16</v>
      </c>
      <c r="B11" s="1" t="s">
        <v>20</v>
      </c>
      <c r="C11" s="10">
        <v>105800</v>
      </c>
      <c r="D11" s="10"/>
      <c r="E11" s="10"/>
      <c r="F11" s="10"/>
      <c r="G11" s="10">
        <f t="shared" si="0"/>
        <v>105800</v>
      </c>
      <c r="H11" s="16">
        <f t="shared" si="1"/>
        <v>36.74</v>
      </c>
      <c r="I11" s="15">
        <f t="shared" si="2"/>
        <v>0.109</v>
      </c>
      <c r="J11" s="15">
        <f>ROUND(G11/93150-1,2)</f>
        <v>0.14000000000000001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301</v>
      </c>
      <c r="F12" s="10"/>
      <c r="G12" s="10">
        <f t="shared" si="0"/>
        <v>301</v>
      </c>
      <c r="H12" s="16">
        <f t="shared" si="1"/>
        <v>0.1</v>
      </c>
      <c r="I12" s="15">
        <f t="shared" si="2"/>
        <v>0</v>
      </c>
      <c r="J12" s="15">
        <f>ROUND(G12/271-1,2)</f>
        <v>0.11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2200</v>
      </c>
      <c r="F13" s="10"/>
      <c r="G13" s="10">
        <f t="shared" si="0"/>
        <v>2200</v>
      </c>
      <c r="H13" s="16">
        <f t="shared" si="1"/>
        <v>0.76</v>
      </c>
      <c r="I13" s="15">
        <f t="shared" si="2"/>
        <v>2E-3</v>
      </c>
      <c r="J13" s="15">
        <f>ROUND(G13/1600-1,2)</f>
        <v>0.38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41260</v>
      </c>
      <c r="F14" s="10"/>
      <c r="G14" s="10">
        <f t="shared" si="0"/>
        <v>41260</v>
      </c>
      <c r="H14" s="16">
        <f t="shared" si="1"/>
        <v>14.33</v>
      </c>
      <c r="I14" s="15">
        <f t="shared" si="2"/>
        <v>4.2000000000000003E-2</v>
      </c>
      <c r="J14" s="15">
        <f>ROUND(G14/39160-1,2)</f>
        <v>0.05</v>
      </c>
    </row>
    <row r="15" spans="1:10" x14ac:dyDescent="0.25">
      <c r="A15" s="1" t="s">
        <v>16</v>
      </c>
      <c r="B15" s="1" t="s">
        <v>24</v>
      </c>
      <c r="C15" s="10">
        <v>118630</v>
      </c>
      <c r="D15" s="10"/>
      <c r="E15" s="10">
        <v>8290</v>
      </c>
      <c r="F15" s="10"/>
      <c r="G15" s="10">
        <f t="shared" si="0"/>
        <v>126920</v>
      </c>
      <c r="H15" s="16">
        <f t="shared" si="1"/>
        <v>44.07</v>
      </c>
      <c r="I15" s="15">
        <f t="shared" si="2"/>
        <v>0.13100000000000001</v>
      </c>
      <c r="J15" s="15">
        <f>ROUND(G15/133585-1,2)</f>
        <v>-0.05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4170</v>
      </c>
      <c r="F16" s="10"/>
      <c r="G16" s="10">
        <f t="shared" si="0"/>
        <v>4170</v>
      </c>
      <c r="H16" s="16">
        <f t="shared" si="1"/>
        <v>1.45</v>
      </c>
      <c r="I16" s="15">
        <f t="shared" si="2"/>
        <v>4.0000000000000001E-3</v>
      </c>
      <c r="J16" s="15">
        <f>ROUND(G16/2190-1,2)</f>
        <v>0.9</v>
      </c>
    </row>
    <row r="17" spans="1:10" x14ac:dyDescent="0.25">
      <c r="A17" s="1" t="s">
        <v>16</v>
      </c>
      <c r="B17" s="1" t="s">
        <v>26</v>
      </c>
      <c r="C17" s="10">
        <v>141150</v>
      </c>
      <c r="D17" s="10"/>
      <c r="E17" s="10"/>
      <c r="F17" s="10"/>
      <c r="G17" s="10">
        <f t="shared" si="0"/>
        <v>141150</v>
      </c>
      <c r="H17" s="16">
        <f t="shared" si="1"/>
        <v>49.01</v>
      </c>
      <c r="I17" s="15">
        <f t="shared" si="2"/>
        <v>0.14499999999999999</v>
      </c>
      <c r="J17" s="15">
        <f>ROUND(G17/139740-1,2)</f>
        <v>0.01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523</v>
      </c>
      <c r="F18" s="10"/>
      <c r="G18" s="10">
        <f t="shared" si="0"/>
        <v>523</v>
      </c>
      <c r="H18" s="16">
        <f t="shared" si="1"/>
        <v>0.18</v>
      </c>
      <c r="I18" s="15">
        <f t="shared" si="2"/>
        <v>1E-3</v>
      </c>
      <c r="J18" s="15">
        <f>ROUND(G18/486-1,2)</f>
        <v>0.08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318</v>
      </c>
      <c r="F19" s="10"/>
      <c r="G19" s="10">
        <f t="shared" si="0"/>
        <v>318</v>
      </c>
      <c r="H19" s="16">
        <f t="shared" si="1"/>
        <v>0.11</v>
      </c>
      <c r="I19" s="15">
        <f t="shared" si="2"/>
        <v>0</v>
      </c>
      <c r="J19" s="15">
        <f>ROUND(G19/226-1,2)</f>
        <v>0.41</v>
      </c>
    </row>
    <row r="20" spans="1:10" x14ac:dyDescent="0.25">
      <c r="A20" s="1" t="s">
        <v>16</v>
      </c>
      <c r="B20" s="1" t="s">
        <v>29</v>
      </c>
      <c r="C20" s="10"/>
      <c r="D20" s="10"/>
      <c r="E20" s="10">
        <v>1940</v>
      </c>
      <c r="F20" s="10"/>
      <c r="G20" s="10">
        <f t="shared" si="0"/>
        <v>1940</v>
      </c>
      <c r="H20" s="16">
        <f t="shared" si="1"/>
        <v>0.67</v>
      </c>
      <c r="I20" s="15">
        <f t="shared" si="2"/>
        <v>2E-3</v>
      </c>
      <c r="J20" s="15">
        <f>ROUND(G20/2320-1,2)</f>
        <v>-0.16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1040</v>
      </c>
      <c r="F21" s="10"/>
      <c r="G21" s="10">
        <f t="shared" si="0"/>
        <v>1040</v>
      </c>
      <c r="H21" s="16">
        <f t="shared" si="1"/>
        <v>0.36</v>
      </c>
      <c r="I21" s="15">
        <f t="shared" si="2"/>
        <v>1E-3</v>
      </c>
      <c r="J21" s="15">
        <f>ROUND(G21/990-1,2)</f>
        <v>0.05</v>
      </c>
    </row>
    <row r="22" spans="1:10" x14ac:dyDescent="0.25">
      <c r="A22" s="1" t="s">
        <v>16</v>
      </c>
      <c r="B22" s="1" t="s">
        <v>31</v>
      </c>
      <c r="C22" s="10"/>
      <c r="D22" s="10"/>
      <c r="E22" s="10">
        <v>540</v>
      </c>
      <c r="F22" s="10"/>
      <c r="G22" s="10">
        <f t="shared" si="0"/>
        <v>540</v>
      </c>
      <c r="H22" s="16">
        <f t="shared" si="1"/>
        <v>0.19</v>
      </c>
      <c r="I22" s="15">
        <f t="shared" si="2"/>
        <v>1E-3</v>
      </c>
      <c r="J22" s="15">
        <f>ROUND(G22/180-1,2)</f>
        <v>2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1635</v>
      </c>
      <c r="F23" s="10"/>
      <c r="G23" s="10">
        <f t="shared" si="0"/>
        <v>1635</v>
      </c>
      <c r="H23" s="16">
        <f t="shared" si="1"/>
        <v>0.56999999999999995</v>
      </c>
      <c r="I23" s="15">
        <f t="shared" si="2"/>
        <v>2E-3</v>
      </c>
      <c r="J23" s="15">
        <f>ROUND(G23/1555-1,2)</f>
        <v>0.05</v>
      </c>
    </row>
    <row r="24" spans="1:10" x14ac:dyDescent="0.25">
      <c r="A24" s="1" t="s">
        <v>16</v>
      </c>
      <c r="B24" s="1" t="s">
        <v>33</v>
      </c>
      <c r="C24" s="10"/>
      <c r="D24" s="10">
        <v>217</v>
      </c>
      <c r="E24" s="10">
        <v>78</v>
      </c>
      <c r="F24" s="10"/>
      <c r="G24" s="10">
        <f t="shared" si="0"/>
        <v>295</v>
      </c>
      <c r="H24" s="16">
        <f t="shared" si="1"/>
        <v>0.1</v>
      </c>
      <c r="I24" s="15">
        <f t="shared" si="2"/>
        <v>0</v>
      </c>
      <c r="J24" s="15">
        <f>ROUND(G24/280-1,2)</f>
        <v>0.05</v>
      </c>
    </row>
    <row r="25" spans="1:10" x14ac:dyDescent="0.25">
      <c r="A25" s="1" t="s">
        <v>16</v>
      </c>
      <c r="B25" s="1" t="s">
        <v>35</v>
      </c>
      <c r="C25" s="10"/>
      <c r="D25" s="10"/>
      <c r="E25" s="10">
        <v>460</v>
      </c>
      <c r="F25" s="10"/>
      <c r="G25" s="10">
        <f t="shared" si="0"/>
        <v>460</v>
      </c>
      <c r="H25" s="16">
        <f t="shared" si="1"/>
        <v>0.16</v>
      </c>
      <c r="I25" s="15">
        <f t="shared" si="2"/>
        <v>0</v>
      </c>
      <c r="J25" s="15">
        <f>ROUND(G25/553-1,2)</f>
        <v>-0.17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2280</v>
      </c>
      <c r="F26" s="10"/>
      <c r="G26" s="10">
        <f t="shared" si="0"/>
        <v>2280</v>
      </c>
      <c r="H26" s="16">
        <f t="shared" si="1"/>
        <v>0.79</v>
      </c>
      <c r="I26" s="15">
        <f t="shared" si="2"/>
        <v>2E-3</v>
      </c>
      <c r="J26" s="15">
        <f>ROUND(G26/916-1,2)</f>
        <v>1.49</v>
      </c>
    </row>
    <row r="27" spans="1:10" x14ac:dyDescent="0.25">
      <c r="A27" s="1" t="s">
        <v>16</v>
      </c>
      <c r="B27" s="1" t="s">
        <v>36</v>
      </c>
      <c r="C27" s="10"/>
      <c r="D27" s="10"/>
      <c r="E27" s="10">
        <v>900</v>
      </c>
      <c r="F27" s="10"/>
      <c r="G27" s="10">
        <f t="shared" si="0"/>
        <v>900</v>
      </c>
      <c r="H27" s="16">
        <f t="shared" si="1"/>
        <v>0.31</v>
      </c>
      <c r="I27" s="15">
        <f t="shared" si="2"/>
        <v>1E-3</v>
      </c>
      <c r="J27" s="15">
        <f>ROUND(G27/2440-1,2)</f>
        <v>-0.63</v>
      </c>
    </row>
    <row r="28" spans="1:10" x14ac:dyDescent="0.25">
      <c r="A28" s="1" t="s">
        <v>16</v>
      </c>
      <c r="B28" s="1" t="s">
        <v>37</v>
      </c>
      <c r="C28" s="10"/>
      <c r="D28" s="10"/>
      <c r="E28" s="10">
        <v>3180</v>
      </c>
      <c r="F28" s="10"/>
      <c r="G28" s="10">
        <f t="shared" si="0"/>
        <v>3180</v>
      </c>
      <c r="H28" s="16">
        <f t="shared" si="1"/>
        <v>1.1000000000000001</v>
      </c>
      <c r="I28" s="15">
        <f t="shared" si="2"/>
        <v>3.0000000000000001E-3</v>
      </c>
      <c r="J28" s="15">
        <f>ROUND(G28/3390-1,2)</f>
        <v>-0.06</v>
      </c>
    </row>
    <row r="29" spans="1:10" x14ac:dyDescent="0.25">
      <c r="A29" s="1" t="s">
        <v>16</v>
      </c>
      <c r="B29" s="1" t="s">
        <v>43</v>
      </c>
      <c r="C29" s="10"/>
      <c r="D29" s="10"/>
      <c r="E29" s="10">
        <v>1500</v>
      </c>
      <c r="F29" s="10"/>
      <c r="G29" s="10">
        <f t="shared" si="0"/>
        <v>1500</v>
      </c>
      <c r="H29" s="16">
        <f t="shared" si="1"/>
        <v>0.52</v>
      </c>
      <c r="I29" s="15">
        <f t="shared" si="2"/>
        <v>2E-3</v>
      </c>
      <c r="J29" s="15">
        <f>ROUND(G29/7787-1,2)</f>
        <v>-0.81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52400</v>
      </c>
      <c r="F30" s="10"/>
      <c r="G30" s="10">
        <f t="shared" si="0"/>
        <v>52400</v>
      </c>
      <c r="H30" s="16">
        <f t="shared" si="1"/>
        <v>18.190000000000001</v>
      </c>
      <c r="I30" s="15">
        <f t="shared" si="2"/>
        <v>5.3999999999999999E-2</v>
      </c>
      <c r="J30" s="15">
        <f>ROUND(G30/48080-1,2)</f>
        <v>0.09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4740</v>
      </c>
      <c r="F31" s="10"/>
      <c r="G31" s="10">
        <f t="shared" si="0"/>
        <v>4740</v>
      </c>
      <c r="H31" s="16">
        <f t="shared" si="1"/>
        <v>1.65</v>
      </c>
      <c r="I31" s="15">
        <f t="shared" si="2"/>
        <v>5.0000000000000001E-3</v>
      </c>
      <c r="J31" s="15">
        <f>ROUND(G31/4810-1,2)</f>
        <v>-0.01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16430</v>
      </c>
      <c r="F32" s="10"/>
      <c r="G32" s="10">
        <f t="shared" si="0"/>
        <v>16430</v>
      </c>
      <c r="H32" s="16">
        <f t="shared" si="1"/>
        <v>5.7</v>
      </c>
      <c r="I32" s="15">
        <f t="shared" si="2"/>
        <v>1.7000000000000001E-2</v>
      </c>
      <c r="J32" s="15">
        <f>ROUND(G32/15590-1,2)</f>
        <v>0.05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123740</v>
      </c>
      <c r="F33" s="10"/>
      <c r="G33" s="10">
        <f t="shared" si="0"/>
        <v>123740</v>
      </c>
      <c r="H33" s="16">
        <f t="shared" si="1"/>
        <v>42.97</v>
      </c>
      <c r="I33" s="15">
        <f t="shared" si="2"/>
        <v>0.127</v>
      </c>
      <c r="J33" s="15">
        <f>ROUND(G33/103070-1,2)</f>
        <v>0.2</v>
      </c>
    </row>
    <row r="34" spans="1:10" x14ac:dyDescent="0.25">
      <c r="A34" s="1" t="s">
        <v>16</v>
      </c>
      <c r="B34" s="1" t="s">
        <v>18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16</v>
      </c>
      <c r="B35" s="1" t="s">
        <v>90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16</v>
      </c>
      <c r="B36" s="1" t="s">
        <v>42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44</v>
      </c>
      <c r="B37" s="1" t="s">
        <v>45</v>
      </c>
      <c r="C37" s="10">
        <v>214380</v>
      </c>
      <c r="D37" s="10"/>
      <c r="E37" s="10"/>
      <c r="F37" s="10"/>
      <c r="G37" s="10">
        <f t="shared" si="0"/>
        <v>214380</v>
      </c>
      <c r="H37" s="16">
        <f t="shared" si="1"/>
        <v>74.44</v>
      </c>
      <c r="I37" s="15">
        <f t="shared" si="2"/>
        <v>0.221</v>
      </c>
      <c r="J37" s="15">
        <f>ROUND(G37/215400-1,2)</f>
        <v>0</v>
      </c>
    </row>
    <row r="38" spans="1:10" x14ac:dyDescent="0.25">
      <c r="A38" s="1" t="s">
        <v>44</v>
      </c>
      <c r="B38" s="1" t="s">
        <v>47</v>
      </c>
      <c r="C38" s="10"/>
      <c r="D38" s="10"/>
      <c r="E38" s="10">
        <v>5700</v>
      </c>
      <c r="F38" s="10"/>
      <c r="G38" s="10">
        <f t="shared" si="0"/>
        <v>5700</v>
      </c>
      <c r="H38" s="16">
        <f t="shared" si="1"/>
        <v>1.98</v>
      </c>
      <c r="I38" s="15">
        <f t="shared" si="2"/>
        <v>6.0000000000000001E-3</v>
      </c>
      <c r="J38" s="15">
        <f>ROUND(G38/7510-1,2)</f>
        <v>-0.24</v>
      </c>
    </row>
    <row r="39" spans="1:10" x14ac:dyDescent="0.25">
      <c r="A39" s="1" t="s">
        <v>44</v>
      </c>
      <c r="B39" s="1" t="s">
        <v>46</v>
      </c>
      <c r="C39" s="10"/>
      <c r="D39" s="10"/>
      <c r="E39" s="10">
        <v>45950</v>
      </c>
      <c r="F39" s="10"/>
      <c r="G39" s="10">
        <f t="shared" si="0"/>
        <v>45950</v>
      </c>
      <c r="H39" s="16">
        <f t="shared" si="1"/>
        <v>15.95</v>
      </c>
      <c r="I39" s="15">
        <f t="shared" si="2"/>
        <v>4.7E-2</v>
      </c>
      <c r="J39" s="15">
        <f>ROUND(G39/43660-1,2)</f>
        <v>0.05</v>
      </c>
    </row>
    <row r="40" spans="1:10" x14ac:dyDescent="0.25">
      <c r="A40" s="1" t="s">
        <v>48</v>
      </c>
      <c r="B40" s="1" t="s">
        <v>50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ROUND(G40/470-1,2)</f>
        <v>-1</v>
      </c>
    </row>
    <row r="41" spans="1:10" x14ac:dyDescent="0.25">
      <c r="A41" s="1" t="s">
        <v>48</v>
      </c>
      <c r="B41" s="1" t="s">
        <v>51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27" t="s">
        <v>12</v>
      </c>
      <c r="B42" s="27"/>
      <c r="C42" s="11">
        <f t="shared" ref="C42:H42" si="3">SUM(C8:C41)</f>
        <v>651360</v>
      </c>
      <c r="D42" s="11">
        <f t="shared" si="3"/>
        <v>217</v>
      </c>
      <c r="E42" s="11">
        <f t="shared" si="3"/>
        <v>319650</v>
      </c>
      <c r="F42" s="11">
        <f t="shared" si="3"/>
        <v>0</v>
      </c>
      <c r="G42" s="11">
        <f t="shared" si="3"/>
        <v>971227</v>
      </c>
      <c r="H42" s="14">
        <f t="shared" si="3"/>
        <v>337.21999999999997</v>
      </c>
      <c r="I42" s="17"/>
      <c r="J42" s="17"/>
    </row>
    <row r="43" spans="1:10" x14ac:dyDescent="0.25">
      <c r="A43" s="27" t="s">
        <v>14</v>
      </c>
      <c r="B43" s="27"/>
      <c r="C43" s="12">
        <f>ROUND(C42/G42,2)</f>
        <v>0.67</v>
      </c>
      <c r="D43" s="12">
        <f>ROUND(D42/G42,2)</f>
        <v>0</v>
      </c>
      <c r="E43" s="12">
        <f>ROUND(E42/G42,2)</f>
        <v>0.33</v>
      </c>
      <c r="F43" s="12">
        <f>ROUND(F42/G42,2)</f>
        <v>0</v>
      </c>
      <c r="G43" s="13"/>
      <c r="H43" s="13"/>
      <c r="I43" s="17"/>
      <c r="J43" s="17"/>
    </row>
    <row r="44" spans="1:10" x14ac:dyDescent="0.25">
      <c r="A44" s="2" t="s">
        <v>52</v>
      </c>
      <c r="B44" s="2"/>
      <c r="C44" s="13"/>
      <c r="D44" s="13"/>
      <c r="E44" s="13"/>
      <c r="F44" s="13"/>
      <c r="G44" s="13"/>
      <c r="H44" s="13"/>
      <c r="I44" s="17"/>
      <c r="J44" s="17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A48" s="27" t="s">
        <v>53</v>
      </c>
      <c r="B48" s="27"/>
      <c r="C48" s="11" t="s">
        <v>8</v>
      </c>
      <c r="D48" s="11" t="s">
        <v>9</v>
      </c>
      <c r="E48" s="11" t="s">
        <v>10</v>
      </c>
      <c r="F48" s="11" t="s">
        <v>11</v>
      </c>
      <c r="G48" s="11" t="s">
        <v>12</v>
      </c>
      <c r="H48" s="14" t="s">
        <v>13</v>
      </c>
      <c r="I48" s="17"/>
      <c r="J48" s="17"/>
    </row>
    <row r="49" spans="1:10" x14ac:dyDescent="0.25">
      <c r="A49" s="22" t="s">
        <v>54</v>
      </c>
      <c r="B49" s="22"/>
      <c r="C49" s="10">
        <v>436980</v>
      </c>
      <c r="D49" s="10">
        <v>217</v>
      </c>
      <c r="E49" s="10">
        <v>268000</v>
      </c>
      <c r="F49" s="10">
        <v>0</v>
      </c>
      <c r="G49" s="10">
        <f>SUM(C49:F49)</f>
        <v>705197</v>
      </c>
      <c r="H49" s="16">
        <f>ROUND(G49/2880,2)</f>
        <v>244.86</v>
      </c>
      <c r="I49" s="9"/>
      <c r="J49" s="9"/>
    </row>
    <row r="50" spans="1:10" x14ac:dyDescent="0.25">
      <c r="A50" s="22" t="s">
        <v>55</v>
      </c>
      <c r="B50" s="22"/>
      <c r="C50" s="10">
        <v>214380</v>
      </c>
      <c r="D50" s="10">
        <v>0</v>
      </c>
      <c r="E50" s="10">
        <v>51650</v>
      </c>
      <c r="F50" s="10">
        <v>0</v>
      </c>
      <c r="G50" s="10">
        <f>SUM(C50:F50)</f>
        <v>266030</v>
      </c>
      <c r="H50" s="16">
        <f>ROUND(G50/2880,2)</f>
        <v>92.37</v>
      </c>
      <c r="I50" s="9"/>
      <c r="J50" s="9"/>
    </row>
    <row r="51" spans="1:10" x14ac:dyDescent="0.25">
      <c r="A51" s="22" t="s">
        <v>56</v>
      </c>
      <c r="B51" s="22"/>
      <c r="C51" s="10">
        <v>0</v>
      </c>
      <c r="D51" s="10">
        <v>0</v>
      </c>
      <c r="E51" s="10">
        <v>0</v>
      </c>
      <c r="F51" s="10">
        <v>0</v>
      </c>
      <c r="G51" s="10">
        <f>SUM(C51:F51)</f>
        <v>0</v>
      </c>
      <c r="H51" s="16">
        <f>ROUND(G51/2880,2)</f>
        <v>0</v>
      </c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A56" s="27" t="s">
        <v>57</v>
      </c>
      <c r="B56" s="27"/>
      <c r="C56" s="14" t="s">
        <v>2</v>
      </c>
      <c r="D56" s="14">
        <v>2023</v>
      </c>
      <c r="E56" s="14" t="s">
        <v>59</v>
      </c>
      <c r="F56" s="13"/>
      <c r="G56" s="14" t="s">
        <v>60</v>
      </c>
      <c r="H56" s="14" t="s">
        <v>2</v>
      </c>
      <c r="I56" s="12" t="s">
        <v>61</v>
      </c>
      <c r="J56" s="12" t="s">
        <v>59</v>
      </c>
    </row>
    <row r="57" spans="1:10" x14ac:dyDescent="0.25">
      <c r="A57" s="22" t="s">
        <v>58</v>
      </c>
      <c r="B57" s="22"/>
      <c r="C57" s="15">
        <f>ROUND(0.7654, 4)</f>
        <v>0.76539999999999997</v>
      </c>
      <c r="D57" s="15">
        <f>ROUND(0.7477, 4)</f>
        <v>0.74770000000000003</v>
      </c>
      <c r="E57" s="15">
        <f>ROUND(0.777, 4)</f>
        <v>0.77700000000000002</v>
      </c>
      <c r="F57" s="8"/>
      <c r="G57" s="14" t="s">
        <v>62</v>
      </c>
      <c r="H57" s="28" t="s">
        <v>63</v>
      </c>
      <c r="I57" s="25" t="s">
        <v>64</v>
      </c>
      <c r="J57" s="25" t="s">
        <v>65</v>
      </c>
    </row>
    <row r="58" spans="1:10" x14ac:dyDescent="0.25">
      <c r="A58" s="22" t="s">
        <v>66</v>
      </c>
      <c r="B58" s="22"/>
      <c r="C58" s="15">
        <f>ROUND(0.7555, 4)</f>
        <v>0.75549999999999995</v>
      </c>
      <c r="D58" s="15">
        <f>ROUND(0.7374, 4)</f>
        <v>0.73740000000000006</v>
      </c>
      <c r="E58" s="15">
        <f>ROUND(0.7608, 4)</f>
        <v>0.76080000000000003</v>
      </c>
      <c r="F58" s="8"/>
      <c r="G58" s="14" t="s">
        <v>67</v>
      </c>
      <c r="H58" s="29"/>
      <c r="I58" s="26"/>
      <c r="J58" s="26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68</v>
      </c>
      <c r="B62" s="27"/>
      <c r="C62" s="14" t="s">
        <v>2</v>
      </c>
      <c r="D62" s="14" t="s">
        <v>91</v>
      </c>
      <c r="E62" s="14" t="s">
        <v>70</v>
      </c>
      <c r="F62" s="14" t="s">
        <v>71</v>
      </c>
      <c r="G62" s="14" t="s">
        <v>72</v>
      </c>
      <c r="H62" s="13"/>
      <c r="I62" s="17"/>
      <c r="J62" s="17"/>
    </row>
    <row r="63" spans="1:10" x14ac:dyDescent="0.25">
      <c r="A63" s="22" t="s">
        <v>73</v>
      </c>
      <c r="B63" s="22"/>
      <c r="C63" s="16">
        <v>74.44</v>
      </c>
      <c r="D63" s="16">
        <v>81</v>
      </c>
      <c r="E63" s="16">
        <v>92.53</v>
      </c>
      <c r="F63" s="16">
        <v>56.06</v>
      </c>
      <c r="G63" s="16">
        <f>12/11*C63</f>
        <v>81.207272727272724</v>
      </c>
      <c r="H63" s="8"/>
      <c r="I63" s="9"/>
      <c r="J63" s="9"/>
    </row>
    <row r="64" spans="1:10" x14ac:dyDescent="0.25">
      <c r="A64" s="22" t="s">
        <v>74</v>
      </c>
      <c r="B64" s="22"/>
      <c r="C64" s="16">
        <v>49.01</v>
      </c>
      <c r="D64" s="16">
        <v>55.57</v>
      </c>
      <c r="E64" s="16">
        <v>61.98</v>
      </c>
      <c r="F64" s="16">
        <v>64.09</v>
      </c>
      <c r="G64" s="16">
        <f>12/11*C64</f>
        <v>53.465454545454541</v>
      </c>
      <c r="H64" s="8"/>
      <c r="I64" s="9"/>
      <c r="J64" s="9"/>
    </row>
    <row r="65" spans="1:10" x14ac:dyDescent="0.25">
      <c r="A65" s="22" t="s">
        <v>75</v>
      </c>
      <c r="B65" s="22"/>
      <c r="C65" s="16">
        <v>244.86</v>
      </c>
      <c r="D65" s="16">
        <v>272.33</v>
      </c>
      <c r="E65" s="16">
        <v>291.51</v>
      </c>
      <c r="F65" s="16">
        <v>284.45</v>
      </c>
      <c r="G65" s="16">
        <f>12/11*C65</f>
        <v>267.12</v>
      </c>
      <c r="H65" s="8"/>
      <c r="I65" s="9"/>
      <c r="J65" s="9"/>
    </row>
    <row r="66" spans="1:10" x14ac:dyDescent="0.25">
      <c r="A66" s="22" t="s">
        <v>76</v>
      </c>
      <c r="B66" s="22"/>
      <c r="C66" s="16">
        <v>92.37</v>
      </c>
      <c r="D66" s="16">
        <v>102.55</v>
      </c>
      <c r="E66" s="16">
        <v>116.46</v>
      </c>
      <c r="F66" s="16">
        <v>79.959999999999994</v>
      </c>
      <c r="G66" s="16">
        <f>12/11*C66</f>
        <v>100.76727272727273</v>
      </c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23" t="s">
        <v>60</v>
      </c>
      <c r="B69" s="24"/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77</v>
      </c>
      <c r="B70" s="1" t="s">
        <v>92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70</v>
      </c>
      <c r="B71" s="1" t="s">
        <v>79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71</v>
      </c>
      <c r="B72" s="1" t="s">
        <v>80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72</v>
      </c>
      <c r="B73" s="1" t="s">
        <v>81</v>
      </c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  <row r="78" spans="1:10" x14ac:dyDescent="0.25">
      <c r="C78" s="8"/>
      <c r="D78" s="8"/>
      <c r="E78" s="8"/>
      <c r="F78" s="8"/>
      <c r="G78" s="8"/>
      <c r="H78" s="8"/>
      <c r="I78" s="9"/>
      <c r="J78" s="9"/>
    </row>
    <row r="79" spans="1:10" x14ac:dyDescent="0.25">
      <c r="C79" s="8"/>
      <c r="D79" s="8"/>
      <c r="E79" s="8"/>
      <c r="F79" s="8"/>
      <c r="G79" s="8"/>
      <c r="H79" s="8"/>
      <c r="I79" s="9"/>
      <c r="J79" s="9"/>
    </row>
  </sheetData>
  <mergeCells count="19">
    <mergeCell ref="C7:G7"/>
    <mergeCell ref="A42:B42"/>
    <mergeCell ref="A43:B43"/>
    <mergeCell ref="A48:B48"/>
    <mergeCell ref="A49:B49"/>
    <mergeCell ref="J57:J58"/>
    <mergeCell ref="A58:B58"/>
    <mergeCell ref="A62:B62"/>
    <mergeCell ref="A63:B63"/>
    <mergeCell ref="A50:B50"/>
    <mergeCell ref="A51:B51"/>
    <mergeCell ref="A56:B56"/>
    <mergeCell ref="A57:B57"/>
    <mergeCell ref="H57:H58"/>
    <mergeCell ref="A64:B64"/>
    <mergeCell ref="A65:B65"/>
    <mergeCell ref="A66:B66"/>
    <mergeCell ref="A69:B69"/>
    <mergeCell ref="I57:I5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J74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2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230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2781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84</v>
      </c>
      <c r="F9" s="10"/>
      <c r="G9" s="10">
        <f t="shared" ref="G9:G38" si="0">SUM(C9:F9)</f>
        <v>84</v>
      </c>
      <c r="H9" s="16">
        <f t="shared" ref="H9:H38" si="1">ROUND(G9/2781,2)</f>
        <v>0.03</v>
      </c>
      <c r="I9" s="15">
        <f t="shared" ref="I9:I38" si="2">ROUND(G9/$G$39,3)</f>
        <v>0</v>
      </c>
      <c r="J9" s="15"/>
    </row>
    <row r="10" spans="1:10" x14ac:dyDescent="0.25">
      <c r="A10" s="1" t="s">
        <v>16</v>
      </c>
      <c r="B10" s="1" t="s">
        <v>19</v>
      </c>
      <c r="C10" s="10">
        <v>82900</v>
      </c>
      <c r="D10" s="10"/>
      <c r="E10" s="10"/>
      <c r="F10" s="10"/>
      <c r="G10" s="10">
        <f t="shared" si="0"/>
        <v>82900</v>
      </c>
      <c r="H10" s="16">
        <f t="shared" si="1"/>
        <v>29.81</v>
      </c>
      <c r="I10" s="15">
        <f t="shared" si="2"/>
        <v>8.2000000000000003E-2</v>
      </c>
      <c r="J10" s="15">
        <f>ROUND(G10/74660-1,2)</f>
        <v>0.11</v>
      </c>
    </row>
    <row r="11" spans="1:10" x14ac:dyDescent="0.25">
      <c r="A11" s="1" t="s">
        <v>16</v>
      </c>
      <c r="B11" s="1" t="s">
        <v>20</v>
      </c>
      <c r="C11" s="10">
        <v>104620</v>
      </c>
      <c r="D11" s="10"/>
      <c r="E11" s="10"/>
      <c r="F11" s="10"/>
      <c r="G11" s="10">
        <f t="shared" si="0"/>
        <v>104620</v>
      </c>
      <c r="H11" s="16">
        <f t="shared" si="1"/>
        <v>37.619999999999997</v>
      </c>
      <c r="I11" s="15">
        <f t="shared" si="2"/>
        <v>0.10299999999999999</v>
      </c>
      <c r="J11" s="15">
        <f>ROUND(G11/102100-1,2)</f>
        <v>0.02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169</v>
      </c>
      <c r="F12" s="10"/>
      <c r="G12" s="10">
        <f t="shared" si="0"/>
        <v>169</v>
      </c>
      <c r="H12" s="16">
        <f t="shared" si="1"/>
        <v>0.06</v>
      </c>
      <c r="I12" s="15">
        <f t="shared" si="2"/>
        <v>0</v>
      </c>
      <c r="J12" s="15">
        <f>ROUND(G12/145-1,2)</f>
        <v>0.17</v>
      </c>
    </row>
    <row r="13" spans="1:10" x14ac:dyDescent="0.25">
      <c r="A13" s="1" t="s">
        <v>16</v>
      </c>
      <c r="B13" s="1" t="s">
        <v>23</v>
      </c>
      <c r="C13" s="10"/>
      <c r="D13" s="10"/>
      <c r="E13" s="10">
        <v>36460</v>
      </c>
      <c r="F13" s="10"/>
      <c r="G13" s="10">
        <f t="shared" si="0"/>
        <v>36460</v>
      </c>
      <c r="H13" s="16">
        <f t="shared" si="1"/>
        <v>13.11</v>
      </c>
      <c r="I13" s="15">
        <f t="shared" si="2"/>
        <v>3.5999999999999997E-2</v>
      </c>
      <c r="J13" s="15">
        <f>ROUND(G13/40200-1,2)</f>
        <v>-0.09</v>
      </c>
    </row>
    <row r="14" spans="1:10" x14ac:dyDescent="0.25">
      <c r="A14" s="1" t="s">
        <v>16</v>
      </c>
      <c r="B14" s="1" t="s">
        <v>24</v>
      </c>
      <c r="C14" s="10">
        <v>106260</v>
      </c>
      <c r="D14" s="10"/>
      <c r="E14" s="10"/>
      <c r="F14" s="10"/>
      <c r="G14" s="10">
        <f t="shared" si="0"/>
        <v>106260</v>
      </c>
      <c r="H14" s="16">
        <f t="shared" si="1"/>
        <v>38.21</v>
      </c>
      <c r="I14" s="15">
        <f t="shared" si="2"/>
        <v>0.105</v>
      </c>
      <c r="J14" s="15">
        <f>ROUND(G14/110860-1,2)</f>
        <v>-0.04</v>
      </c>
    </row>
    <row r="15" spans="1:10" x14ac:dyDescent="0.25">
      <c r="A15" s="1" t="s">
        <v>16</v>
      </c>
      <c r="B15" s="1" t="s">
        <v>25</v>
      </c>
      <c r="C15" s="10"/>
      <c r="D15" s="10"/>
      <c r="E15" s="10">
        <v>3840</v>
      </c>
      <c r="F15" s="10"/>
      <c r="G15" s="10">
        <f t="shared" si="0"/>
        <v>3840</v>
      </c>
      <c r="H15" s="16">
        <f t="shared" si="1"/>
        <v>1.38</v>
      </c>
      <c r="I15" s="15">
        <f t="shared" si="2"/>
        <v>4.0000000000000001E-3</v>
      </c>
      <c r="J15" s="15">
        <f>ROUND(G15/5610-1,2)</f>
        <v>-0.32</v>
      </c>
    </row>
    <row r="16" spans="1:10" x14ac:dyDescent="0.25">
      <c r="A16" s="1" t="s">
        <v>16</v>
      </c>
      <c r="B16" s="1" t="s">
        <v>26</v>
      </c>
      <c r="C16" s="10">
        <v>182650</v>
      </c>
      <c r="D16" s="10"/>
      <c r="E16" s="10"/>
      <c r="F16" s="10">
        <v>80</v>
      </c>
      <c r="G16" s="10">
        <f t="shared" si="0"/>
        <v>182730</v>
      </c>
      <c r="H16" s="16">
        <f t="shared" si="1"/>
        <v>65.709999999999994</v>
      </c>
      <c r="I16" s="15">
        <f t="shared" si="2"/>
        <v>0.18099999999999999</v>
      </c>
      <c r="J16" s="15">
        <f>ROUND(G16/181090-1,2)</f>
        <v>0.01</v>
      </c>
    </row>
    <row r="17" spans="1:10" x14ac:dyDescent="0.25">
      <c r="A17" s="1" t="s">
        <v>16</v>
      </c>
      <c r="B17" s="1" t="s">
        <v>29</v>
      </c>
      <c r="C17" s="10"/>
      <c r="D17" s="10"/>
      <c r="E17" s="10">
        <v>1650</v>
      </c>
      <c r="F17" s="10"/>
      <c r="G17" s="10">
        <f t="shared" si="0"/>
        <v>1650</v>
      </c>
      <c r="H17" s="16">
        <f t="shared" si="1"/>
        <v>0.59</v>
      </c>
      <c r="I17" s="15">
        <f t="shared" si="2"/>
        <v>2E-3</v>
      </c>
      <c r="J17" s="15">
        <f>ROUND(G17/2570-1,2)</f>
        <v>-0.36</v>
      </c>
    </row>
    <row r="18" spans="1:10" x14ac:dyDescent="0.25">
      <c r="A18" s="1" t="s">
        <v>16</v>
      </c>
      <c r="B18" s="1" t="s">
        <v>30</v>
      </c>
      <c r="C18" s="10"/>
      <c r="D18" s="10"/>
      <c r="E18" s="10">
        <v>830</v>
      </c>
      <c r="F18" s="10"/>
      <c r="G18" s="10">
        <f t="shared" si="0"/>
        <v>830</v>
      </c>
      <c r="H18" s="16">
        <f t="shared" si="1"/>
        <v>0.3</v>
      </c>
      <c r="I18" s="15">
        <f t="shared" si="2"/>
        <v>1E-3</v>
      </c>
      <c r="J18" s="15">
        <f>ROUND(G18/880-1,2)</f>
        <v>-0.06</v>
      </c>
    </row>
    <row r="19" spans="1:10" x14ac:dyDescent="0.25">
      <c r="A19" s="1" t="s">
        <v>16</v>
      </c>
      <c r="B19" s="1" t="s">
        <v>32</v>
      </c>
      <c r="C19" s="10"/>
      <c r="D19" s="10"/>
      <c r="E19" s="10">
        <v>1885</v>
      </c>
      <c r="F19" s="10"/>
      <c r="G19" s="10">
        <f t="shared" si="0"/>
        <v>1885</v>
      </c>
      <c r="H19" s="16">
        <f t="shared" si="1"/>
        <v>0.68</v>
      </c>
      <c r="I19" s="15">
        <f t="shared" si="2"/>
        <v>2E-3</v>
      </c>
      <c r="J19" s="15">
        <f>ROUND(G19/1440-1,2)</f>
        <v>0.31</v>
      </c>
    </row>
    <row r="20" spans="1:10" x14ac:dyDescent="0.25">
      <c r="A20" s="1" t="s">
        <v>16</v>
      </c>
      <c r="B20" s="1" t="s">
        <v>33</v>
      </c>
      <c r="C20" s="10"/>
      <c r="D20" s="10">
        <v>179</v>
      </c>
      <c r="E20" s="10">
        <v>50</v>
      </c>
      <c r="F20" s="10"/>
      <c r="G20" s="10">
        <f t="shared" si="0"/>
        <v>229</v>
      </c>
      <c r="H20" s="16">
        <f t="shared" si="1"/>
        <v>0.08</v>
      </c>
      <c r="I20" s="15">
        <f t="shared" si="2"/>
        <v>0</v>
      </c>
      <c r="J20" s="15">
        <f>ROUND(G20/221-1,2)</f>
        <v>0.04</v>
      </c>
    </row>
    <row r="21" spans="1:10" x14ac:dyDescent="0.25">
      <c r="A21" s="1" t="s">
        <v>16</v>
      </c>
      <c r="B21" s="1" t="s">
        <v>34</v>
      </c>
      <c r="C21" s="10"/>
      <c r="D21" s="10"/>
      <c r="E21" s="10">
        <v>900</v>
      </c>
      <c r="F21" s="10"/>
      <c r="G21" s="10">
        <f t="shared" si="0"/>
        <v>900</v>
      </c>
      <c r="H21" s="16">
        <f t="shared" si="1"/>
        <v>0.32</v>
      </c>
      <c r="I21" s="15">
        <f t="shared" si="2"/>
        <v>1E-3</v>
      </c>
      <c r="J21" s="15">
        <f>ROUND(G21/970-1,2)</f>
        <v>-7.0000000000000007E-2</v>
      </c>
    </row>
    <row r="22" spans="1:10" x14ac:dyDescent="0.25">
      <c r="A22" s="1" t="s">
        <v>16</v>
      </c>
      <c r="B22" s="1" t="s">
        <v>35</v>
      </c>
      <c r="C22" s="10"/>
      <c r="D22" s="10">
        <v>100</v>
      </c>
      <c r="E22" s="10"/>
      <c r="F22" s="10"/>
      <c r="G22" s="10">
        <f t="shared" si="0"/>
        <v>100</v>
      </c>
      <c r="H22" s="16">
        <f t="shared" si="1"/>
        <v>0.04</v>
      </c>
      <c r="I22" s="15">
        <f t="shared" si="2"/>
        <v>0</v>
      </c>
      <c r="J22" s="15">
        <f>ROUND(G22/350-1,2)</f>
        <v>-0.71</v>
      </c>
    </row>
    <row r="23" spans="1:10" x14ac:dyDescent="0.25">
      <c r="A23" s="1" t="s">
        <v>16</v>
      </c>
      <c r="B23" s="1" t="s">
        <v>37</v>
      </c>
      <c r="C23" s="10"/>
      <c r="D23" s="10"/>
      <c r="E23" s="10">
        <v>1790</v>
      </c>
      <c r="F23" s="10"/>
      <c r="G23" s="10">
        <f t="shared" si="0"/>
        <v>1790</v>
      </c>
      <c r="H23" s="16">
        <f t="shared" si="1"/>
        <v>0.64</v>
      </c>
      <c r="I23" s="15">
        <f t="shared" si="2"/>
        <v>2E-3</v>
      </c>
      <c r="J23" s="15">
        <f>ROUND(G23/1630-1,2)</f>
        <v>0.1</v>
      </c>
    </row>
    <row r="24" spans="1:10" x14ac:dyDescent="0.25">
      <c r="A24" s="1" t="s">
        <v>16</v>
      </c>
      <c r="B24" s="1" t="s">
        <v>43</v>
      </c>
      <c r="C24" s="10"/>
      <c r="D24" s="10"/>
      <c r="E24" s="10">
        <v>2450</v>
      </c>
      <c r="F24" s="10"/>
      <c r="G24" s="10">
        <f t="shared" si="0"/>
        <v>2450</v>
      </c>
      <c r="H24" s="16">
        <f t="shared" si="1"/>
        <v>0.88</v>
      </c>
      <c r="I24" s="15">
        <f t="shared" si="2"/>
        <v>2E-3</v>
      </c>
      <c r="J24" s="15">
        <f>ROUND(G24/5937-1,2)</f>
        <v>-0.59</v>
      </c>
    </row>
    <row r="25" spans="1:10" x14ac:dyDescent="0.25">
      <c r="A25" s="1" t="s">
        <v>16</v>
      </c>
      <c r="B25" s="1" t="s">
        <v>38</v>
      </c>
      <c r="C25" s="10"/>
      <c r="D25" s="10"/>
      <c r="E25" s="10">
        <v>58340</v>
      </c>
      <c r="F25" s="10"/>
      <c r="G25" s="10">
        <f t="shared" si="0"/>
        <v>58340</v>
      </c>
      <c r="H25" s="16">
        <f t="shared" si="1"/>
        <v>20.98</v>
      </c>
      <c r="I25" s="15">
        <f t="shared" si="2"/>
        <v>5.8000000000000003E-2</v>
      </c>
      <c r="J25" s="15">
        <f>ROUND(G25/46830-1,2)</f>
        <v>0.25</v>
      </c>
    </row>
    <row r="26" spans="1:10" x14ac:dyDescent="0.25">
      <c r="A26" s="1" t="s">
        <v>16</v>
      </c>
      <c r="B26" s="1" t="s">
        <v>40</v>
      </c>
      <c r="C26" s="10"/>
      <c r="D26" s="10"/>
      <c r="E26" s="10">
        <v>18180</v>
      </c>
      <c r="F26" s="10"/>
      <c r="G26" s="10">
        <f t="shared" si="0"/>
        <v>18180</v>
      </c>
      <c r="H26" s="16">
        <f t="shared" si="1"/>
        <v>6.54</v>
      </c>
      <c r="I26" s="15">
        <f t="shared" si="2"/>
        <v>1.7999999999999999E-2</v>
      </c>
      <c r="J26" s="15">
        <f>ROUND(G26/16350-1,2)</f>
        <v>0.11</v>
      </c>
    </row>
    <row r="27" spans="1:10" x14ac:dyDescent="0.25">
      <c r="A27" s="1" t="s">
        <v>16</v>
      </c>
      <c r="B27" s="1" t="s">
        <v>41</v>
      </c>
      <c r="C27" s="10"/>
      <c r="D27" s="10"/>
      <c r="E27" s="10">
        <v>80390</v>
      </c>
      <c r="F27" s="10">
        <v>4900</v>
      </c>
      <c r="G27" s="10">
        <f t="shared" si="0"/>
        <v>85290</v>
      </c>
      <c r="H27" s="16">
        <f t="shared" si="1"/>
        <v>30.67</v>
      </c>
      <c r="I27" s="15">
        <f t="shared" si="2"/>
        <v>8.4000000000000005E-2</v>
      </c>
      <c r="J27" s="15">
        <f>ROUND(G27/80430-1,2)</f>
        <v>0.06</v>
      </c>
    </row>
    <row r="28" spans="1:10" x14ac:dyDescent="0.25">
      <c r="A28" s="1" t="s">
        <v>16</v>
      </c>
      <c r="B28" s="1" t="s">
        <v>36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ROUND(G28/2190-1,2)</f>
        <v>-1</v>
      </c>
    </row>
    <row r="29" spans="1:10" x14ac:dyDescent="0.25">
      <c r="A29" s="1" t="s">
        <v>16</v>
      </c>
      <c r="B29" s="1" t="s">
        <v>42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ROUND(G29/39-1,2)</f>
        <v>-1</v>
      </c>
    </row>
    <row r="30" spans="1:10" x14ac:dyDescent="0.25">
      <c r="A30" s="1" t="s">
        <v>16</v>
      </c>
      <c r="B30" s="1" t="s">
        <v>39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/>
    </row>
    <row r="31" spans="1:10" x14ac:dyDescent="0.25">
      <c r="A31" s="1" t="s">
        <v>16</v>
      </c>
      <c r="B31" s="1" t="s">
        <v>31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ROUND(G31/450-1,2)</f>
        <v>-1</v>
      </c>
    </row>
    <row r="32" spans="1:10" x14ac:dyDescent="0.25">
      <c r="A32" s="1" t="s">
        <v>16</v>
      </c>
      <c r="B32" s="1" t="s">
        <v>22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44</v>
      </c>
      <c r="B33" s="1" t="s">
        <v>45</v>
      </c>
      <c r="C33" s="10">
        <v>270400</v>
      </c>
      <c r="D33" s="10"/>
      <c r="E33" s="10"/>
      <c r="F33" s="10"/>
      <c r="G33" s="10">
        <f t="shared" si="0"/>
        <v>270400</v>
      </c>
      <c r="H33" s="16">
        <f t="shared" si="1"/>
        <v>97.23</v>
      </c>
      <c r="I33" s="15">
        <f t="shared" si="2"/>
        <v>0.26700000000000002</v>
      </c>
      <c r="J33" s="15">
        <f>ROUND(G33/249700-1,2)</f>
        <v>0.08</v>
      </c>
    </row>
    <row r="34" spans="1:10" x14ac:dyDescent="0.25">
      <c r="A34" s="1" t="s">
        <v>44</v>
      </c>
      <c r="B34" s="1" t="s">
        <v>47</v>
      </c>
      <c r="C34" s="10"/>
      <c r="D34" s="10"/>
      <c r="E34" s="10"/>
      <c r="F34" s="10">
        <v>16050</v>
      </c>
      <c r="G34" s="10">
        <f t="shared" si="0"/>
        <v>16050</v>
      </c>
      <c r="H34" s="16">
        <f t="shared" si="1"/>
        <v>5.77</v>
      </c>
      <c r="I34" s="15">
        <f t="shared" si="2"/>
        <v>1.6E-2</v>
      </c>
      <c r="J34" s="15">
        <f>ROUND(G34/11100-1,2)</f>
        <v>0.45</v>
      </c>
    </row>
    <row r="35" spans="1:10" x14ac:dyDescent="0.25">
      <c r="A35" s="1" t="s">
        <v>44</v>
      </c>
      <c r="B35" s="1" t="s">
        <v>46</v>
      </c>
      <c r="C35" s="10"/>
      <c r="D35" s="10"/>
      <c r="E35" s="10">
        <v>36060</v>
      </c>
      <c r="F35" s="10"/>
      <c r="G35" s="10">
        <f t="shared" si="0"/>
        <v>36060</v>
      </c>
      <c r="H35" s="16">
        <f t="shared" si="1"/>
        <v>12.97</v>
      </c>
      <c r="I35" s="15">
        <f t="shared" si="2"/>
        <v>3.5999999999999997E-2</v>
      </c>
      <c r="J35" s="15">
        <f>ROUND(G35/35920-1,2)</f>
        <v>0</v>
      </c>
    </row>
    <row r="36" spans="1:10" x14ac:dyDescent="0.25">
      <c r="A36" s="1" t="s">
        <v>48</v>
      </c>
      <c r="B36" s="1" t="s">
        <v>51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48</v>
      </c>
      <c r="B37" s="1" t="s">
        <v>94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48</v>
      </c>
      <c r="B38" s="1" t="s">
        <v>50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27" t="s">
        <v>12</v>
      </c>
      <c r="B39" s="27"/>
      <c r="C39" s="11">
        <f t="shared" ref="C39:H39" si="3">SUM(C8:C38)</f>
        <v>746830</v>
      </c>
      <c r="D39" s="11">
        <f t="shared" si="3"/>
        <v>279</v>
      </c>
      <c r="E39" s="11">
        <f t="shared" si="3"/>
        <v>243078</v>
      </c>
      <c r="F39" s="11">
        <f t="shared" si="3"/>
        <v>21030</v>
      </c>
      <c r="G39" s="11">
        <f t="shared" si="3"/>
        <v>1011217</v>
      </c>
      <c r="H39" s="14">
        <f t="shared" si="3"/>
        <v>363.62</v>
      </c>
      <c r="I39" s="17"/>
      <c r="J39" s="17"/>
    </row>
    <row r="40" spans="1:10" x14ac:dyDescent="0.25">
      <c r="A40" s="27" t="s">
        <v>14</v>
      </c>
      <c r="B40" s="27"/>
      <c r="C40" s="12">
        <f>ROUND(C39/G39,2)</f>
        <v>0.74</v>
      </c>
      <c r="D40" s="12">
        <f>ROUND(D39/G39,2)</f>
        <v>0</v>
      </c>
      <c r="E40" s="12">
        <f>ROUND(E39/G39,2)</f>
        <v>0.24</v>
      </c>
      <c r="F40" s="12">
        <f>ROUND(F39/G39,2)</f>
        <v>0.02</v>
      </c>
      <c r="G40" s="13"/>
      <c r="H40" s="13"/>
      <c r="I40" s="17"/>
      <c r="J40" s="17"/>
    </row>
    <row r="41" spans="1:10" x14ac:dyDescent="0.25">
      <c r="A41" s="2" t="s">
        <v>52</v>
      </c>
      <c r="B41" s="2"/>
      <c r="C41" s="13"/>
      <c r="D41" s="13"/>
      <c r="E41" s="13"/>
      <c r="F41" s="13"/>
      <c r="G41" s="13"/>
      <c r="H41" s="13"/>
      <c r="I41" s="17"/>
      <c r="J41" s="17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A45" s="27" t="s">
        <v>53</v>
      </c>
      <c r="B45" s="27"/>
      <c r="C45" s="11" t="s">
        <v>8</v>
      </c>
      <c r="D45" s="11" t="s">
        <v>9</v>
      </c>
      <c r="E45" s="11" t="s">
        <v>10</v>
      </c>
      <c r="F45" s="11" t="s">
        <v>11</v>
      </c>
      <c r="G45" s="11" t="s">
        <v>12</v>
      </c>
      <c r="H45" s="14" t="s">
        <v>13</v>
      </c>
      <c r="I45" s="17"/>
      <c r="J45" s="17"/>
    </row>
    <row r="46" spans="1:10" x14ac:dyDescent="0.25">
      <c r="A46" s="22" t="s">
        <v>54</v>
      </c>
      <c r="B46" s="22"/>
      <c r="C46" s="10">
        <v>476430</v>
      </c>
      <c r="D46" s="10">
        <v>279</v>
      </c>
      <c r="E46" s="10">
        <v>207018</v>
      </c>
      <c r="F46" s="10">
        <v>4980</v>
      </c>
      <c r="G46" s="10">
        <f>SUM(C46:F46)</f>
        <v>688707</v>
      </c>
      <c r="H46" s="16">
        <f>ROUND(G46/2781,2)</f>
        <v>247.65</v>
      </c>
      <c r="I46" s="9"/>
      <c r="J46" s="9"/>
    </row>
    <row r="47" spans="1:10" x14ac:dyDescent="0.25">
      <c r="A47" s="22" t="s">
        <v>55</v>
      </c>
      <c r="B47" s="22"/>
      <c r="C47" s="10">
        <v>270400</v>
      </c>
      <c r="D47" s="10">
        <v>0</v>
      </c>
      <c r="E47" s="10">
        <v>36060</v>
      </c>
      <c r="F47" s="10">
        <v>16050</v>
      </c>
      <c r="G47" s="10">
        <f>SUM(C47:F47)</f>
        <v>322510</v>
      </c>
      <c r="H47" s="16">
        <f>ROUND(G47/2781,2)</f>
        <v>115.97</v>
      </c>
      <c r="I47" s="9"/>
      <c r="J47" s="9"/>
    </row>
    <row r="48" spans="1:10" x14ac:dyDescent="0.25">
      <c r="A48" s="22" t="s">
        <v>56</v>
      </c>
      <c r="B48" s="22"/>
      <c r="C48" s="10">
        <v>0</v>
      </c>
      <c r="D48" s="10">
        <v>0</v>
      </c>
      <c r="E48" s="10">
        <v>0</v>
      </c>
      <c r="F48" s="10">
        <v>0</v>
      </c>
      <c r="G48" s="10">
        <f>SUM(C48:F48)</f>
        <v>0</v>
      </c>
      <c r="H48" s="16">
        <f>ROUND(G48/2781,2)</f>
        <v>0</v>
      </c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A53" s="27" t="s">
        <v>57</v>
      </c>
      <c r="B53" s="27"/>
      <c r="C53" s="14" t="s">
        <v>2</v>
      </c>
      <c r="D53" s="14">
        <v>2023</v>
      </c>
      <c r="E53" s="14" t="s">
        <v>59</v>
      </c>
      <c r="F53" s="13"/>
      <c r="G53" s="14" t="s">
        <v>60</v>
      </c>
      <c r="H53" s="14" t="s">
        <v>2</v>
      </c>
      <c r="I53" s="12" t="s">
        <v>61</v>
      </c>
      <c r="J53" s="12" t="s">
        <v>59</v>
      </c>
    </row>
    <row r="54" spans="1:10" x14ac:dyDescent="0.25">
      <c r="A54" s="22" t="s">
        <v>58</v>
      </c>
      <c r="B54" s="22"/>
      <c r="C54" s="15">
        <f>ROUND(0.7197, 4)</f>
        <v>0.71970000000000001</v>
      </c>
      <c r="D54" s="15">
        <f>ROUND(0.7269, 4)</f>
        <v>0.72689999999999999</v>
      </c>
      <c r="E54" s="15">
        <f>ROUND(0.777, 4)</f>
        <v>0.77700000000000002</v>
      </c>
      <c r="F54" s="8"/>
      <c r="G54" s="14" t="s">
        <v>62</v>
      </c>
      <c r="H54" s="28" t="s">
        <v>63</v>
      </c>
      <c r="I54" s="25" t="s">
        <v>64</v>
      </c>
      <c r="J54" s="25" t="s">
        <v>65</v>
      </c>
    </row>
    <row r="55" spans="1:10" x14ac:dyDescent="0.25">
      <c r="A55" s="22" t="s">
        <v>66</v>
      </c>
      <c r="B55" s="22"/>
      <c r="C55" s="15">
        <f>ROUND(0.7088, 4)</f>
        <v>0.70879999999999999</v>
      </c>
      <c r="D55" s="15">
        <f>ROUND(0.7162, 4)</f>
        <v>0.71619999999999995</v>
      </c>
      <c r="E55" s="15">
        <f>ROUND(0.7608, 4)</f>
        <v>0.76080000000000003</v>
      </c>
      <c r="F55" s="8"/>
      <c r="G55" s="14" t="s">
        <v>67</v>
      </c>
      <c r="H55" s="29"/>
      <c r="I55" s="26"/>
      <c r="J55" s="26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68</v>
      </c>
      <c r="B59" s="27"/>
      <c r="C59" s="14" t="s">
        <v>2</v>
      </c>
      <c r="D59" s="14" t="s">
        <v>231</v>
      </c>
      <c r="E59" s="14" t="s">
        <v>70</v>
      </c>
      <c r="F59" s="14" t="s">
        <v>71</v>
      </c>
      <c r="G59" s="14" t="s">
        <v>72</v>
      </c>
      <c r="H59" s="13"/>
      <c r="I59" s="17"/>
      <c r="J59" s="17"/>
    </row>
    <row r="60" spans="1:10" x14ac:dyDescent="0.25">
      <c r="A60" s="22" t="s">
        <v>73</v>
      </c>
      <c r="B60" s="22"/>
      <c r="C60" s="16">
        <v>97.23</v>
      </c>
      <c r="D60" s="16">
        <v>94.97</v>
      </c>
      <c r="E60" s="16">
        <v>92.53</v>
      </c>
      <c r="F60" s="16">
        <v>56.06</v>
      </c>
      <c r="G60" s="16">
        <f>12/11*C60</f>
        <v>106.0690909090909</v>
      </c>
      <c r="H60" s="8"/>
      <c r="I60" s="9"/>
      <c r="J60" s="9"/>
    </row>
    <row r="61" spans="1:10" x14ac:dyDescent="0.25">
      <c r="A61" s="22" t="s">
        <v>74</v>
      </c>
      <c r="B61" s="22"/>
      <c r="C61" s="16">
        <v>65.709999999999994</v>
      </c>
      <c r="D61" s="16">
        <v>69.7</v>
      </c>
      <c r="E61" s="16">
        <v>61.98</v>
      </c>
      <c r="F61" s="16">
        <v>64.09</v>
      </c>
      <c r="G61" s="16">
        <f>12/11*C61</f>
        <v>71.683636363636353</v>
      </c>
      <c r="H61" s="8"/>
      <c r="I61" s="9"/>
      <c r="J61" s="9"/>
    </row>
    <row r="62" spans="1:10" x14ac:dyDescent="0.25">
      <c r="A62" s="22" t="s">
        <v>75</v>
      </c>
      <c r="B62" s="22"/>
      <c r="C62" s="16">
        <v>247.65</v>
      </c>
      <c r="D62" s="16">
        <v>276.07</v>
      </c>
      <c r="E62" s="16">
        <v>291.51</v>
      </c>
      <c r="F62" s="16">
        <v>284.45</v>
      </c>
      <c r="G62" s="16">
        <f>12/11*C62</f>
        <v>270.16363636363633</v>
      </c>
      <c r="H62" s="8"/>
      <c r="I62" s="9"/>
      <c r="J62" s="9"/>
    </row>
    <row r="63" spans="1:10" x14ac:dyDescent="0.25">
      <c r="A63" s="22" t="s">
        <v>76</v>
      </c>
      <c r="B63" s="22"/>
      <c r="C63" s="16">
        <v>115.97</v>
      </c>
      <c r="D63" s="16">
        <v>115.4</v>
      </c>
      <c r="E63" s="16">
        <v>116.46</v>
      </c>
      <c r="F63" s="16">
        <v>79.959999999999994</v>
      </c>
      <c r="G63" s="16">
        <f>12/11*C63</f>
        <v>126.51272727272726</v>
      </c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3" t="s">
        <v>60</v>
      </c>
      <c r="B66" s="24"/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77</v>
      </c>
      <c r="B67" s="1" t="s">
        <v>232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70</v>
      </c>
      <c r="B68" s="1" t="s">
        <v>79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71</v>
      </c>
      <c r="B69" s="1" t="s">
        <v>80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72</v>
      </c>
      <c r="B70" s="1" t="s">
        <v>81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</sheetData>
  <mergeCells count="19">
    <mergeCell ref="C7:G7"/>
    <mergeCell ref="A39:B39"/>
    <mergeCell ref="A40:B40"/>
    <mergeCell ref="A45:B45"/>
    <mergeCell ref="A46:B46"/>
    <mergeCell ref="J54:J55"/>
    <mergeCell ref="A55:B55"/>
    <mergeCell ref="A59:B59"/>
    <mergeCell ref="A60:B60"/>
    <mergeCell ref="A47:B47"/>
    <mergeCell ref="A48:B48"/>
    <mergeCell ref="A53:B53"/>
    <mergeCell ref="A54:B54"/>
    <mergeCell ref="H54:H55"/>
    <mergeCell ref="A61:B61"/>
    <mergeCell ref="A62:B62"/>
    <mergeCell ref="A63:B63"/>
    <mergeCell ref="A66:B66"/>
    <mergeCell ref="I54:I5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J77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0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233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1724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37</v>
      </c>
      <c r="F9" s="10"/>
      <c r="G9" s="10">
        <f t="shared" ref="G9:G42" si="0">SUM(C9:F9)</f>
        <v>37</v>
      </c>
      <c r="H9" s="16">
        <f t="shared" ref="H9:H42" si="1">ROUND(G9/1724,2)</f>
        <v>0.02</v>
      </c>
      <c r="I9" s="15">
        <f t="shared" ref="I9:I42" si="2">ROUND(G9/$G$43,3)</f>
        <v>0</v>
      </c>
      <c r="J9" s="15">
        <f>ROUND(G9/45-1,2)</f>
        <v>-0.18</v>
      </c>
    </row>
    <row r="10" spans="1:10" x14ac:dyDescent="0.25">
      <c r="A10" s="1" t="s">
        <v>16</v>
      </c>
      <c r="B10" s="1" t="s">
        <v>19</v>
      </c>
      <c r="C10" s="10">
        <v>41690</v>
      </c>
      <c r="D10" s="10"/>
      <c r="E10" s="10">
        <v>4962</v>
      </c>
      <c r="F10" s="10">
        <v>440</v>
      </c>
      <c r="G10" s="10">
        <f t="shared" si="0"/>
        <v>47092</v>
      </c>
      <c r="H10" s="16">
        <f t="shared" si="1"/>
        <v>27.32</v>
      </c>
      <c r="I10" s="15">
        <f t="shared" si="2"/>
        <v>7.9000000000000001E-2</v>
      </c>
      <c r="J10" s="15">
        <f>ROUND(G10/48722.8-1,2)</f>
        <v>-0.03</v>
      </c>
    </row>
    <row r="11" spans="1:10" x14ac:dyDescent="0.25">
      <c r="A11" s="1" t="s">
        <v>16</v>
      </c>
      <c r="B11" s="1" t="s">
        <v>20</v>
      </c>
      <c r="C11" s="10">
        <v>67660</v>
      </c>
      <c r="D11" s="10"/>
      <c r="E11" s="10"/>
      <c r="F11" s="10"/>
      <c r="G11" s="10">
        <f t="shared" si="0"/>
        <v>67660</v>
      </c>
      <c r="H11" s="16">
        <f t="shared" si="1"/>
        <v>39.25</v>
      </c>
      <c r="I11" s="15">
        <f t="shared" si="2"/>
        <v>0.113</v>
      </c>
      <c r="J11" s="15">
        <f>ROUND(G11/69030-1,2)</f>
        <v>-0.02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183</v>
      </c>
      <c r="F12" s="10"/>
      <c r="G12" s="10">
        <f t="shared" si="0"/>
        <v>183</v>
      </c>
      <c r="H12" s="16">
        <f t="shared" si="1"/>
        <v>0.11</v>
      </c>
      <c r="I12" s="15">
        <f t="shared" si="2"/>
        <v>0</v>
      </c>
      <c r="J12" s="15">
        <f>ROUND(G12/586.96-1,2)</f>
        <v>-0.69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627</v>
      </c>
      <c r="F13" s="10"/>
      <c r="G13" s="10">
        <f t="shared" si="0"/>
        <v>627</v>
      </c>
      <c r="H13" s="16">
        <f t="shared" si="1"/>
        <v>0.36</v>
      </c>
      <c r="I13" s="15">
        <f t="shared" si="2"/>
        <v>1E-3</v>
      </c>
      <c r="J13" s="15">
        <f>ROUND(G13/240-1,2)</f>
        <v>1.61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98877</v>
      </c>
      <c r="F14" s="10"/>
      <c r="G14" s="10">
        <f t="shared" si="0"/>
        <v>98877</v>
      </c>
      <c r="H14" s="16">
        <f t="shared" si="1"/>
        <v>57.35</v>
      </c>
      <c r="I14" s="15">
        <f t="shared" si="2"/>
        <v>0.16500000000000001</v>
      </c>
      <c r="J14" s="15">
        <f>ROUND(G14/121227.99-1,2)</f>
        <v>-0.18</v>
      </c>
    </row>
    <row r="15" spans="1:10" x14ac:dyDescent="0.25">
      <c r="A15" s="1" t="s">
        <v>16</v>
      </c>
      <c r="B15" s="1" t="s">
        <v>24</v>
      </c>
      <c r="C15" s="10">
        <v>58760</v>
      </c>
      <c r="D15" s="10"/>
      <c r="E15" s="10">
        <v>16367</v>
      </c>
      <c r="F15" s="10">
        <v>120</v>
      </c>
      <c r="G15" s="10">
        <f t="shared" si="0"/>
        <v>75247</v>
      </c>
      <c r="H15" s="16">
        <f t="shared" si="1"/>
        <v>43.65</v>
      </c>
      <c r="I15" s="15">
        <f t="shared" si="2"/>
        <v>0.126</v>
      </c>
      <c r="J15" s="15">
        <f>ROUND(G15/74867.18-1,2)</f>
        <v>0.01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3100</v>
      </c>
      <c r="F16" s="10"/>
      <c r="G16" s="10">
        <f t="shared" si="0"/>
        <v>3100</v>
      </c>
      <c r="H16" s="16">
        <f t="shared" si="1"/>
        <v>1.8</v>
      </c>
      <c r="I16" s="15">
        <f t="shared" si="2"/>
        <v>5.0000000000000001E-3</v>
      </c>
      <c r="J16" s="15">
        <f>ROUND(G16/6355-1,2)</f>
        <v>-0.51</v>
      </c>
    </row>
    <row r="17" spans="1:10" x14ac:dyDescent="0.25">
      <c r="A17" s="1" t="s">
        <v>16</v>
      </c>
      <c r="B17" s="1" t="s">
        <v>26</v>
      </c>
      <c r="C17" s="10">
        <v>42820</v>
      </c>
      <c r="D17" s="10"/>
      <c r="E17" s="10"/>
      <c r="F17" s="10">
        <v>120</v>
      </c>
      <c r="G17" s="10">
        <f t="shared" si="0"/>
        <v>42940</v>
      </c>
      <c r="H17" s="16">
        <f t="shared" si="1"/>
        <v>24.91</v>
      </c>
      <c r="I17" s="15">
        <f t="shared" si="2"/>
        <v>7.1999999999999995E-2</v>
      </c>
      <c r="J17" s="15">
        <f>ROUND(G17/48330-1,2)</f>
        <v>-0.11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925</v>
      </c>
      <c r="F18" s="10"/>
      <c r="G18" s="10">
        <f t="shared" si="0"/>
        <v>925</v>
      </c>
      <c r="H18" s="16">
        <f t="shared" si="1"/>
        <v>0.54</v>
      </c>
      <c r="I18" s="15">
        <f t="shared" si="2"/>
        <v>2E-3</v>
      </c>
      <c r="J18" s="15">
        <f>ROUND(G18/1358-1,2)</f>
        <v>-0.32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485</v>
      </c>
      <c r="F19" s="10"/>
      <c r="G19" s="10">
        <f t="shared" si="0"/>
        <v>485</v>
      </c>
      <c r="H19" s="16">
        <f t="shared" si="1"/>
        <v>0.28000000000000003</v>
      </c>
      <c r="I19" s="15">
        <f t="shared" si="2"/>
        <v>1E-3</v>
      </c>
      <c r="J19" s="15">
        <f>ROUND(G19/774-1,2)</f>
        <v>-0.37</v>
      </c>
    </row>
    <row r="20" spans="1:10" x14ac:dyDescent="0.25">
      <c r="A20" s="1" t="s">
        <v>16</v>
      </c>
      <c r="B20" s="1" t="s">
        <v>29</v>
      </c>
      <c r="C20" s="10"/>
      <c r="D20" s="10"/>
      <c r="E20" s="10">
        <v>1782</v>
      </c>
      <c r="F20" s="10"/>
      <c r="G20" s="10">
        <f t="shared" si="0"/>
        <v>1782</v>
      </c>
      <c r="H20" s="16">
        <f t="shared" si="1"/>
        <v>1.03</v>
      </c>
      <c r="I20" s="15">
        <f t="shared" si="2"/>
        <v>3.0000000000000001E-3</v>
      </c>
      <c r="J20" s="15">
        <f>ROUND(G20/7002.78-1,2)</f>
        <v>-0.75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439</v>
      </c>
      <c r="F21" s="10"/>
      <c r="G21" s="10">
        <f t="shared" si="0"/>
        <v>439</v>
      </c>
      <c r="H21" s="16">
        <f t="shared" si="1"/>
        <v>0.25</v>
      </c>
      <c r="I21" s="15">
        <f t="shared" si="2"/>
        <v>1E-3</v>
      </c>
      <c r="J21" s="15">
        <f>ROUND(G21/905.3-1,2)</f>
        <v>-0.52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1883</v>
      </c>
      <c r="F22" s="10"/>
      <c r="G22" s="10">
        <f t="shared" si="0"/>
        <v>1883</v>
      </c>
      <c r="H22" s="16">
        <f t="shared" si="1"/>
        <v>1.0900000000000001</v>
      </c>
      <c r="I22" s="15">
        <f t="shared" si="2"/>
        <v>3.0000000000000001E-3</v>
      </c>
      <c r="J22" s="15">
        <f>ROUND(G22/1940-1,2)</f>
        <v>-0.03</v>
      </c>
    </row>
    <row r="23" spans="1:10" x14ac:dyDescent="0.25">
      <c r="A23" s="1" t="s">
        <v>16</v>
      </c>
      <c r="B23" s="1" t="s">
        <v>33</v>
      </c>
      <c r="C23" s="10"/>
      <c r="D23" s="10"/>
      <c r="E23" s="10">
        <v>215</v>
      </c>
      <c r="F23" s="10"/>
      <c r="G23" s="10">
        <f t="shared" si="0"/>
        <v>215</v>
      </c>
      <c r="H23" s="16">
        <f t="shared" si="1"/>
        <v>0.12</v>
      </c>
      <c r="I23" s="15">
        <f t="shared" si="2"/>
        <v>0</v>
      </c>
      <c r="J23" s="15">
        <f>ROUND(G23/531-1,2)</f>
        <v>-0.6</v>
      </c>
    </row>
    <row r="24" spans="1:10" x14ac:dyDescent="0.25">
      <c r="A24" s="1" t="s">
        <v>16</v>
      </c>
      <c r="B24" s="1" t="s">
        <v>34</v>
      </c>
      <c r="C24" s="10"/>
      <c r="D24" s="10"/>
      <c r="E24" s="10">
        <v>251</v>
      </c>
      <c r="F24" s="10"/>
      <c r="G24" s="10">
        <f t="shared" si="0"/>
        <v>251</v>
      </c>
      <c r="H24" s="16">
        <f t="shared" si="1"/>
        <v>0.15</v>
      </c>
      <c r="I24" s="15">
        <f t="shared" si="2"/>
        <v>0</v>
      </c>
      <c r="J24" s="15"/>
    </row>
    <row r="25" spans="1:10" x14ac:dyDescent="0.25">
      <c r="A25" s="1" t="s">
        <v>16</v>
      </c>
      <c r="B25" s="1" t="s">
        <v>37</v>
      </c>
      <c r="C25" s="10"/>
      <c r="D25" s="10"/>
      <c r="E25" s="10">
        <v>2731</v>
      </c>
      <c r="F25" s="10"/>
      <c r="G25" s="10">
        <f t="shared" si="0"/>
        <v>2731</v>
      </c>
      <c r="H25" s="16">
        <f t="shared" si="1"/>
        <v>1.58</v>
      </c>
      <c r="I25" s="15">
        <f t="shared" si="2"/>
        <v>5.0000000000000001E-3</v>
      </c>
      <c r="J25" s="15">
        <f>ROUND(G25/8951.68-1,2)</f>
        <v>-0.69</v>
      </c>
    </row>
    <row r="26" spans="1:10" x14ac:dyDescent="0.25">
      <c r="A26" s="1" t="s">
        <v>16</v>
      </c>
      <c r="B26" s="1" t="s">
        <v>43</v>
      </c>
      <c r="C26" s="10"/>
      <c r="D26" s="10"/>
      <c r="E26" s="10">
        <v>2280</v>
      </c>
      <c r="F26" s="10"/>
      <c r="G26" s="10">
        <f t="shared" si="0"/>
        <v>2280</v>
      </c>
      <c r="H26" s="16">
        <f t="shared" si="1"/>
        <v>1.32</v>
      </c>
      <c r="I26" s="15">
        <f t="shared" si="2"/>
        <v>4.0000000000000001E-3</v>
      </c>
      <c r="J26" s="15">
        <f>ROUND(G26/17730-1,2)</f>
        <v>-0.87</v>
      </c>
    </row>
    <row r="27" spans="1:10" x14ac:dyDescent="0.25">
      <c r="A27" s="1" t="s">
        <v>16</v>
      </c>
      <c r="B27" s="1" t="s">
        <v>38</v>
      </c>
      <c r="C27" s="10"/>
      <c r="D27" s="10"/>
      <c r="E27" s="10">
        <v>59502</v>
      </c>
      <c r="F27" s="10"/>
      <c r="G27" s="10">
        <f t="shared" si="0"/>
        <v>59502</v>
      </c>
      <c r="H27" s="16">
        <f t="shared" si="1"/>
        <v>34.51</v>
      </c>
      <c r="I27" s="15">
        <f t="shared" si="2"/>
        <v>9.9000000000000005E-2</v>
      </c>
      <c r="J27" s="15">
        <f>ROUND(G27/74716.24-1,2)</f>
        <v>-0.2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21764</v>
      </c>
      <c r="F28" s="10"/>
      <c r="G28" s="10">
        <f t="shared" si="0"/>
        <v>21764</v>
      </c>
      <c r="H28" s="16">
        <f t="shared" si="1"/>
        <v>12.62</v>
      </c>
      <c r="I28" s="15">
        <f t="shared" si="2"/>
        <v>3.5999999999999997E-2</v>
      </c>
      <c r="J28" s="15">
        <f>ROUND(G28/30789.74-1,2)</f>
        <v>-0.28999999999999998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9979</v>
      </c>
      <c r="F29" s="10"/>
      <c r="G29" s="10">
        <f t="shared" si="0"/>
        <v>9979</v>
      </c>
      <c r="H29" s="16">
        <f t="shared" si="1"/>
        <v>5.79</v>
      </c>
      <c r="I29" s="15">
        <f t="shared" si="2"/>
        <v>1.7000000000000001E-2</v>
      </c>
      <c r="J29" s="15">
        <f>ROUND(G29/63132.12-1,2)</f>
        <v>-0.84</v>
      </c>
    </row>
    <row r="30" spans="1:10" x14ac:dyDescent="0.25">
      <c r="A30" s="1" t="s">
        <v>16</v>
      </c>
      <c r="B30" s="1" t="s">
        <v>42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ROUND(G30/211-1,2)</f>
        <v>-1</v>
      </c>
    </row>
    <row r="31" spans="1:10" x14ac:dyDescent="0.25">
      <c r="A31" s="1" t="s">
        <v>16</v>
      </c>
      <c r="B31" s="1" t="s">
        <v>120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/>
    </row>
    <row r="32" spans="1:10" x14ac:dyDescent="0.25">
      <c r="A32" s="1" t="s">
        <v>16</v>
      </c>
      <c r="B32" s="1" t="s">
        <v>36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ROUND(G32/5079.22-1,2)</f>
        <v>-1</v>
      </c>
    </row>
    <row r="33" spans="1:10" x14ac:dyDescent="0.25">
      <c r="A33" s="1" t="s">
        <v>16</v>
      </c>
      <c r="B33" s="1" t="s">
        <v>35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ROUND(G33/301.33-1,2)</f>
        <v>-1</v>
      </c>
    </row>
    <row r="34" spans="1:10" x14ac:dyDescent="0.25">
      <c r="A34" s="1" t="s">
        <v>16</v>
      </c>
      <c r="B34" s="1" t="s">
        <v>98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ROUND(G34/48-1,2)</f>
        <v>-1</v>
      </c>
    </row>
    <row r="35" spans="1:10" x14ac:dyDescent="0.25">
      <c r="A35" s="1" t="s">
        <v>16</v>
      </c>
      <c r="B35" s="1" t="s">
        <v>31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16</v>
      </c>
      <c r="B36" s="1" t="s">
        <v>39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44</v>
      </c>
      <c r="B37" s="1" t="s">
        <v>45</v>
      </c>
      <c r="C37" s="10">
        <v>128190</v>
      </c>
      <c r="D37" s="10"/>
      <c r="E37" s="10"/>
      <c r="F37" s="10">
        <v>390</v>
      </c>
      <c r="G37" s="10">
        <f t="shared" si="0"/>
        <v>128580</v>
      </c>
      <c r="H37" s="16">
        <f t="shared" si="1"/>
        <v>74.58</v>
      </c>
      <c r="I37" s="15">
        <f t="shared" si="2"/>
        <v>0.215</v>
      </c>
      <c r="J37" s="15">
        <f>ROUND(G37/128350-1,2)</f>
        <v>0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32737</v>
      </c>
      <c r="F38" s="10"/>
      <c r="G38" s="10">
        <f t="shared" si="0"/>
        <v>32737</v>
      </c>
      <c r="H38" s="16">
        <f t="shared" si="1"/>
        <v>18.989999999999998</v>
      </c>
      <c r="I38" s="15">
        <f t="shared" si="2"/>
        <v>5.5E-2</v>
      </c>
      <c r="J38" s="15">
        <f>ROUND(G38/51851.66-1,2)</f>
        <v>-0.37</v>
      </c>
    </row>
    <row r="39" spans="1:10" x14ac:dyDescent="0.25">
      <c r="A39" s="1" t="s">
        <v>44</v>
      </c>
      <c r="B39" s="1" t="s">
        <v>47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ROUND(G39/5320-1,2)</f>
        <v>-1</v>
      </c>
    </row>
    <row r="40" spans="1:10" x14ac:dyDescent="0.25">
      <c r="A40" s="1" t="s">
        <v>48</v>
      </c>
      <c r="B40" s="1" t="s">
        <v>49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ROUND(G40/5-1,2)</f>
        <v>-1</v>
      </c>
    </row>
    <row r="41" spans="1:10" x14ac:dyDescent="0.25">
      <c r="A41" s="1" t="s">
        <v>48</v>
      </c>
      <c r="B41" s="1" t="s">
        <v>50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ROUND(G41/260-1,2)</f>
        <v>-1</v>
      </c>
    </row>
    <row r="42" spans="1:10" x14ac:dyDescent="0.25">
      <c r="A42" s="1" t="s">
        <v>48</v>
      </c>
      <c r="B42" s="1" t="s">
        <v>51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27" t="s">
        <v>12</v>
      </c>
      <c r="B43" s="27"/>
      <c r="C43" s="11">
        <f t="shared" ref="C43:H43" si="3">SUM(C8:C42)</f>
        <v>339120</v>
      </c>
      <c r="D43" s="11">
        <f t="shared" si="3"/>
        <v>0</v>
      </c>
      <c r="E43" s="11">
        <f t="shared" si="3"/>
        <v>259126</v>
      </c>
      <c r="F43" s="11">
        <f t="shared" si="3"/>
        <v>1070</v>
      </c>
      <c r="G43" s="11">
        <f t="shared" si="3"/>
        <v>599316</v>
      </c>
      <c r="H43" s="14">
        <f t="shared" si="3"/>
        <v>347.62</v>
      </c>
      <c r="I43" s="17"/>
      <c r="J43" s="17"/>
    </row>
    <row r="44" spans="1:10" x14ac:dyDescent="0.25">
      <c r="A44" s="27" t="s">
        <v>14</v>
      </c>
      <c r="B44" s="27"/>
      <c r="C44" s="12">
        <f>ROUND(C43/G43,2)</f>
        <v>0.56999999999999995</v>
      </c>
      <c r="D44" s="12">
        <f>ROUND(D43/G43,2)</f>
        <v>0</v>
      </c>
      <c r="E44" s="12">
        <f>ROUND(E43/G43,2)</f>
        <v>0.43</v>
      </c>
      <c r="F44" s="12">
        <f>ROUND(F43/G43,2)</f>
        <v>0</v>
      </c>
      <c r="G44" s="13"/>
      <c r="H44" s="13"/>
      <c r="I44" s="17"/>
      <c r="J44" s="17"/>
    </row>
    <row r="45" spans="1:10" x14ac:dyDescent="0.25">
      <c r="A45" s="2" t="s">
        <v>52</v>
      </c>
      <c r="B45" s="2"/>
      <c r="C45" s="13"/>
      <c r="D45" s="13"/>
      <c r="E45" s="13"/>
      <c r="F45" s="13"/>
      <c r="G45" s="13"/>
      <c r="H45" s="13"/>
      <c r="I45" s="17"/>
      <c r="J45" s="17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A49" s="27" t="s">
        <v>53</v>
      </c>
      <c r="B49" s="27"/>
      <c r="C49" s="11" t="s">
        <v>8</v>
      </c>
      <c r="D49" s="11" t="s">
        <v>9</v>
      </c>
      <c r="E49" s="11" t="s">
        <v>10</v>
      </c>
      <c r="F49" s="11" t="s">
        <v>11</v>
      </c>
      <c r="G49" s="11" t="s">
        <v>12</v>
      </c>
      <c r="H49" s="14" t="s">
        <v>13</v>
      </c>
      <c r="I49" s="17"/>
      <c r="J49" s="17"/>
    </row>
    <row r="50" spans="1:10" x14ac:dyDescent="0.25">
      <c r="A50" s="22" t="s">
        <v>54</v>
      </c>
      <c r="B50" s="22"/>
      <c r="C50" s="10">
        <v>210930</v>
      </c>
      <c r="D50" s="10">
        <v>0</v>
      </c>
      <c r="E50" s="10">
        <v>226389</v>
      </c>
      <c r="F50" s="10">
        <v>680</v>
      </c>
      <c r="G50" s="10">
        <f>SUM(C50:F50)</f>
        <v>437999</v>
      </c>
      <c r="H50" s="16">
        <f>ROUND(G50/1724,2)</f>
        <v>254.06</v>
      </c>
      <c r="I50" s="9"/>
      <c r="J50" s="9"/>
    </row>
    <row r="51" spans="1:10" x14ac:dyDescent="0.25">
      <c r="A51" s="22" t="s">
        <v>55</v>
      </c>
      <c r="B51" s="22"/>
      <c r="C51" s="10">
        <v>128190</v>
      </c>
      <c r="D51" s="10">
        <v>0</v>
      </c>
      <c r="E51" s="10">
        <v>32737</v>
      </c>
      <c r="F51" s="10">
        <v>390</v>
      </c>
      <c r="G51" s="10">
        <f>SUM(C51:F51)</f>
        <v>161317</v>
      </c>
      <c r="H51" s="16">
        <f>ROUND(G51/1724,2)</f>
        <v>93.57</v>
      </c>
      <c r="I51" s="9"/>
      <c r="J51" s="9"/>
    </row>
    <row r="52" spans="1:10" x14ac:dyDescent="0.25">
      <c r="A52" s="22" t="s">
        <v>56</v>
      </c>
      <c r="B52" s="22"/>
      <c r="C52" s="10">
        <v>0</v>
      </c>
      <c r="D52" s="10">
        <v>0</v>
      </c>
      <c r="E52" s="10">
        <v>0</v>
      </c>
      <c r="F52" s="10">
        <v>0</v>
      </c>
      <c r="G52" s="10">
        <f>SUM(C52:F52)</f>
        <v>0</v>
      </c>
      <c r="H52" s="16">
        <f>ROUND(G52/1724,2)</f>
        <v>0</v>
      </c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7" t="s">
        <v>57</v>
      </c>
      <c r="B57" s="27"/>
      <c r="C57" s="14" t="s">
        <v>2</v>
      </c>
      <c r="D57" s="14">
        <v>2023</v>
      </c>
      <c r="E57" s="14" t="s">
        <v>59</v>
      </c>
      <c r="F57" s="13"/>
      <c r="G57" s="14" t="s">
        <v>60</v>
      </c>
      <c r="H57" s="14" t="s">
        <v>2</v>
      </c>
      <c r="I57" s="12" t="s">
        <v>61</v>
      </c>
      <c r="J57" s="12" t="s">
        <v>59</v>
      </c>
    </row>
    <row r="58" spans="1:10" x14ac:dyDescent="0.25">
      <c r="A58" s="22" t="s">
        <v>58</v>
      </c>
      <c r="B58" s="22"/>
      <c r="C58" s="15">
        <f>ROUND(0.7413, 4)</f>
        <v>0.74129999999999996</v>
      </c>
      <c r="D58" s="15">
        <f>ROUND(0.7908, 4)</f>
        <v>0.79079999999999995</v>
      </c>
      <c r="E58" s="15">
        <f>ROUND(0.777, 4)</f>
        <v>0.77700000000000002</v>
      </c>
      <c r="F58" s="8"/>
      <c r="G58" s="14" t="s">
        <v>62</v>
      </c>
      <c r="H58" s="28" t="s">
        <v>63</v>
      </c>
      <c r="I58" s="25" t="s">
        <v>64</v>
      </c>
      <c r="J58" s="25" t="s">
        <v>65</v>
      </c>
    </row>
    <row r="59" spans="1:10" x14ac:dyDescent="0.25">
      <c r="A59" s="22" t="s">
        <v>66</v>
      </c>
      <c r="B59" s="22"/>
      <c r="C59" s="15">
        <f>ROUND(0.7063, 4)</f>
        <v>0.70630000000000004</v>
      </c>
      <c r="D59" s="15">
        <f>ROUND(0.7615, 4)</f>
        <v>0.76149999999999995</v>
      </c>
      <c r="E59" s="15">
        <f>ROUND(0.7608, 4)</f>
        <v>0.76080000000000003</v>
      </c>
      <c r="F59" s="8"/>
      <c r="G59" s="14" t="s">
        <v>67</v>
      </c>
      <c r="H59" s="29"/>
      <c r="I59" s="26"/>
      <c r="J59" s="26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27" t="s">
        <v>68</v>
      </c>
      <c r="B63" s="27"/>
      <c r="C63" s="14" t="s">
        <v>2</v>
      </c>
      <c r="D63" s="14" t="s">
        <v>234</v>
      </c>
      <c r="E63" s="14" t="s">
        <v>70</v>
      </c>
      <c r="F63" s="14" t="s">
        <v>71</v>
      </c>
      <c r="G63" s="14" t="s">
        <v>72</v>
      </c>
      <c r="H63" s="13"/>
      <c r="I63" s="17"/>
      <c r="J63" s="17"/>
    </row>
    <row r="64" spans="1:10" x14ac:dyDescent="0.25">
      <c r="A64" s="22" t="s">
        <v>73</v>
      </c>
      <c r="B64" s="22"/>
      <c r="C64" s="16">
        <v>74.58</v>
      </c>
      <c r="D64" s="16">
        <v>78.69</v>
      </c>
      <c r="E64" s="16">
        <v>92.53</v>
      </c>
      <c r="F64" s="16">
        <v>56.06</v>
      </c>
      <c r="G64" s="16">
        <f>12/11*C64</f>
        <v>81.359999999999985</v>
      </c>
      <c r="H64" s="8"/>
      <c r="I64" s="9"/>
      <c r="J64" s="9"/>
    </row>
    <row r="65" spans="1:10" x14ac:dyDescent="0.25">
      <c r="A65" s="22" t="s">
        <v>74</v>
      </c>
      <c r="B65" s="22"/>
      <c r="C65" s="16">
        <v>24.91</v>
      </c>
      <c r="D65" s="16">
        <v>50.65</v>
      </c>
      <c r="E65" s="16">
        <v>61.98</v>
      </c>
      <c r="F65" s="16">
        <v>64.09</v>
      </c>
      <c r="G65" s="16">
        <f>12/11*C65</f>
        <v>27.174545454545452</v>
      </c>
      <c r="H65" s="8"/>
      <c r="I65" s="9"/>
      <c r="J65" s="9"/>
    </row>
    <row r="66" spans="1:10" x14ac:dyDescent="0.25">
      <c r="A66" s="22" t="s">
        <v>75</v>
      </c>
      <c r="B66" s="22"/>
      <c r="C66" s="16">
        <v>254.06</v>
      </c>
      <c r="D66" s="16">
        <v>318.75</v>
      </c>
      <c r="E66" s="16">
        <v>291.51</v>
      </c>
      <c r="F66" s="16">
        <v>284.45</v>
      </c>
      <c r="G66" s="16">
        <f>12/11*C66</f>
        <v>277.15636363636361</v>
      </c>
      <c r="H66" s="8"/>
      <c r="I66" s="9"/>
      <c r="J66" s="9"/>
    </row>
    <row r="67" spans="1:10" x14ac:dyDescent="0.25">
      <c r="A67" s="22" t="s">
        <v>76</v>
      </c>
      <c r="B67" s="22"/>
      <c r="C67" s="16">
        <v>93.57</v>
      </c>
      <c r="D67" s="16">
        <v>104.46</v>
      </c>
      <c r="E67" s="16">
        <v>116.46</v>
      </c>
      <c r="F67" s="16">
        <v>79.959999999999994</v>
      </c>
      <c r="G67" s="16">
        <f>12/11*C67</f>
        <v>102.07636363636362</v>
      </c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23" t="s">
        <v>60</v>
      </c>
      <c r="B70" s="24"/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77</v>
      </c>
      <c r="B71" s="1" t="s">
        <v>235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70</v>
      </c>
      <c r="B72" s="1" t="s">
        <v>79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71</v>
      </c>
      <c r="B73" s="1" t="s">
        <v>80</v>
      </c>
      <c r="C73" s="8"/>
      <c r="D73" s="8"/>
      <c r="E73" s="8"/>
      <c r="F73" s="8"/>
      <c r="G73" s="8"/>
      <c r="H73" s="8"/>
      <c r="I73" s="9"/>
      <c r="J73" s="9"/>
    </row>
    <row r="74" spans="1:10" x14ac:dyDescent="0.25">
      <c r="A74" s="3" t="s">
        <v>72</v>
      </c>
      <c r="B74" s="1" t="s">
        <v>81</v>
      </c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</sheetData>
  <mergeCells count="19">
    <mergeCell ref="C7:G7"/>
    <mergeCell ref="A43:B43"/>
    <mergeCell ref="A44:B44"/>
    <mergeCell ref="A49:B49"/>
    <mergeCell ref="A50:B50"/>
    <mergeCell ref="J58:J59"/>
    <mergeCell ref="A59:B59"/>
    <mergeCell ref="A63:B63"/>
    <mergeCell ref="A64:B64"/>
    <mergeCell ref="A51:B51"/>
    <mergeCell ref="A52:B52"/>
    <mergeCell ref="A57:B57"/>
    <mergeCell ref="A58:B58"/>
    <mergeCell ref="H58:H59"/>
    <mergeCell ref="A65:B65"/>
    <mergeCell ref="A66:B66"/>
    <mergeCell ref="A67:B67"/>
    <mergeCell ref="A70:B70"/>
    <mergeCell ref="I58:I5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J77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4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236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5067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40</v>
      </c>
      <c r="F9" s="10"/>
      <c r="G9" s="10">
        <f t="shared" ref="G9:G45" si="0">SUM(C9:F9)</f>
        <v>40</v>
      </c>
      <c r="H9" s="16">
        <f t="shared" ref="H9:H45" si="1">ROUND(G9/5067,2)</f>
        <v>0.01</v>
      </c>
      <c r="I9" s="15">
        <f t="shared" ref="I9:I45" si="2">ROUND(G9/$G$46,3)</f>
        <v>0</v>
      </c>
      <c r="J9" s="15">
        <f>ROUND(G9/65-1,2)</f>
        <v>-0.38</v>
      </c>
    </row>
    <row r="10" spans="1:10" x14ac:dyDescent="0.25">
      <c r="A10" s="1" t="s">
        <v>16</v>
      </c>
      <c r="B10" s="1" t="s">
        <v>19</v>
      </c>
      <c r="C10" s="10">
        <v>138980</v>
      </c>
      <c r="D10" s="10"/>
      <c r="E10" s="10"/>
      <c r="F10" s="10"/>
      <c r="G10" s="10">
        <f t="shared" si="0"/>
        <v>138980</v>
      </c>
      <c r="H10" s="16">
        <f t="shared" si="1"/>
        <v>27.43</v>
      </c>
      <c r="I10" s="15">
        <f t="shared" si="2"/>
        <v>0.08</v>
      </c>
      <c r="J10" s="15">
        <f>ROUND(G10/58140-1,2)</f>
        <v>1.39</v>
      </c>
    </row>
    <row r="11" spans="1:10" x14ac:dyDescent="0.25">
      <c r="A11" s="1" t="s">
        <v>16</v>
      </c>
      <c r="B11" s="1" t="s">
        <v>20</v>
      </c>
      <c r="C11" s="10">
        <v>165140</v>
      </c>
      <c r="D11" s="10"/>
      <c r="E11" s="10"/>
      <c r="F11" s="10"/>
      <c r="G11" s="10">
        <f t="shared" si="0"/>
        <v>165140</v>
      </c>
      <c r="H11" s="16">
        <f t="shared" si="1"/>
        <v>32.590000000000003</v>
      </c>
      <c r="I11" s="15">
        <f t="shared" si="2"/>
        <v>9.5000000000000001E-2</v>
      </c>
      <c r="J11" s="15">
        <f>ROUND(G11/181390-1,2)</f>
        <v>-0.09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97</v>
      </c>
      <c r="F12" s="10"/>
      <c r="G12" s="10">
        <f t="shared" si="0"/>
        <v>97</v>
      </c>
      <c r="H12" s="16">
        <f t="shared" si="1"/>
        <v>0.02</v>
      </c>
      <c r="I12" s="15">
        <f t="shared" si="2"/>
        <v>0</v>
      </c>
      <c r="J12" s="15">
        <f>ROUND(G12/90-1,2)</f>
        <v>0.08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254</v>
      </c>
      <c r="F13" s="10"/>
      <c r="G13" s="10">
        <f t="shared" si="0"/>
        <v>254</v>
      </c>
      <c r="H13" s="16">
        <f t="shared" si="1"/>
        <v>0.05</v>
      </c>
      <c r="I13" s="15">
        <f t="shared" si="2"/>
        <v>0</v>
      </c>
      <c r="J13" s="15">
        <f>ROUND(G13/94-1,2)</f>
        <v>1.7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79900</v>
      </c>
      <c r="F14" s="10"/>
      <c r="G14" s="10">
        <f t="shared" si="0"/>
        <v>79900</v>
      </c>
      <c r="H14" s="16">
        <f t="shared" si="1"/>
        <v>15.77</v>
      </c>
      <c r="I14" s="15">
        <f t="shared" si="2"/>
        <v>4.5999999999999999E-2</v>
      </c>
      <c r="J14" s="15">
        <f>ROUND(G14/58900-1,2)</f>
        <v>0.36</v>
      </c>
    </row>
    <row r="15" spans="1:10" x14ac:dyDescent="0.25">
      <c r="A15" s="1" t="s">
        <v>16</v>
      </c>
      <c r="B15" s="1" t="s">
        <v>24</v>
      </c>
      <c r="C15" s="10">
        <v>194900</v>
      </c>
      <c r="D15" s="10"/>
      <c r="E15" s="10">
        <v>18810</v>
      </c>
      <c r="F15" s="10"/>
      <c r="G15" s="10">
        <f t="shared" si="0"/>
        <v>213710</v>
      </c>
      <c r="H15" s="16">
        <f t="shared" si="1"/>
        <v>42.18</v>
      </c>
      <c r="I15" s="15">
        <f t="shared" si="2"/>
        <v>0.122</v>
      </c>
      <c r="J15" s="15">
        <f>ROUND(G15/221190-1,2)</f>
        <v>-0.03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3965</v>
      </c>
      <c r="F16" s="10"/>
      <c r="G16" s="10">
        <f t="shared" si="0"/>
        <v>3965</v>
      </c>
      <c r="H16" s="16">
        <f t="shared" si="1"/>
        <v>0.78</v>
      </c>
      <c r="I16" s="15">
        <f t="shared" si="2"/>
        <v>2E-3</v>
      </c>
      <c r="J16" s="15">
        <f>ROUND(G16/2300-1,2)</f>
        <v>0.72</v>
      </c>
    </row>
    <row r="17" spans="1:10" x14ac:dyDescent="0.25">
      <c r="A17" s="1" t="s">
        <v>16</v>
      </c>
      <c r="B17" s="1" t="s">
        <v>26</v>
      </c>
      <c r="C17" s="10">
        <v>294870</v>
      </c>
      <c r="D17" s="10"/>
      <c r="E17" s="10"/>
      <c r="F17" s="10"/>
      <c r="G17" s="10">
        <f t="shared" si="0"/>
        <v>294870</v>
      </c>
      <c r="H17" s="16">
        <f t="shared" si="1"/>
        <v>58.19</v>
      </c>
      <c r="I17" s="15">
        <f t="shared" si="2"/>
        <v>0.16900000000000001</v>
      </c>
      <c r="J17" s="15">
        <f>ROUND(G17/138760-1,2)</f>
        <v>1.1299999999999999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1273</v>
      </c>
      <c r="F18" s="10"/>
      <c r="G18" s="10">
        <f t="shared" si="0"/>
        <v>1273</v>
      </c>
      <c r="H18" s="16">
        <f t="shared" si="1"/>
        <v>0.25</v>
      </c>
      <c r="I18" s="15">
        <f t="shared" si="2"/>
        <v>1E-3</v>
      </c>
      <c r="J18" s="15">
        <f>ROUND(G18/620-1,2)</f>
        <v>1.05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1168</v>
      </c>
      <c r="F19" s="10"/>
      <c r="G19" s="10">
        <f t="shared" si="0"/>
        <v>1168</v>
      </c>
      <c r="H19" s="16">
        <f t="shared" si="1"/>
        <v>0.23</v>
      </c>
      <c r="I19" s="15">
        <f t="shared" si="2"/>
        <v>1E-3</v>
      </c>
      <c r="J19" s="15">
        <f>ROUND(G19/432-1,2)</f>
        <v>1.7</v>
      </c>
    </row>
    <row r="20" spans="1:10" x14ac:dyDescent="0.25">
      <c r="A20" s="1" t="s">
        <v>16</v>
      </c>
      <c r="B20" s="1" t="s">
        <v>29</v>
      </c>
      <c r="C20" s="10"/>
      <c r="D20" s="10"/>
      <c r="E20" s="10">
        <v>2580</v>
      </c>
      <c r="F20" s="10"/>
      <c r="G20" s="10">
        <f t="shared" si="0"/>
        <v>2580</v>
      </c>
      <c r="H20" s="16">
        <f t="shared" si="1"/>
        <v>0.51</v>
      </c>
      <c r="I20" s="15">
        <f t="shared" si="2"/>
        <v>1E-3</v>
      </c>
      <c r="J20" s="15">
        <f>ROUND(G20/1760-1,2)</f>
        <v>0.47</v>
      </c>
    </row>
    <row r="21" spans="1:10" x14ac:dyDescent="0.25">
      <c r="A21" s="1" t="s">
        <v>16</v>
      </c>
      <c r="B21" s="1" t="s">
        <v>32</v>
      </c>
      <c r="C21" s="10"/>
      <c r="D21" s="10"/>
      <c r="E21" s="10">
        <v>2075</v>
      </c>
      <c r="F21" s="10"/>
      <c r="G21" s="10">
        <f t="shared" si="0"/>
        <v>2075</v>
      </c>
      <c r="H21" s="16">
        <f t="shared" si="1"/>
        <v>0.41</v>
      </c>
      <c r="I21" s="15">
        <f t="shared" si="2"/>
        <v>1E-3</v>
      </c>
      <c r="J21" s="15">
        <f>ROUND(G21/1820-1,2)</f>
        <v>0.14000000000000001</v>
      </c>
    </row>
    <row r="22" spans="1:10" x14ac:dyDescent="0.25">
      <c r="A22" s="1" t="s">
        <v>16</v>
      </c>
      <c r="B22" s="1" t="s">
        <v>33</v>
      </c>
      <c r="C22" s="10"/>
      <c r="D22" s="10">
        <v>576</v>
      </c>
      <c r="E22" s="10">
        <v>117</v>
      </c>
      <c r="F22" s="10"/>
      <c r="G22" s="10">
        <f t="shared" si="0"/>
        <v>693</v>
      </c>
      <c r="H22" s="16">
        <f t="shared" si="1"/>
        <v>0.14000000000000001</v>
      </c>
      <c r="I22" s="15">
        <f t="shared" si="2"/>
        <v>0</v>
      </c>
      <c r="J22" s="15">
        <f>ROUND(G22/333-1,2)</f>
        <v>1.08</v>
      </c>
    </row>
    <row r="23" spans="1:10" x14ac:dyDescent="0.25">
      <c r="A23" s="1" t="s">
        <v>16</v>
      </c>
      <c r="B23" s="1" t="s">
        <v>35</v>
      </c>
      <c r="C23" s="10"/>
      <c r="D23" s="10">
        <v>170</v>
      </c>
      <c r="E23" s="10"/>
      <c r="F23" s="10"/>
      <c r="G23" s="10">
        <f t="shared" si="0"/>
        <v>170</v>
      </c>
      <c r="H23" s="16">
        <f t="shared" si="1"/>
        <v>0.03</v>
      </c>
      <c r="I23" s="15">
        <f t="shared" si="2"/>
        <v>0</v>
      </c>
      <c r="J23" s="15">
        <f>ROUND(G23/230-1,2)</f>
        <v>-0.26</v>
      </c>
    </row>
    <row r="24" spans="1:10" x14ac:dyDescent="0.25">
      <c r="A24" s="1" t="s">
        <v>16</v>
      </c>
      <c r="B24" s="1" t="s">
        <v>37</v>
      </c>
      <c r="C24" s="10"/>
      <c r="D24" s="10"/>
      <c r="E24" s="10">
        <v>4070</v>
      </c>
      <c r="F24" s="10"/>
      <c r="G24" s="10">
        <f t="shared" si="0"/>
        <v>4070</v>
      </c>
      <c r="H24" s="16">
        <f t="shared" si="1"/>
        <v>0.8</v>
      </c>
      <c r="I24" s="15">
        <f t="shared" si="2"/>
        <v>2E-3</v>
      </c>
      <c r="J24" s="15">
        <f>ROUND(G24/1776-1,2)</f>
        <v>1.29</v>
      </c>
    </row>
    <row r="25" spans="1:10" x14ac:dyDescent="0.25">
      <c r="A25" s="1" t="s">
        <v>16</v>
      </c>
      <c r="B25" s="1" t="s">
        <v>43</v>
      </c>
      <c r="C25" s="10"/>
      <c r="D25" s="10"/>
      <c r="E25" s="10">
        <v>2430</v>
      </c>
      <c r="F25" s="10"/>
      <c r="G25" s="10">
        <f t="shared" si="0"/>
        <v>2430</v>
      </c>
      <c r="H25" s="16">
        <f t="shared" si="1"/>
        <v>0.48</v>
      </c>
      <c r="I25" s="15">
        <f t="shared" si="2"/>
        <v>1E-3</v>
      </c>
      <c r="J25" s="15">
        <f>ROUND(G25/5540-1,2)</f>
        <v>-0.56000000000000005</v>
      </c>
    </row>
    <row r="26" spans="1:10" x14ac:dyDescent="0.25">
      <c r="A26" s="1" t="s">
        <v>16</v>
      </c>
      <c r="B26" s="1" t="s">
        <v>38</v>
      </c>
      <c r="C26" s="10"/>
      <c r="D26" s="10"/>
      <c r="E26" s="10">
        <v>80540</v>
      </c>
      <c r="F26" s="10"/>
      <c r="G26" s="10">
        <f t="shared" si="0"/>
        <v>80540</v>
      </c>
      <c r="H26" s="16">
        <f t="shared" si="1"/>
        <v>15.9</v>
      </c>
      <c r="I26" s="15">
        <f t="shared" si="2"/>
        <v>4.5999999999999999E-2</v>
      </c>
      <c r="J26" s="15">
        <f>ROUND(G26/46040-1,2)</f>
        <v>0.75</v>
      </c>
    </row>
    <row r="27" spans="1:10" x14ac:dyDescent="0.25">
      <c r="A27" s="1" t="s">
        <v>16</v>
      </c>
      <c r="B27" s="1" t="s">
        <v>40</v>
      </c>
      <c r="C27" s="10"/>
      <c r="D27" s="10"/>
      <c r="E27" s="10">
        <v>24010</v>
      </c>
      <c r="F27" s="10"/>
      <c r="G27" s="10">
        <f t="shared" si="0"/>
        <v>24010</v>
      </c>
      <c r="H27" s="16">
        <f t="shared" si="1"/>
        <v>4.74</v>
      </c>
      <c r="I27" s="15">
        <f t="shared" si="2"/>
        <v>1.4E-2</v>
      </c>
      <c r="J27" s="15">
        <f>ROUND(G27/15650-1,2)</f>
        <v>0.53</v>
      </c>
    </row>
    <row r="28" spans="1:10" x14ac:dyDescent="0.25">
      <c r="A28" s="1" t="s">
        <v>16</v>
      </c>
      <c r="B28" s="1" t="s">
        <v>41</v>
      </c>
      <c r="C28" s="10">
        <v>7400</v>
      </c>
      <c r="D28" s="10">
        <v>16360</v>
      </c>
      <c r="E28" s="10">
        <v>384750</v>
      </c>
      <c r="F28" s="10">
        <v>5000</v>
      </c>
      <c r="G28" s="10">
        <f t="shared" si="0"/>
        <v>413510</v>
      </c>
      <c r="H28" s="16">
        <f t="shared" si="1"/>
        <v>81.61</v>
      </c>
      <c r="I28" s="15">
        <f t="shared" si="2"/>
        <v>0.23699999999999999</v>
      </c>
      <c r="J28" s="15">
        <f>ROUND(G28/229530-1,2)</f>
        <v>0.8</v>
      </c>
    </row>
    <row r="29" spans="1:10" x14ac:dyDescent="0.25">
      <c r="A29" s="1" t="s">
        <v>16</v>
      </c>
      <c r="B29" s="1" t="s">
        <v>90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ROUND(G29/3300-1,2)</f>
        <v>-1</v>
      </c>
    </row>
    <row r="30" spans="1:10" x14ac:dyDescent="0.25">
      <c r="A30" s="1" t="s">
        <v>16</v>
      </c>
      <c r="B30" s="1" t="s">
        <v>133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ROUND(G30/9320-1,2)</f>
        <v>-1</v>
      </c>
    </row>
    <row r="31" spans="1:10" x14ac:dyDescent="0.25">
      <c r="A31" s="1" t="s">
        <v>16</v>
      </c>
      <c r="B31" s="1" t="s">
        <v>98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ROUND(G31/221-1,2)</f>
        <v>-1</v>
      </c>
    </row>
    <row r="32" spans="1:10" x14ac:dyDescent="0.25">
      <c r="A32" s="1" t="s">
        <v>16</v>
      </c>
      <c r="B32" s="1" t="s">
        <v>42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ROUND(G32/253-1,2)</f>
        <v>-1</v>
      </c>
    </row>
    <row r="33" spans="1:10" x14ac:dyDescent="0.25">
      <c r="A33" s="1" t="s">
        <v>16</v>
      </c>
      <c r="B33" s="1" t="s">
        <v>30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ROUND(G33/110-1,2)</f>
        <v>-1</v>
      </c>
    </row>
    <row r="34" spans="1:10" x14ac:dyDescent="0.25">
      <c r="A34" s="1" t="s">
        <v>16</v>
      </c>
      <c r="B34" s="1" t="s">
        <v>31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ROUND(G34/300-1,2)</f>
        <v>-1</v>
      </c>
    </row>
    <row r="35" spans="1:10" x14ac:dyDescent="0.25">
      <c r="A35" s="1" t="s">
        <v>16</v>
      </c>
      <c r="B35" s="1" t="s">
        <v>34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ROUND(G35/270-1,2)</f>
        <v>-1</v>
      </c>
    </row>
    <row r="36" spans="1:10" x14ac:dyDescent="0.25">
      <c r="A36" s="1" t="s">
        <v>16</v>
      </c>
      <c r="B36" s="1" t="s">
        <v>36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ROUND(G36/480-1,2)</f>
        <v>-1</v>
      </c>
    </row>
    <row r="37" spans="1:10" x14ac:dyDescent="0.25">
      <c r="A37" s="1" t="s">
        <v>16</v>
      </c>
      <c r="B37" s="1" t="s">
        <v>22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16</v>
      </c>
      <c r="B38" s="1" t="s">
        <v>18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ROUND(G38/1640-1,2)</f>
        <v>-1</v>
      </c>
    </row>
    <row r="39" spans="1:10" x14ac:dyDescent="0.25">
      <c r="A39" s="1" t="s">
        <v>44</v>
      </c>
      <c r="B39" s="1" t="s">
        <v>45</v>
      </c>
      <c r="C39" s="10">
        <v>192000</v>
      </c>
      <c r="D39" s="10"/>
      <c r="E39" s="10"/>
      <c r="F39" s="10"/>
      <c r="G39" s="10">
        <f t="shared" si="0"/>
        <v>192000</v>
      </c>
      <c r="H39" s="16">
        <f t="shared" si="1"/>
        <v>37.89</v>
      </c>
      <c r="I39" s="15">
        <f t="shared" si="2"/>
        <v>0.11</v>
      </c>
      <c r="J39" s="15">
        <f>ROUND(G39/161670-1,2)</f>
        <v>0.19</v>
      </c>
    </row>
    <row r="40" spans="1:10" x14ac:dyDescent="0.25">
      <c r="A40" s="1" t="s">
        <v>44</v>
      </c>
      <c r="B40" s="1" t="s">
        <v>47</v>
      </c>
      <c r="C40" s="10"/>
      <c r="D40" s="10"/>
      <c r="E40" s="10"/>
      <c r="F40" s="10">
        <v>55910</v>
      </c>
      <c r="G40" s="10">
        <f t="shared" si="0"/>
        <v>55910</v>
      </c>
      <c r="H40" s="16">
        <f t="shared" si="1"/>
        <v>11.03</v>
      </c>
      <c r="I40" s="15">
        <f t="shared" si="2"/>
        <v>3.2000000000000001E-2</v>
      </c>
      <c r="J40" s="15">
        <f>ROUND(G40/32880-1,2)</f>
        <v>0.7</v>
      </c>
    </row>
    <row r="41" spans="1:10" x14ac:dyDescent="0.25">
      <c r="A41" s="1" t="s">
        <v>44</v>
      </c>
      <c r="B41" s="1" t="s">
        <v>46</v>
      </c>
      <c r="C41" s="10"/>
      <c r="D41" s="10"/>
      <c r="E41" s="10">
        <v>68950</v>
      </c>
      <c r="F41" s="10"/>
      <c r="G41" s="10">
        <f t="shared" si="0"/>
        <v>68950</v>
      </c>
      <c r="H41" s="16">
        <f t="shared" si="1"/>
        <v>13.61</v>
      </c>
      <c r="I41" s="15">
        <f t="shared" si="2"/>
        <v>3.9E-2</v>
      </c>
      <c r="J41" s="15">
        <f>ROUND(G41/24180-1,2)</f>
        <v>1.85</v>
      </c>
    </row>
    <row r="42" spans="1:10" x14ac:dyDescent="0.25">
      <c r="A42" s="1" t="s">
        <v>48</v>
      </c>
      <c r="B42" s="1" t="s">
        <v>51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1" t="s">
        <v>48</v>
      </c>
      <c r="B43" s="1" t="s">
        <v>49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>
        <f>ROUND(G43/35-1,2)</f>
        <v>-1</v>
      </c>
    </row>
    <row r="44" spans="1:10" x14ac:dyDescent="0.25">
      <c r="A44" s="1" t="s">
        <v>48</v>
      </c>
      <c r="B44" s="1" t="s">
        <v>86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1" t="s">
        <v>48</v>
      </c>
      <c r="B45" s="1" t="s">
        <v>50</v>
      </c>
      <c r="C45" s="10"/>
      <c r="D45" s="10"/>
      <c r="E45" s="10"/>
      <c r="F45" s="10"/>
      <c r="G45" s="10">
        <f t="shared" si="0"/>
        <v>0</v>
      </c>
      <c r="H45" s="16">
        <f t="shared" si="1"/>
        <v>0</v>
      </c>
      <c r="I45" s="15">
        <f t="shared" si="2"/>
        <v>0</v>
      </c>
      <c r="J45" s="15">
        <f>ROUND(G45/329-1,2)</f>
        <v>-1</v>
      </c>
    </row>
    <row r="46" spans="1:10" x14ac:dyDescent="0.25">
      <c r="A46" s="27" t="s">
        <v>12</v>
      </c>
      <c r="B46" s="27"/>
      <c r="C46" s="11">
        <f t="shared" ref="C46:H46" si="3">SUM(C8:C45)</f>
        <v>993290</v>
      </c>
      <c r="D46" s="11">
        <f t="shared" si="3"/>
        <v>17106</v>
      </c>
      <c r="E46" s="11">
        <f t="shared" si="3"/>
        <v>675029</v>
      </c>
      <c r="F46" s="11">
        <f t="shared" si="3"/>
        <v>60910</v>
      </c>
      <c r="G46" s="11">
        <f t="shared" si="3"/>
        <v>1746335</v>
      </c>
      <c r="H46" s="14">
        <f t="shared" si="3"/>
        <v>344.65</v>
      </c>
      <c r="I46" s="17"/>
      <c r="J46" s="17"/>
    </row>
    <row r="47" spans="1:10" x14ac:dyDescent="0.25">
      <c r="A47" s="27" t="s">
        <v>14</v>
      </c>
      <c r="B47" s="27"/>
      <c r="C47" s="12">
        <f>ROUND(C46/G46,2)</f>
        <v>0.56999999999999995</v>
      </c>
      <c r="D47" s="12">
        <f>ROUND(D46/G46,2)</f>
        <v>0.01</v>
      </c>
      <c r="E47" s="12">
        <f>ROUND(E46/G46,2)</f>
        <v>0.39</v>
      </c>
      <c r="F47" s="12">
        <f>ROUND(F46/G46,2)</f>
        <v>0.03</v>
      </c>
      <c r="G47" s="13"/>
      <c r="H47" s="13"/>
      <c r="I47" s="17"/>
      <c r="J47" s="17"/>
    </row>
    <row r="48" spans="1:10" x14ac:dyDescent="0.25">
      <c r="A48" s="2" t="s">
        <v>52</v>
      </c>
      <c r="B48" s="2"/>
      <c r="C48" s="13"/>
      <c r="D48" s="13"/>
      <c r="E48" s="13"/>
      <c r="F48" s="13"/>
      <c r="G48" s="13"/>
      <c r="H48" s="13"/>
      <c r="I48" s="17"/>
      <c r="J48" s="17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53</v>
      </c>
      <c r="B52" s="27"/>
      <c r="C52" s="11" t="s">
        <v>8</v>
      </c>
      <c r="D52" s="11" t="s">
        <v>9</v>
      </c>
      <c r="E52" s="11" t="s">
        <v>10</v>
      </c>
      <c r="F52" s="11" t="s">
        <v>11</v>
      </c>
      <c r="G52" s="11" t="s">
        <v>12</v>
      </c>
      <c r="H52" s="14" t="s">
        <v>13</v>
      </c>
      <c r="I52" s="17"/>
      <c r="J52" s="17"/>
    </row>
    <row r="53" spans="1:10" x14ac:dyDescent="0.25">
      <c r="A53" s="22" t="s">
        <v>54</v>
      </c>
      <c r="B53" s="22"/>
      <c r="C53" s="10">
        <v>801290</v>
      </c>
      <c r="D53" s="10">
        <v>17106</v>
      </c>
      <c r="E53" s="10">
        <v>606079</v>
      </c>
      <c r="F53" s="10">
        <v>5000</v>
      </c>
      <c r="G53" s="10">
        <f>SUM(C53:F53)</f>
        <v>1429475</v>
      </c>
      <c r="H53" s="16">
        <f>ROUND(G53/5067,2)</f>
        <v>282.11</v>
      </c>
      <c r="I53" s="9"/>
      <c r="J53" s="9"/>
    </row>
    <row r="54" spans="1:10" x14ac:dyDescent="0.25">
      <c r="A54" s="22" t="s">
        <v>55</v>
      </c>
      <c r="B54" s="22"/>
      <c r="C54" s="10">
        <v>192000</v>
      </c>
      <c r="D54" s="10">
        <v>0</v>
      </c>
      <c r="E54" s="10">
        <v>68950</v>
      </c>
      <c r="F54" s="10">
        <v>55910</v>
      </c>
      <c r="G54" s="10">
        <f>SUM(C54:F54)</f>
        <v>316860</v>
      </c>
      <c r="H54" s="16">
        <f>ROUND(G54/5067,2)</f>
        <v>62.53</v>
      </c>
      <c r="I54" s="9"/>
      <c r="J54" s="9"/>
    </row>
    <row r="55" spans="1:10" x14ac:dyDescent="0.25">
      <c r="A55" s="22" t="s">
        <v>56</v>
      </c>
      <c r="B55" s="22"/>
      <c r="C55" s="10">
        <v>0</v>
      </c>
      <c r="D55" s="10">
        <v>0</v>
      </c>
      <c r="E55" s="10">
        <v>0</v>
      </c>
      <c r="F55" s="10">
        <v>0</v>
      </c>
      <c r="G55" s="10">
        <f>SUM(C55:F55)</f>
        <v>0</v>
      </c>
      <c r="H55" s="16">
        <f>ROUND(G55/5067,2)</f>
        <v>0</v>
      </c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57</v>
      </c>
      <c r="B60" s="27"/>
      <c r="C60" s="14" t="s">
        <v>2</v>
      </c>
      <c r="D60" s="14">
        <v>2023</v>
      </c>
      <c r="E60" s="14" t="s">
        <v>59</v>
      </c>
      <c r="F60" s="13"/>
      <c r="G60" s="14" t="s">
        <v>60</v>
      </c>
      <c r="H60" s="14" t="s">
        <v>2</v>
      </c>
      <c r="I60" s="12" t="s">
        <v>61</v>
      </c>
      <c r="J60" s="12" t="s">
        <v>59</v>
      </c>
    </row>
    <row r="61" spans="1:10" x14ac:dyDescent="0.25">
      <c r="A61" s="22" t="s">
        <v>58</v>
      </c>
      <c r="B61" s="22"/>
      <c r="C61" s="15">
        <f>ROUND(0.8783, 4)</f>
        <v>0.87829999999999997</v>
      </c>
      <c r="D61" s="15">
        <f>ROUND(0.84, 4)</f>
        <v>0.84</v>
      </c>
      <c r="E61" s="15">
        <f>ROUND(0.777, 4)</f>
        <v>0.77700000000000002</v>
      </c>
      <c r="F61" s="8"/>
      <c r="G61" s="14" t="s">
        <v>62</v>
      </c>
      <c r="H61" s="28" t="s">
        <v>63</v>
      </c>
      <c r="I61" s="25" t="s">
        <v>64</v>
      </c>
      <c r="J61" s="25" t="s">
        <v>65</v>
      </c>
    </row>
    <row r="62" spans="1:10" x14ac:dyDescent="0.25">
      <c r="A62" s="22" t="s">
        <v>66</v>
      </c>
      <c r="B62" s="22"/>
      <c r="C62" s="15">
        <f>ROUND(0.8676, 4)</f>
        <v>0.86760000000000004</v>
      </c>
      <c r="D62" s="15">
        <f>ROUND(0.8097, 4)</f>
        <v>0.80969999999999998</v>
      </c>
      <c r="E62" s="15">
        <f>ROUND(0.7608, 4)</f>
        <v>0.76080000000000003</v>
      </c>
      <c r="F62" s="8"/>
      <c r="G62" s="14" t="s">
        <v>67</v>
      </c>
      <c r="H62" s="29"/>
      <c r="I62" s="26"/>
      <c r="J62" s="26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7" t="s">
        <v>68</v>
      </c>
      <c r="B66" s="27"/>
      <c r="C66" s="14" t="s">
        <v>2</v>
      </c>
      <c r="D66" s="14" t="s">
        <v>237</v>
      </c>
      <c r="E66" s="14" t="s">
        <v>70</v>
      </c>
      <c r="F66" s="14" t="s">
        <v>71</v>
      </c>
      <c r="G66" s="14" t="s">
        <v>72</v>
      </c>
      <c r="H66" s="13"/>
      <c r="I66" s="17"/>
      <c r="J66" s="17"/>
    </row>
    <row r="67" spans="1:10" x14ac:dyDescent="0.25">
      <c r="A67" s="22" t="s">
        <v>73</v>
      </c>
      <c r="B67" s="22"/>
      <c r="C67" s="16">
        <v>37.89</v>
      </c>
      <c r="D67" s="16">
        <v>55.32</v>
      </c>
      <c r="E67" s="16">
        <v>92.53</v>
      </c>
      <c r="F67" s="16">
        <v>56.06</v>
      </c>
      <c r="G67" s="16">
        <f>12/11*C67</f>
        <v>41.334545454545449</v>
      </c>
      <c r="H67" s="8"/>
      <c r="I67" s="9"/>
      <c r="J67" s="9"/>
    </row>
    <row r="68" spans="1:10" x14ac:dyDescent="0.25">
      <c r="A68" s="22" t="s">
        <v>74</v>
      </c>
      <c r="B68" s="22"/>
      <c r="C68" s="16">
        <v>58.19</v>
      </c>
      <c r="D68" s="16">
        <v>75.17</v>
      </c>
      <c r="E68" s="16">
        <v>61.98</v>
      </c>
      <c r="F68" s="16">
        <v>64.09</v>
      </c>
      <c r="G68" s="16">
        <f>12/11*C68</f>
        <v>63.47999999999999</v>
      </c>
      <c r="H68" s="8"/>
      <c r="I68" s="9"/>
      <c r="J68" s="9"/>
    </row>
    <row r="69" spans="1:10" x14ac:dyDescent="0.25">
      <c r="A69" s="22" t="s">
        <v>75</v>
      </c>
      <c r="B69" s="22"/>
      <c r="C69" s="16">
        <v>282.11</v>
      </c>
      <c r="D69" s="16">
        <v>347.17</v>
      </c>
      <c r="E69" s="16">
        <v>291.51</v>
      </c>
      <c r="F69" s="16">
        <v>284.45</v>
      </c>
      <c r="G69" s="16">
        <f>12/11*C69</f>
        <v>307.75636363636363</v>
      </c>
      <c r="H69" s="8"/>
      <c r="I69" s="9"/>
      <c r="J69" s="9"/>
    </row>
    <row r="70" spans="1:10" x14ac:dyDescent="0.25">
      <c r="A70" s="22" t="s">
        <v>76</v>
      </c>
      <c r="B70" s="22"/>
      <c r="C70" s="16">
        <v>62.53</v>
      </c>
      <c r="D70" s="16">
        <v>75.08</v>
      </c>
      <c r="E70" s="16">
        <v>116.46</v>
      </c>
      <c r="F70" s="16">
        <v>79.959999999999994</v>
      </c>
      <c r="G70" s="16">
        <f>12/11*C70</f>
        <v>68.214545454545444</v>
      </c>
      <c r="H70" s="8"/>
      <c r="I70" s="9"/>
      <c r="J70" s="9"/>
    </row>
    <row r="73" spans="1:10" x14ac:dyDescent="0.25">
      <c r="A73" s="23" t="s">
        <v>60</v>
      </c>
      <c r="B73" s="24"/>
    </row>
    <row r="74" spans="1:10" x14ac:dyDescent="0.25">
      <c r="A74" s="3" t="s">
        <v>77</v>
      </c>
      <c r="B74" s="1" t="s">
        <v>238</v>
      </c>
    </row>
    <row r="75" spans="1:10" x14ac:dyDescent="0.25">
      <c r="A75" s="3" t="s">
        <v>70</v>
      </c>
      <c r="B75" s="1" t="s">
        <v>79</v>
      </c>
    </row>
    <row r="76" spans="1:10" x14ac:dyDescent="0.25">
      <c r="A76" s="3" t="s">
        <v>71</v>
      </c>
      <c r="B76" s="1" t="s">
        <v>80</v>
      </c>
    </row>
    <row r="77" spans="1:10" x14ac:dyDescent="0.25">
      <c r="A77" s="3" t="s">
        <v>72</v>
      </c>
      <c r="B77" s="1" t="s">
        <v>81</v>
      </c>
    </row>
  </sheetData>
  <mergeCells count="19">
    <mergeCell ref="C7:G7"/>
    <mergeCell ref="A46:B46"/>
    <mergeCell ref="A47:B47"/>
    <mergeCell ref="A52:B52"/>
    <mergeCell ref="A53:B53"/>
    <mergeCell ref="J61:J62"/>
    <mergeCell ref="A62:B62"/>
    <mergeCell ref="A66:B66"/>
    <mergeCell ref="A67:B67"/>
    <mergeCell ref="A54:B54"/>
    <mergeCell ref="A55:B55"/>
    <mergeCell ref="A60:B60"/>
    <mergeCell ref="A61:B61"/>
    <mergeCell ref="H61:H62"/>
    <mergeCell ref="A68:B68"/>
    <mergeCell ref="A69:B69"/>
    <mergeCell ref="A70:B70"/>
    <mergeCell ref="A73:B73"/>
    <mergeCell ref="I61:I6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2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239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1952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40</v>
      </c>
      <c r="F9" s="10"/>
      <c r="G9" s="10">
        <f t="shared" ref="G9:G38" si="0">SUM(C9:F9)</f>
        <v>40</v>
      </c>
      <c r="H9" s="16">
        <f t="shared" ref="H9:H38" si="1">ROUND(G9/1952,2)</f>
        <v>0.02</v>
      </c>
      <c r="I9" s="15">
        <f t="shared" ref="I9:I38" si="2">ROUND(G9/$G$39,3)</f>
        <v>0</v>
      </c>
      <c r="J9" s="15"/>
    </row>
    <row r="10" spans="1:10" x14ac:dyDescent="0.25">
      <c r="A10" s="1" t="s">
        <v>16</v>
      </c>
      <c r="B10" s="1" t="s">
        <v>19</v>
      </c>
      <c r="C10" s="10">
        <v>60050</v>
      </c>
      <c r="D10" s="10"/>
      <c r="E10" s="10">
        <v>8242</v>
      </c>
      <c r="F10" s="10">
        <v>280</v>
      </c>
      <c r="G10" s="10">
        <f t="shared" si="0"/>
        <v>68572</v>
      </c>
      <c r="H10" s="16">
        <f t="shared" si="1"/>
        <v>35.130000000000003</v>
      </c>
      <c r="I10" s="15">
        <f t="shared" si="2"/>
        <v>8.4000000000000005E-2</v>
      </c>
      <c r="J10" s="15">
        <f>ROUND(G10/54461.14-1,2)</f>
        <v>0.26</v>
      </c>
    </row>
    <row r="11" spans="1:10" x14ac:dyDescent="0.25">
      <c r="A11" s="1" t="s">
        <v>16</v>
      </c>
      <c r="B11" s="1" t="s">
        <v>20</v>
      </c>
      <c r="C11" s="10">
        <v>74200</v>
      </c>
      <c r="D11" s="10"/>
      <c r="E11" s="10">
        <v>4200</v>
      </c>
      <c r="F11" s="10"/>
      <c r="G11" s="10">
        <f t="shared" si="0"/>
        <v>78400</v>
      </c>
      <c r="H11" s="16">
        <f t="shared" si="1"/>
        <v>40.159999999999997</v>
      </c>
      <c r="I11" s="15">
        <f t="shared" si="2"/>
        <v>9.6000000000000002E-2</v>
      </c>
      <c r="J11" s="15">
        <f>ROUND(G11/80140-1,2)</f>
        <v>-0.02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268</v>
      </c>
      <c r="F12" s="10"/>
      <c r="G12" s="10">
        <f t="shared" si="0"/>
        <v>268</v>
      </c>
      <c r="H12" s="16">
        <f t="shared" si="1"/>
        <v>0.14000000000000001</v>
      </c>
      <c r="I12" s="15">
        <f t="shared" si="2"/>
        <v>0</v>
      </c>
      <c r="J12" s="15">
        <f>ROUND(G12/88.98-1,2)</f>
        <v>2.0099999999999998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1398</v>
      </c>
      <c r="F13" s="10"/>
      <c r="G13" s="10">
        <f t="shared" si="0"/>
        <v>1398</v>
      </c>
      <c r="H13" s="16">
        <f t="shared" si="1"/>
        <v>0.72</v>
      </c>
      <c r="I13" s="15">
        <f t="shared" si="2"/>
        <v>2E-3</v>
      </c>
      <c r="J13" s="15">
        <f>ROUND(G13/428.57-1,2)</f>
        <v>2.2599999999999998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72836</v>
      </c>
      <c r="F14" s="10"/>
      <c r="G14" s="10">
        <f t="shared" si="0"/>
        <v>72836</v>
      </c>
      <c r="H14" s="16">
        <f t="shared" si="1"/>
        <v>37.31</v>
      </c>
      <c r="I14" s="15">
        <f t="shared" si="2"/>
        <v>8.8999999999999996E-2</v>
      </c>
      <c r="J14" s="15">
        <f>ROUND(G14/31938.21-1,2)</f>
        <v>1.28</v>
      </c>
    </row>
    <row r="15" spans="1:10" x14ac:dyDescent="0.25">
      <c r="A15" s="1" t="s">
        <v>16</v>
      </c>
      <c r="B15" s="1" t="s">
        <v>24</v>
      </c>
      <c r="C15" s="10">
        <v>74030</v>
      </c>
      <c r="D15" s="10"/>
      <c r="E15" s="10">
        <v>27073</v>
      </c>
      <c r="F15" s="10">
        <v>320</v>
      </c>
      <c r="G15" s="10">
        <f t="shared" si="0"/>
        <v>101423</v>
      </c>
      <c r="H15" s="16">
        <f t="shared" si="1"/>
        <v>51.96</v>
      </c>
      <c r="I15" s="15">
        <f t="shared" si="2"/>
        <v>0.124</v>
      </c>
      <c r="J15" s="15">
        <f>ROUND(G15/69382.13-1,2)</f>
        <v>0.46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7674</v>
      </c>
      <c r="F16" s="10"/>
      <c r="G16" s="10">
        <f t="shared" si="0"/>
        <v>7674</v>
      </c>
      <c r="H16" s="16">
        <f t="shared" si="1"/>
        <v>3.93</v>
      </c>
      <c r="I16" s="15">
        <f t="shared" si="2"/>
        <v>8.9999999999999993E-3</v>
      </c>
      <c r="J16" s="15"/>
    </row>
    <row r="17" spans="1:10" x14ac:dyDescent="0.25">
      <c r="A17" s="1" t="s">
        <v>16</v>
      </c>
      <c r="B17" s="1" t="s">
        <v>26</v>
      </c>
      <c r="C17" s="10">
        <v>72310</v>
      </c>
      <c r="D17" s="10"/>
      <c r="E17" s="10"/>
      <c r="F17" s="10">
        <v>280</v>
      </c>
      <c r="G17" s="10">
        <f t="shared" si="0"/>
        <v>72590</v>
      </c>
      <c r="H17" s="16">
        <f t="shared" si="1"/>
        <v>37.19</v>
      </c>
      <c r="I17" s="15">
        <f t="shared" si="2"/>
        <v>8.8999999999999996E-2</v>
      </c>
      <c r="J17" s="15">
        <f>ROUND(G17/64160-1,2)</f>
        <v>0.13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842</v>
      </c>
      <c r="F18" s="10"/>
      <c r="G18" s="10">
        <f t="shared" si="0"/>
        <v>842</v>
      </c>
      <c r="H18" s="16">
        <f t="shared" si="1"/>
        <v>0.43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414</v>
      </c>
      <c r="F19" s="10"/>
      <c r="G19" s="10">
        <f t="shared" si="0"/>
        <v>414</v>
      </c>
      <c r="H19" s="16">
        <f t="shared" si="1"/>
        <v>0.21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42</v>
      </c>
      <c r="C20" s="10"/>
      <c r="D20" s="10"/>
      <c r="E20" s="10">
        <v>106</v>
      </c>
      <c r="F20" s="10"/>
      <c r="G20" s="10">
        <f t="shared" si="0"/>
        <v>106</v>
      </c>
      <c r="H20" s="16">
        <f t="shared" si="1"/>
        <v>0.05</v>
      </c>
      <c r="I20" s="15">
        <f t="shared" si="2"/>
        <v>0</v>
      </c>
      <c r="J20" s="15">
        <f>ROUND(G20/56.37-1,2)</f>
        <v>0.88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1263</v>
      </c>
      <c r="F21" s="10"/>
      <c r="G21" s="10">
        <f t="shared" si="0"/>
        <v>1263</v>
      </c>
      <c r="H21" s="16">
        <f t="shared" si="1"/>
        <v>0.65</v>
      </c>
      <c r="I21" s="15">
        <f t="shared" si="2"/>
        <v>2E-3</v>
      </c>
      <c r="J21" s="15">
        <f>ROUND(G21/1710.66-1,2)</f>
        <v>-0.26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492</v>
      </c>
      <c r="F22" s="10"/>
      <c r="G22" s="10">
        <f t="shared" si="0"/>
        <v>492</v>
      </c>
      <c r="H22" s="16">
        <f t="shared" si="1"/>
        <v>0.25</v>
      </c>
      <c r="I22" s="15">
        <f t="shared" si="2"/>
        <v>1E-3</v>
      </c>
      <c r="J22" s="15">
        <f>ROUND(G22/191.14-1,2)</f>
        <v>1.57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113</v>
      </c>
      <c r="F23" s="10"/>
      <c r="G23" s="10">
        <f t="shared" si="0"/>
        <v>113</v>
      </c>
      <c r="H23" s="16">
        <f t="shared" si="1"/>
        <v>0.06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32</v>
      </c>
      <c r="C24" s="10"/>
      <c r="D24" s="10"/>
      <c r="E24" s="10">
        <v>2485</v>
      </c>
      <c r="F24" s="10"/>
      <c r="G24" s="10">
        <f t="shared" si="0"/>
        <v>2485</v>
      </c>
      <c r="H24" s="16">
        <f t="shared" si="1"/>
        <v>1.27</v>
      </c>
      <c r="I24" s="15">
        <f t="shared" si="2"/>
        <v>3.0000000000000001E-3</v>
      </c>
      <c r="J24" s="15">
        <f>ROUND(G24/650.75-1,2)</f>
        <v>2.82</v>
      </c>
    </row>
    <row r="25" spans="1:10" x14ac:dyDescent="0.25">
      <c r="A25" s="1" t="s">
        <v>16</v>
      </c>
      <c r="B25" s="1" t="s">
        <v>33</v>
      </c>
      <c r="C25" s="10"/>
      <c r="D25" s="10"/>
      <c r="E25" s="10">
        <v>145</v>
      </c>
      <c r="F25" s="10"/>
      <c r="G25" s="10">
        <f t="shared" si="0"/>
        <v>145</v>
      </c>
      <c r="H25" s="16">
        <f t="shared" si="1"/>
        <v>7.0000000000000007E-2</v>
      </c>
      <c r="I25" s="15">
        <f t="shared" si="2"/>
        <v>0</v>
      </c>
      <c r="J25" s="15">
        <f>ROUND(G25/60-1,2)</f>
        <v>1.42</v>
      </c>
    </row>
    <row r="26" spans="1:10" x14ac:dyDescent="0.25">
      <c r="A26" s="1" t="s">
        <v>16</v>
      </c>
      <c r="B26" s="1" t="s">
        <v>35</v>
      </c>
      <c r="C26" s="10"/>
      <c r="D26" s="10"/>
      <c r="E26" s="10">
        <v>316</v>
      </c>
      <c r="F26" s="10"/>
      <c r="G26" s="10">
        <f t="shared" si="0"/>
        <v>316</v>
      </c>
      <c r="H26" s="16">
        <f t="shared" si="1"/>
        <v>0.16</v>
      </c>
      <c r="I26" s="15">
        <f t="shared" si="2"/>
        <v>0</v>
      </c>
      <c r="J26" s="15"/>
    </row>
    <row r="27" spans="1:10" x14ac:dyDescent="0.25">
      <c r="A27" s="1" t="s">
        <v>16</v>
      </c>
      <c r="B27" s="1" t="s">
        <v>34</v>
      </c>
      <c r="C27" s="10"/>
      <c r="D27" s="10"/>
      <c r="E27" s="10">
        <v>212</v>
      </c>
      <c r="F27" s="10"/>
      <c r="G27" s="10">
        <f t="shared" si="0"/>
        <v>212</v>
      </c>
      <c r="H27" s="16">
        <f t="shared" si="1"/>
        <v>0.11</v>
      </c>
      <c r="I27" s="15">
        <f t="shared" si="2"/>
        <v>0</v>
      </c>
      <c r="J27" s="15"/>
    </row>
    <row r="28" spans="1:10" x14ac:dyDescent="0.25">
      <c r="A28" s="1" t="s">
        <v>16</v>
      </c>
      <c r="B28" s="1" t="s">
        <v>37</v>
      </c>
      <c r="C28" s="10"/>
      <c r="D28" s="10"/>
      <c r="E28" s="10">
        <v>3922</v>
      </c>
      <c r="F28" s="10"/>
      <c r="G28" s="10">
        <f t="shared" si="0"/>
        <v>3922</v>
      </c>
      <c r="H28" s="16">
        <f t="shared" si="1"/>
        <v>2.0099999999999998</v>
      </c>
      <c r="I28" s="15">
        <f t="shared" si="2"/>
        <v>5.0000000000000001E-3</v>
      </c>
      <c r="J28" s="15">
        <f>ROUND(G28/2076.33-1,2)</f>
        <v>0.89</v>
      </c>
    </row>
    <row r="29" spans="1:10" x14ac:dyDescent="0.25">
      <c r="A29" s="1" t="s">
        <v>16</v>
      </c>
      <c r="B29" s="1" t="s">
        <v>43</v>
      </c>
      <c r="C29" s="10"/>
      <c r="D29" s="10"/>
      <c r="E29" s="10">
        <v>2200</v>
      </c>
      <c r="F29" s="10"/>
      <c r="G29" s="10">
        <f t="shared" si="0"/>
        <v>2200</v>
      </c>
      <c r="H29" s="16">
        <f t="shared" si="1"/>
        <v>1.1299999999999999</v>
      </c>
      <c r="I29" s="15">
        <f t="shared" si="2"/>
        <v>3.0000000000000001E-3</v>
      </c>
      <c r="J29" s="15"/>
    </row>
    <row r="30" spans="1:10" x14ac:dyDescent="0.25">
      <c r="A30" s="1" t="s">
        <v>16</v>
      </c>
      <c r="B30" s="1" t="s">
        <v>38</v>
      </c>
      <c r="C30" s="10"/>
      <c r="D30" s="10"/>
      <c r="E30" s="10">
        <v>71923</v>
      </c>
      <c r="F30" s="10"/>
      <c r="G30" s="10">
        <f t="shared" si="0"/>
        <v>71923</v>
      </c>
      <c r="H30" s="16">
        <f t="shared" si="1"/>
        <v>36.85</v>
      </c>
      <c r="I30" s="15">
        <f t="shared" si="2"/>
        <v>8.7999999999999995E-2</v>
      </c>
      <c r="J30" s="15">
        <f>ROUND(G30/34948.57-1,2)</f>
        <v>1.06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5293</v>
      </c>
      <c r="F31" s="10"/>
      <c r="G31" s="10">
        <f t="shared" si="0"/>
        <v>5293</v>
      </c>
      <c r="H31" s="16">
        <f t="shared" si="1"/>
        <v>2.71</v>
      </c>
      <c r="I31" s="15">
        <f t="shared" si="2"/>
        <v>6.0000000000000001E-3</v>
      </c>
      <c r="J31" s="15">
        <f>ROUND(G31/2134.84-1,2)</f>
        <v>1.48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17860</v>
      </c>
      <c r="F32" s="10"/>
      <c r="G32" s="10">
        <f t="shared" si="0"/>
        <v>17860</v>
      </c>
      <c r="H32" s="16">
        <f t="shared" si="1"/>
        <v>9.15</v>
      </c>
      <c r="I32" s="15">
        <f t="shared" si="2"/>
        <v>2.1999999999999999E-2</v>
      </c>
      <c r="J32" s="15">
        <f>ROUND(G32/8106.69-1,2)</f>
        <v>1.2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22462</v>
      </c>
      <c r="F33" s="10"/>
      <c r="G33" s="10">
        <f t="shared" si="0"/>
        <v>22462</v>
      </c>
      <c r="H33" s="16">
        <f t="shared" si="1"/>
        <v>11.51</v>
      </c>
      <c r="I33" s="15">
        <f t="shared" si="2"/>
        <v>2.7E-2</v>
      </c>
      <c r="J33" s="15">
        <f>ROUND(G33/8801.51-1,2)</f>
        <v>1.55</v>
      </c>
    </row>
    <row r="34" spans="1:10" x14ac:dyDescent="0.25">
      <c r="A34" s="1" t="s">
        <v>16</v>
      </c>
      <c r="B34" s="1" t="s">
        <v>36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ROUND(G34/1155.15-1,2)</f>
        <v>-1</v>
      </c>
    </row>
    <row r="35" spans="1:10" x14ac:dyDescent="0.25">
      <c r="A35" s="1" t="s">
        <v>44</v>
      </c>
      <c r="B35" s="1" t="s">
        <v>45</v>
      </c>
      <c r="C35" s="10">
        <v>246760</v>
      </c>
      <c r="D35" s="10"/>
      <c r="E35" s="10"/>
      <c r="F35" s="10">
        <v>490</v>
      </c>
      <c r="G35" s="10">
        <f t="shared" si="0"/>
        <v>247250</v>
      </c>
      <c r="H35" s="16">
        <f t="shared" si="1"/>
        <v>126.66</v>
      </c>
      <c r="I35" s="15">
        <f t="shared" si="2"/>
        <v>0.30199999999999999</v>
      </c>
      <c r="J35" s="15">
        <f>ROUND(G35/241480-1,2)</f>
        <v>0.02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38413</v>
      </c>
      <c r="F36" s="10"/>
      <c r="G36" s="10">
        <f t="shared" si="0"/>
        <v>38413</v>
      </c>
      <c r="H36" s="16">
        <f t="shared" si="1"/>
        <v>19.68</v>
      </c>
      <c r="I36" s="15">
        <f t="shared" si="2"/>
        <v>4.7E-2</v>
      </c>
      <c r="J36" s="15">
        <f>ROUND(G36/15493.21-1,2)</f>
        <v>1.48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48</v>
      </c>
      <c r="B38" s="1" t="s">
        <v>51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27" t="s">
        <v>12</v>
      </c>
      <c r="B39" s="27"/>
      <c r="C39" s="11">
        <f t="shared" ref="C39:H39" si="3">SUM(C8:C38)</f>
        <v>527350</v>
      </c>
      <c r="D39" s="11">
        <f t="shared" si="3"/>
        <v>0</v>
      </c>
      <c r="E39" s="11">
        <f t="shared" si="3"/>
        <v>290192</v>
      </c>
      <c r="F39" s="11">
        <f t="shared" si="3"/>
        <v>1370</v>
      </c>
      <c r="G39" s="11">
        <f t="shared" si="3"/>
        <v>818912</v>
      </c>
      <c r="H39" s="14">
        <f t="shared" si="3"/>
        <v>419.52000000000004</v>
      </c>
      <c r="I39" s="17"/>
      <c r="J39" s="17"/>
    </row>
    <row r="40" spans="1:10" x14ac:dyDescent="0.25">
      <c r="A40" s="27" t="s">
        <v>14</v>
      </c>
      <c r="B40" s="27"/>
      <c r="C40" s="12">
        <f>ROUND(C39/G39,2)</f>
        <v>0.64</v>
      </c>
      <c r="D40" s="12">
        <f>ROUND(D39/G39,2)</f>
        <v>0</v>
      </c>
      <c r="E40" s="12">
        <f>ROUND(E39/G39,2)</f>
        <v>0.35</v>
      </c>
      <c r="F40" s="12">
        <f>ROUND(F39/G39,2)</f>
        <v>0</v>
      </c>
      <c r="G40" s="13"/>
      <c r="H40" s="13"/>
      <c r="I40" s="17"/>
      <c r="J40" s="17"/>
    </row>
    <row r="41" spans="1:10" x14ac:dyDescent="0.25">
      <c r="A41" s="2" t="s">
        <v>52</v>
      </c>
      <c r="B41" s="2"/>
      <c r="C41" s="13"/>
      <c r="D41" s="13"/>
      <c r="E41" s="13"/>
      <c r="F41" s="13"/>
      <c r="G41" s="13"/>
      <c r="H41" s="13"/>
      <c r="I41" s="17"/>
      <c r="J41" s="17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A45" s="27" t="s">
        <v>53</v>
      </c>
      <c r="B45" s="27"/>
      <c r="C45" s="11" t="s">
        <v>8</v>
      </c>
      <c r="D45" s="11" t="s">
        <v>9</v>
      </c>
      <c r="E45" s="11" t="s">
        <v>10</v>
      </c>
      <c r="F45" s="11" t="s">
        <v>11</v>
      </c>
      <c r="G45" s="11" t="s">
        <v>12</v>
      </c>
      <c r="H45" s="14" t="s">
        <v>13</v>
      </c>
      <c r="I45" s="17"/>
      <c r="J45" s="17"/>
    </row>
    <row r="46" spans="1:10" x14ac:dyDescent="0.25">
      <c r="A46" s="22" t="s">
        <v>54</v>
      </c>
      <c r="B46" s="22"/>
      <c r="C46" s="10">
        <v>280590</v>
      </c>
      <c r="D46" s="10">
        <v>0</v>
      </c>
      <c r="E46" s="10">
        <v>251779</v>
      </c>
      <c r="F46" s="10">
        <v>880</v>
      </c>
      <c r="G46" s="10">
        <f>SUM(C46:F46)</f>
        <v>533249</v>
      </c>
      <c r="H46" s="16">
        <f>ROUND(G46/1952,2)</f>
        <v>273.18</v>
      </c>
      <c r="I46" s="9"/>
      <c r="J46" s="9"/>
    </row>
    <row r="47" spans="1:10" x14ac:dyDescent="0.25">
      <c r="A47" s="22" t="s">
        <v>55</v>
      </c>
      <c r="B47" s="22"/>
      <c r="C47" s="10">
        <v>246760</v>
      </c>
      <c r="D47" s="10">
        <v>0</v>
      </c>
      <c r="E47" s="10">
        <v>38413</v>
      </c>
      <c r="F47" s="10">
        <v>490</v>
      </c>
      <c r="G47" s="10">
        <f>SUM(C47:F47)</f>
        <v>285663</v>
      </c>
      <c r="H47" s="16">
        <f>ROUND(G47/1952,2)</f>
        <v>146.34</v>
      </c>
      <c r="I47" s="9"/>
      <c r="J47" s="9"/>
    </row>
    <row r="48" spans="1:10" x14ac:dyDescent="0.25">
      <c r="A48" s="22" t="s">
        <v>56</v>
      </c>
      <c r="B48" s="22"/>
      <c r="C48" s="10">
        <v>0</v>
      </c>
      <c r="D48" s="10">
        <v>0</v>
      </c>
      <c r="E48" s="10">
        <v>0</v>
      </c>
      <c r="F48" s="10">
        <v>0</v>
      </c>
      <c r="G48" s="10">
        <f>SUM(C48:F48)</f>
        <v>0</v>
      </c>
      <c r="H48" s="16">
        <f>ROUND(G48/1952,2)</f>
        <v>0</v>
      </c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A53" s="27" t="s">
        <v>57</v>
      </c>
      <c r="B53" s="27"/>
      <c r="C53" s="14" t="s">
        <v>2</v>
      </c>
      <c r="D53" s="14">
        <v>2023</v>
      </c>
      <c r="E53" s="14" t="s">
        <v>59</v>
      </c>
      <c r="F53" s="13"/>
      <c r="G53" s="14" t="s">
        <v>60</v>
      </c>
      <c r="H53" s="14" t="s">
        <v>2</v>
      </c>
      <c r="I53" s="12" t="s">
        <v>61</v>
      </c>
      <c r="J53" s="12" t="s">
        <v>59</v>
      </c>
    </row>
    <row r="54" spans="1:10" x14ac:dyDescent="0.25">
      <c r="A54" s="22" t="s">
        <v>58</v>
      </c>
      <c r="B54" s="22"/>
      <c r="C54" s="15">
        <f>ROUND(0.6665, 4)</f>
        <v>0.66649999999999998</v>
      </c>
      <c r="D54" s="15">
        <f>ROUND(0.576, 4)</f>
        <v>0.57599999999999996</v>
      </c>
      <c r="E54" s="15">
        <f>ROUND(0.777, 4)</f>
        <v>0.77700000000000002</v>
      </c>
      <c r="F54" s="8"/>
      <c r="G54" s="14" t="s">
        <v>62</v>
      </c>
      <c r="H54" s="28" t="s">
        <v>63</v>
      </c>
      <c r="I54" s="25" t="s">
        <v>64</v>
      </c>
      <c r="J54" s="25" t="s">
        <v>65</v>
      </c>
    </row>
    <row r="55" spans="1:10" x14ac:dyDescent="0.25">
      <c r="A55" s="22" t="s">
        <v>66</v>
      </c>
      <c r="B55" s="22"/>
      <c r="C55" s="15">
        <f>ROUND(0.6322, 4)</f>
        <v>0.63219999999999998</v>
      </c>
      <c r="D55" s="15">
        <f>ROUND(0.5403, 4)</f>
        <v>0.5403</v>
      </c>
      <c r="E55" s="15">
        <f>ROUND(0.7608, 4)</f>
        <v>0.76080000000000003</v>
      </c>
      <c r="F55" s="8"/>
      <c r="G55" s="14" t="s">
        <v>67</v>
      </c>
      <c r="H55" s="29"/>
      <c r="I55" s="26"/>
      <c r="J55" s="26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68</v>
      </c>
      <c r="B59" s="27"/>
      <c r="C59" s="14" t="s">
        <v>2</v>
      </c>
      <c r="D59" s="14" t="s">
        <v>240</v>
      </c>
      <c r="E59" s="14" t="s">
        <v>70</v>
      </c>
      <c r="F59" s="14" t="s">
        <v>71</v>
      </c>
      <c r="G59" s="14" t="s">
        <v>72</v>
      </c>
      <c r="H59" s="13"/>
      <c r="I59" s="17"/>
      <c r="J59" s="17"/>
    </row>
    <row r="60" spans="1:10" x14ac:dyDescent="0.25">
      <c r="A60" s="22" t="s">
        <v>73</v>
      </c>
      <c r="B60" s="22"/>
      <c r="C60" s="16">
        <v>126.66</v>
      </c>
      <c r="D60" s="16">
        <v>130.28</v>
      </c>
      <c r="E60" s="16">
        <v>92.53</v>
      </c>
      <c r="F60" s="16">
        <v>56.06</v>
      </c>
      <c r="G60" s="16">
        <f>12/11*C60</f>
        <v>138.17454545454544</v>
      </c>
      <c r="H60" s="8"/>
      <c r="I60" s="9"/>
      <c r="J60" s="9"/>
    </row>
    <row r="61" spans="1:10" x14ac:dyDescent="0.25">
      <c r="A61" s="22" t="s">
        <v>74</v>
      </c>
      <c r="B61" s="22"/>
      <c r="C61" s="16">
        <v>37.19</v>
      </c>
      <c r="D61" s="16">
        <v>47.1</v>
      </c>
      <c r="E61" s="16">
        <v>61.98</v>
      </c>
      <c r="F61" s="16">
        <v>64.09</v>
      </c>
      <c r="G61" s="16">
        <f>12/11*C61</f>
        <v>40.570909090909083</v>
      </c>
      <c r="H61" s="8"/>
      <c r="I61" s="9"/>
      <c r="J61" s="9"/>
    </row>
    <row r="62" spans="1:10" x14ac:dyDescent="0.25">
      <c r="A62" s="22" t="s">
        <v>75</v>
      </c>
      <c r="B62" s="22"/>
      <c r="C62" s="16">
        <v>273.18</v>
      </c>
      <c r="D62" s="16">
        <v>266.69</v>
      </c>
      <c r="E62" s="16">
        <v>291.51</v>
      </c>
      <c r="F62" s="16">
        <v>284.45</v>
      </c>
      <c r="G62" s="16">
        <f>12/11*C62</f>
        <v>298.01454545454544</v>
      </c>
      <c r="H62" s="8"/>
      <c r="I62" s="9"/>
      <c r="J62" s="9"/>
    </row>
    <row r="63" spans="1:10" x14ac:dyDescent="0.25">
      <c r="A63" s="22" t="s">
        <v>76</v>
      </c>
      <c r="B63" s="22"/>
      <c r="C63" s="16">
        <v>146.34</v>
      </c>
      <c r="D63" s="16">
        <v>148.03</v>
      </c>
      <c r="E63" s="16">
        <v>116.46</v>
      </c>
      <c r="F63" s="16">
        <v>79.959999999999994</v>
      </c>
      <c r="G63" s="16">
        <f>12/11*C63</f>
        <v>159.64363636363635</v>
      </c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3" t="s">
        <v>60</v>
      </c>
      <c r="B66" s="24"/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77</v>
      </c>
      <c r="B67" s="1" t="s">
        <v>241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70</v>
      </c>
      <c r="B68" s="1" t="s">
        <v>79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71</v>
      </c>
      <c r="B69" s="1" t="s">
        <v>80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72</v>
      </c>
      <c r="B70" s="1" t="s">
        <v>81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  <row r="78" spans="1:10" x14ac:dyDescent="0.25">
      <c r="C78" s="8"/>
      <c r="D78" s="8"/>
      <c r="E78" s="8"/>
      <c r="F78" s="8"/>
      <c r="G78" s="8"/>
      <c r="H78" s="8"/>
      <c r="I78" s="9"/>
      <c r="J78" s="9"/>
    </row>
    <row r="79" spans="1:10" x14ac:dyDescent="0.25">
      <c r="C79" s="8"/>
      <c r="D79" s="8"/>
      <c r="E79" s="8"/>
      <c r="F79" s="8"/>
      <c r="G79" s="8"/>
      <c r="H79" s="8"/>
      <c r="I79" s="9"/>
      <c r="J79" s="9"/>
    </row>
  </sheetData>
  <mergeCells count="19">
    <mergeCell ref="C7:G7"/>
    <mergeCell ref="A39:B39"/>
    <mergeCell ref="A40:B40"/>
    <mergeCell ref="A45:B45"/>
    <mergeCell ref="A46:B46"/>
    <mergeCell ref="J54:J55"/>
    <mergeCell ref="A55:B55"/>
    <mergeCell ref="A59:B59"/>
    <mergeCell ref="A60:B60"/>
    <mergeCell ref="A47:B47"/>
    <mergeCell ref="A48:B48"/>
    <mergeCell ref="A53:B53"/>
    <mergeCell ref="A54:B54"/>
    <mergeCell ref="H54:H55"/>
    <mergeCell ref="A61:B61"/>
    <mergeCell ref="A62:B62"/>
    <mergeCell ref="A63:B63"/>
    <mergeCell ref="A66:B66"/>
    <mergeCell ref="I54:I5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0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242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9241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49</v>
      </c>
      <c r="C9" s="10"/>
      <c r="D9" s="10"/>
      <c r="E9" s="10"/>
      <c r="F9" s="10">
        <v>96</v>
      </c>
      <c r="G9" s="10">
        <f t="shared" ref="G9:G47" si="0">SUM(C9:F9)</f>
        <v>96</v>
      </c>
      <c r="H9" s="16">
        <f t="shared" ref="H9:H47" si="1">ROUND(G9/9241,2)</f>
        <v>0.01</v>
      </c>
      <c r="I9" s="15">
        <f t="shared" ref="I9:I47" si="2">ROUND(G9/$G$48,3)</f>
        <v>0</v>
      </c>
      <c r="J9" s="15">
        <f>ROUND(G9/10-1,2)</f>
        <v>8.6</v>
      </c>
    </row>
    <row r="10" spans="1:10" x14ac:dyDescent="0.25">
      <c r="A10" s="1" t="s">
        <v>48</v>
      </c>
      <c r="B10" s="1" t="s">
        <v>86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/>
    </row>
    <row r="11" spans="1:10" x14ac:dyDescent="0.25">
      <c r="A11" s="1" t="s">
        <v>48</v>
      </c>
      <c r="B11" s="1" t="s">
        <v>50</v>
      </c>
      <c r="C11" s="10"/>
      <c r="D11" s="10"/>
      <c r="E11" s="10"/>
      <c r="F11" s="10"/>
      <c r="G11" s="10">
        <f t="shared" si="0"/>
        <v>0</v>
      </c>
      <c r="H11" s="16">
        <f t="shared" si="1"/>
        <v>0</v>
      </c>
      <c r="I11" s="15">
        <f t="shared" si="2"/>
        <v>0</v>
      </c>
      <c r="J11" s="15">
        <f>ROUND(G11/871-1,2)</f>
        <v>-1</v>
      </c>
    </row>
    <row r="12" spans="1:10" x14ac:dyDescent="0.25">
      <c r="A12" s="1" t="s">
        <v>48</v>
      </c>
      <c r="B12" s="1" t="s">
        <v>51</v>
      </c>
      <c r="C12" s="10"/>
      <c r="D12" s="10"/>
      <c r="E12" s="10"/>
      <c r="F12" s="10"/>
      <c r="G12" s="10">
        <f t="shared" si="0"/>
        <v>0</v>
      </c>
      <c r="H12" s="16">
        <f t="shared" si="1"/>
        <v>0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17</v>
      </c>
      <c r="C13" s="10"/>
      <c r="D13" s="10"/>
      <c r="E13" s="10">
        <v>195</v>
      </c>
      <c r="F13" s="10"/>
      <c r="G13" s="10">
        <f t="shared" si="0"/>
        <v>195</v>
      </c>
      <c r="H13" s="16">
        <f t="shared" si="1"/>
        <v>0.02</v>
      </c>
      <c r="I13" s="15">
        <f t="shared" si="2"/>
        <v>0</v>
      </c>
      <c r="J13" s="15">
        <f>ROUND(G13/149-1,2)</f>
        <v>0.31</v>
      </c>
    </row>
    <row r="14" spans="1:10" x14ac:dyDescent="0.25">
      <c r="A14" s="1" t="s">
        <v>16</v>
      </c>
      <c r="B14" s="1" t="s">
        <v>19</v>
      </c>
      <c r="C14" s="10">
        <v>247890</v>
      </c>
      <c r="D14" s="10"/>
      <c r="E14" s="10">
        <v>14565</v>
      </c>
      <c r="F14" s="10"/>
      <c r="G14" s="10">
        <f t="shared" si="0"/>
        <v>262455</v>
      </c>
      <c r="H14" s="16">
        <f t="shared" si="1"/>
        <v>28.4</v>
      </c>
      <c r="I14" s="15">
        <f t="shared" si="2"/>
        <v>7.2999999999999995E-2</v>
      </c>
      <c r="J14" s="15">
        <f>ROUND(G14/255840-1,2)</f>
        <v>0.03</v>
      </c>
    </row>
    <row r="15" spans="1:10" x14ac:dyDescent="0.25">
      <c r="A15" s="1" t="s">
        <v>16</v>
      </c>
      <c r="B15" s="1" t="s">
        <v>20</v>
      </c>
      <c r="C15" s="10">
        <v>282820</v>
      </c>
      <c r="D15" s="10"/>
      <c r="E15" s="10"/>
      <c r="F15" s="10"/>
      <c r="G15" s="10">
        <f t="shared" si="0"/>
        <v>282820</v>
      </c>
      <c r="H15" s="16">
        <f t="shared" si="1"/>
        <v>30.6</v>
      </c>
      <c r="I15" s="15">
        <f t="shared" si="2"/>
        <v>7.9000000000000001E-2</v>
      </c>
      <c r="J15" s="15">
        <f>ROUND(G15/289710-1,2)</f>
        <v>-0.02</v>
      </c>
    </row>
    <row r="16" spans="1:10" x14ac:dyDescent="0.25">
      <c r="A16" s="1" t="s">
        <v>16</v>
      </c>
      <c r="B16" s="1" t="s">
        <v>95</v>
      </c>
      <c r="C16" s="10"/>
      <c r="D16" s="10"/>
      <c r="E16" s="10">
        <v>156</v>
      </c>
      <c r="F16" s="10"/>
      <c r="G16" s="10">
        <f t="shared" si="0"/>
        <v>156</v>
      </c>
      <c r="H16" s="16">
        <f t="shared" si="1"/>
        <v>0.02</v>
      </c>
      <c r="I16" s="15">
        <f t="shared" si="2"/>
        <v>0</v>
      </c>
      <c r="J16" s="15">
        <f>ROUND(G16/105-1,2)</f>
        <v>0.49</v>
      </c>
    </row>
    <row r="17" spans="1:10" x14ac:dyDescent="0.25">
      <c r="A17" s="1" t="s">
        <v>16</v>
      </c>
      <c r="B17" s="1" t="s">
        <v>21</v>
      </c>
      <c r="C17" s="10"/>
      <c r="D17" s="10"/>
      <c r="E17" s="10">
        <v>327</v>
      </c>
      <c r="F17" s="10"/>
      <c r="G17" s="10">
        <f t="shared" si="0"/>
        <v>327</v>
      </c>
      <c r="H17" s="16">
        <f t="shared" si="1"/>
        <v>0.04</v>
      </c>
      <c r="I17" s="15">
        <f t="shared" si="2"/>
        <v>0</v>
      </c>
      <c r="J17" s="15">
        <f>ROUND(G17/360-1,2)</f>
        <v>-0.09</v>
      </c>
    </row>
    <row r="18" spans="1:10" x14ac:dyDescent="0.25">
      <c r="A18" s="1" t="s">
        <v>16</v>
      </c>
      <c r="B18" s="1" t="s">
        <v>22</v>
      </c>
      <c r="C18" s="10"/>
      <c r="D18" s="10"/>
      <c r="E18" s="10">
        <v>4700</v>
      </c>
      <c r="F18" s="10"/>
      <c r="G18" s="10">
        <f t="shared" si="0"/>
        <v>4700</v>
      </c>
      <c r="H18" s="16">
        <f t="shared" si="1"/>
        <v>0.51</v>
      </c>
      <c r="I18" s="15">
        <f t="shared" si="2"/>
        <v>1E-3</v>
      </c>
      <c r="J18" s="15">
        <f>ROUND(G18/3300-1,2)</f>
        <v>0.42</v>
      </c>
    </row>
    <row r="19" spans="1:10" x14ac:dyDescent="0.25">
      <c r="A19" s="1" t="s">
        <v>16</v>
      </c>
      <c r="B19" s="1" t="s">
        <v>23</v>
      </c>
      <c r="C19" s="10"/>
      <c r="D19" s="10"/>
      <c r="E19" s="10">
        <v>207660</v>
      </c>
      <c r="F19" s="10"/>
      <c r="G19" s="10">
        <f t="shared" si="0"/>
        <v>207660</v>
      </c>
      <c r="H19" s="16">
        <f t="shared" si="1"/>
        <v>22.47</v>
      </c>
      <c r="I19" s="15">
        <f t="shared" si="2"/>
        <v>5.8000000000000003E-2</v>
      </c>
      <c r="J19" s="15">
        <f>ROUND(G19/177760-1,2)</f>
        <v>0.17</v>
      </c>
    </row>
    <row r="20" spans="1:10" x14ac:dyDescent="0.25">
      <c r="A20" s="1" t="s">
        <v>16</v>
      </c>
      <c r="B20" s="1" t="s">
        <v>24</v>
      </c>
      <c r="C20" s="10">
        <v>403240</v>
      </c>
      <c r="D20" s="10"/>
      <c r="E20" s="10">
        <v>66140</v>
      </c>
      <c r="F20" s="10"/>
      <c r="G20" s="10">
        <f t="shared" si="0"/>
        <v>469380</v>
      </c>
      <c r="H20" s="16">
        <f t="shared" si="1"/>
        <v>50.79</v>
      </c>
      <c r="I20" s="15">
        <f t="shared" si="2"/>
        <v>0.13</v>
      </c>
      <c r="J20" s="15">
        <f>ROUND(G20/444455-1,2)</f>
        <v>0.06</v>
      </c>
    </row>
    <row r="21" spans="1:10" x14ac:dyDescent="0.25">
      <c r="A21" s="1" t="s">
        <v>16</v>
      </c>
      <c r="B21" s="1" t="s">
        <v>25</v>
      </c>
      <c r="C21" s="10"/>
      <c r="D21" s="10"/>
      <c r="E21" s="10">
        <v>10975</v>
      </c>
      <c r="F21" s="10"/>
      <c r="G21" s="10">
        <f t="shared" si="0"/>
        <v>10975</v>
      </c>
      <c r="H21" s="16">
        <f t="shared" si="1"/>
        <v>1.19</v>
      </c>
      <c r="I21" s="15">
        <f t="shared" si="2"/>
        <v>3.0000000000000001E-3</v>
      </c>
      <c r="J21" s="15">
        <f>ROUND(G21/14095-1,2)</f>
        <v>-0.22</v>
      </c>
    </row>
    <row r="22" spans="1:10" x14ac:dyDescent="0.25">
      <c r="A22" s="1" t="s">
        <v>16</v>
      </c>
      <c r="B22" s="1" t="s">
        <v>26</v>
      </c>
      <c r="C22" s="10">
        <v>578090</v>
      </c>
      <c r="D22" s="10"/>
      <c r="E22" s="10"/>
      <c r="F22" s="10">
        <v>960</v>
      </c>
      <c r="G22" s="10">
        <f t="shared" si="0"/>
        <v>579050</v>
      </c>
      <c r="H22" s="16">
        <f t="shared" si="1"/>
        <v>62.66</v>
      </c>
      <c r="I22" s="15">
        <f t="shared" si="2"/>
        <v>0.161</v>
      </c>
      <c r="J22" s="15">
        <f>ROUND(G22/579600-1,2)</f>
        <v>0</v>
      </c>
    </row>
    <row r="23" spans="1:10" x14ac:dyDescent="0.25">
      <c r="A23" s="1" t="s">
        <v>16</v>
      </c>
      <c r="B23" s="1" t="s">
        <v>27</v>
      </c>
      <c r="C23" s="10"/>
      <c r="D23" s="10"/>
      <c r="E23" s="10">
        <v>2426</v>
      </c>
      <c r="F23" s="10"/>
      <c r="G23" s="10">
        <f t="shared" si="0"/>
        <v>2426</v>
      </c>
      <c r="H23" s="16">
        <f t="shared" si="1"/>
        <v>0.26</v>
      </c>
      <c r="I23" s="15">
        <f t="shared" si="2"/>
        <v>1E-3</v>
      </c>
      <c r="J23" s="15">
        <f>ROUND(G23/1629-1,2)</f>
        <v>0.49</v>
      </c>
    </row>
    <row r="24" spans="1:10" x14ac:dyDescent="0.25">
      <c r="A24" s="1" t="s">
        <v>16</v>
      </c>
      <c r="B24" s="1" t="s">
        <v>28</v>
      </c>
      <c r="C24" s="10"/>
      <c r="D24" s="10"/>
      <c r="E24" s="10">
        <v>1926</v>
      </c>
      <c r="F24" s="10"/>
      <c r="G24" s="10">
        <f t="shared" si="0"/>
        <v>1926</v>
      </c>
      <c r="H24" s="16">
        <f t="shared" si="1"/>
        <v>0.21</v>
      </c>
      <c r="I24" s="15">
        <f t="shared" si="2"/>
        <v>1E-3</v>
      </c>
      <c r="J24" s="15">
        <f>ROUND(G24/1856-1,2)</f>
        <v>0.04</v>
      </c>
    </row>
    <row r="25" spans="1:10" x14ac:dyDescent="0.25">
      <c r="A25" s="1" t="s">
        <v>16</v>
      </c>
      <c r="B25" s="1" t="s">
        <v>42</v>
      </c>
      <c r="C25" s="10"/>
      <c r="D25" s="10"/>
      <c r="E25" s="10">
        <v>70</v>
      </c>
      <c r="F25" s="10"/>
      <c r="G25" s="10">
        <f t="shared" si="0"/>
        <v>70</v>
      </c>
      <c r="H25" s="16">
        <f t="shared" si="1"/>
        <v>0.01</v>
      </c>
      <c r="I25" s="15">
        <f t="shared" si="2"/>
        <v>0</v>
      </c>
      <c r="J25" s="15">
        <f>ROUND(G25/436-1,2)</f>
        <v>-0.84</v>
      </c>
    </row>
    <row r="26" spans="1:10" x14ac:dyDescent="0.25">
      <c r="A26" s="1" t="s">
        <v>16</v>
      </c>
      <c r="B26" s="1" t="s">
        <v>29</v>
      </c>
      <c r="C26" s="10"/>
      <c r="D26" s="10"/>
      <c r="E26" s="10">
        <v>5540</v>
      </c>
      <c r="F26" s="10"/>
      <c r="G26" s="10">
        <f t="shared" si="0"/>
        <v>5540</v>
      </c>
      <c r="H26" s="16">
        <f t="shared" si="1"/>
        <v>0.6</v>
      </c>
      <c r="I26" s="15">
        <f t="shared" si="2"/>
        <v>2E-3</v>
      </c>
      <c r="J26" s="15">
        <f>ROUND(G26/8709-1,2)</f>
        <v>-0.36</v>
      </c>
    </row>
    <row r="27" spans="1:10" x14ac:dyDescent="0.25">
      <c r="A27" s="1" t="s">
        <v>16</v>
      </c>
      <c r="B27" s="1" t="s">
        <v>30</v>
      </c>
      <c r="C27" s="10"/>
      <c r="D27" s="10"/>
      <c r="E27" s="10">
        <v>2630</v>
      </c>
      <c r="F27" s="10"/>
      <c r="G27" s="10">
        <f t="shared" si="0"/>
        <v>2630</v>
      </c>
      <c r="H27" s="16">
        <f t="shared" si="1"/>
        <v>0.28000000000000003</v>
      </c>
      <c r="I27" s="15">
        <f t="shared" si="2"/>
        <v>1E-3</v>
      </c>
      <c r="J27" s="15">
        <f>ROUND(G27/2820-1,2)</f>
        <v>-7.0000000000000007E-2</v>
      </c>
    </row>
    <row r="28" spans="1:10" x14ac:dyDescent="0.25">
      <c r="A28" s="1" t="s">
        <v>16</v>
      </c>
      <c r="B28" s="1" t="s">
        <v>31</v>
      </c>
      <c r="C28" s="10"/>
      <c r="D28" s="10"/>
      <c r="E28" s="10">
        <v>1170</v>
      </c>
      <c r="F28" s="10"/>
      <c r="G28" s="10">
        <f t="shared" si="0"/>
        <v>1170</v>
      </c>
      <c r="H28" s="16">
        <f t="shared" si="1"/>
        <v>0.13</v>
      </c>
      <c r="I28" s="15">
        <f t="shared" si="2"/>
        <v>0</v>
      </c>
      <c r="J28" s="15">
        <f>ROUND(G28/760-1,2)</f>
        <v>0.54</v>
      </c>
    </row>
    <row r="29" spans="1:10" x14ac:dyDescent="0.25">
      <c r="A29" s="1" t="s">
        <v>16</v>
      </c>
      <c r="B29" s="1" t="s">
        <v>32</v>
      </c>
      <c r="C29" s="10"/>
      <c r="D29" s="10"/>
      <c r="E29" s="10">
        <v>4585</v>
      </c>
      <c r="F29" s="10"/>
      <c r="G29" s="10">
        <f t="shared" si="0"/>
        <v>4585</v>
      </c>
      <c r="H29" s="16">
        <f t="shared" si="1"/>
        <v>0.5</v>
      </c>
      <c r="I29" s="15">
        <f t="shared" si="2"/>
        <v>1E-3</v>
      </c>
      <c r="J29" s="15">
        <f>ROUND(G29/4680-1,2)</f>
        <v>-0.02</v>
      </c>
    </row>
    <row r="30" spans="1:10" x14ac:dyDescent="0.25">
      <c r="A30" s="1" t="s">
        <v>16</v>
      </c>
      <c r="B30" s="1" t="s">
        <v>33</v>
      </c>
      <c r="C30" s="10"/>
      <c r="D30" s="10">
        <v>809</v>
      </c>
      <c r="E30" s="10">
        <v>203</v>
      </c>
      <c r="F30" s="10"/>
      <c r="G30" s="10">
        <f t="shared" si="0"/>
        <v>1012</v>
      </c>
      <c r="H30" s="16">
        <f t="shared" si="1"/>
        <v>0.11</v>
      </c>
      <c r="I30" s="15">
        <f t="shared" si="2"/>
        <v>0</v>
      </c>
      <c r="J30" s="15">
        <f>ROUND(G30/914-1,2)</f>
        <v>0.11</v>
      </c>
    </row>
    <row r="31" spans="1:10" x14ac:dyDescent="0.25">
      <c r="A31" s="1" t="s">
        <v>16</v>
      </c>
      <c r="B31" s="1" t="s">
        <v>35</v>
      </c>
      <c r="C31" s="10"/>
      <c r="D31" s="10"/>
      <c r="E31" s="10">
        <v>1060</v>
      </c>
      <c r="F31" s="10"/>
      <c r="G31" s="10">
        <f t="shared" si="0"/>
        <v>1060</v>
      </c>
      <c r="H31" s="16">
        <f t="shared" si="1"/>
        <v>0.11</v>
      </c>
      <c r="I31" s="15">
        <f t="shared" si="2"/>
        <v>0</v>
      </c>
      <c r="J31" s="15">
        <f>ROUND(G31/556-1,2)</f>
        <v>0.91</v>
      </c>
    </row>
    <row r="32" spans="1:10" x14ac:dyDescent="0.25">
      <c r="A32" s="1" t="s">
        <v>16</v>
      </c>
      <c r="B32" s="1" t="s">
        <v>36</v>
      </c>
      <c r="C32" s="10"/>
      <c r="D32" s="10"/>
      <c r="E32" s="10">
        <v>2770</v>
      </c>
      <c r="F32" s="10"/>
      <c r="G32" s="10">
        <f t="shared" si="0"/>
        <v>2770</v>
      </c>
      <c r="H32" s="16">
        <f t="shared" si="1"/>
        <v>0.3</v>
      </c>
      <c r="I32" s="15">
        <f t="shared" si="2"/>
        <v>1E-3</v>
      </c>
      <c r="J32" s="15">
        <f>ROUND(G32/4453-1,2)</f>
        <v>-0.38</v>
      </c>
    </row>
    <row r="33" spans="1:10" x14ac:dyDescent="0.25">
      <c r="A33" s="1" t="s">
        <v>16</v>
      </c>
      <c r="B33" s="1" t="s">
        <v>37</v>
      </c>
      <c r="C33" s="10"/>
      <c r="D33" s="10"/>
      <c r="E33" s="10">
        <v>6759</v>
      </c>
      <c r="F33" s="10"/>
      <c r="G33" s="10">
        <f t="shared" si="0"/>
        <v>6759</v>
      </c>
      <c r="H33" s="16">
        <f t="shared" si="1"/>
        <v>0.73</v>
      </c>
      <c r="I33" s="15">
        <f t="shared" si="2"/>
        <v>2E-3</v>
      </c>
      <c r="J33" s="15">
        <f>ROUND(G33/9420-1,2)</f>
        <v>-0.28000000000000003</v>
      </c>
    </row>
    <row r="34" spans="1:10" x14ac:dyDescent="0.25">
      <c r="A34" s="1" t="s">
        <v>16</v>
      </c>
      <c r="B34" s="1" t="s">
        <v>43</v>
      </c>
      <c r="C34" s="10"/>
      <c r="D34" s="10"/>
      <c r="E34" s="10">
        <v>10140</v>
      </c>
      <c r="F34" s="10"/>
      <c r="G34" s="10">
        <f t="shared" si="0"/>
        <v>10140</v>
      </c>
      <c r="H34" s="16">
        <f t="shared" si="1"/>
        <v>1.1000000000000001</v>
      </c>
      <c r="I34" s="15">
        <f t="shared" si="2"/>
        <v>3.0000000000000001E-3</v>
      </c>
      <c r="J34" s="15">
        <f>ROUND(G34/21807-1,2)</f>
        <v>-0.54</v>
      </c>
    </row>
    <row r="35" spans="1:10" x14ac:dyDescent="0.25">
      <c r="A35" s="1" t="s">
        <v>16</v>
      </c>
      <c r="B35" s="1" t="s">
        <v>38</v>
      </c>
      <c r="C35" s="10"/>
      <c r="D35" s="10"/>
      <c r="E35" s="10">
        <v>219795</v>
      </c>
      <c r="F35" s="10"/>
      <c r="G35" s="10">
        <f t="shared" si="0"/>
        <v>219795</v>
      </c>
      <c r="H35" s="16">
        <f t="shared" si="1"/>
        <v>23.78</v>
      </c>
      <c r="I35" s="15">
        <f t="shared" si="2"/>
        <v>6.0999999999999999E-2</v>
      </c>
      <c r="J35" s="15">
        <f>ROUND(G35/187195-1,2)</f>
        <v>0.17</v>
      </c>
    </row>
    <row r="36" spans="1:10" x14ac:dyDescent="0.25">
      <c r="A36" s="1" t="s">
        <v>16</v>
      </c>
      <c r="B36" s="1" t="s">
        <v>39</v>
      </c>
      <c r="C36" s="10"/>
      <c r="D36" s="10"/>
      <c r="E36" s="10">
        <v>7855</v>
      </c>
      <c r="F36" s="10"/>
      <c r="G36" s="10">
        <f t="shared" si="0"/>
        <v>7855</v>
      </c>
      <c r="H36" s="16">
        <f t="shared" si="1"/>
        <v>0.85</v>
      </c>
      <c r="I36" s="15">
        <f t="shared" si="2"/>
        <v>2E-3</v>
      </c>
      <c r="J36" s="15">
        <f>ROUND(G36/7930-1,2)</f>
        <v>-0.01</v>
      </c>
    </row>
    <row r="37" spans="1:10" x14ac:dyDescent="0.25">
      <c r="A37" s="1" t="s">
        <v>16</v>
      </c>
      <c r="B37" s="1" t="s">
        <v>40</v>
      </c>
      <c r="C37" s="10"/>
      <c r="D37" s="10"/>
      <c r="E37" s="10">
        <v>15780</v>
      </c>
      <c r="F37" s="10"/>
      <c r="G37" s="10">
        <f t="shared" si="0"/>
        <v>15780</v>
      </c>
      <c r="H37" s="16">
        <f t="shared" si="1"/>
        <v>1.71</v>
      </c>
      <c r="I37" s="15">
        <f t="shared" si="2"/>
        <v>4.0000000000000001E-3</v>
      </c>
      <c r="J37" s="15">
        <f>ROUND(G37/26640-1,2)</f>
        <v>-0.41</v>
      </c>
    </row>
    <row r="38" spans="1:10" x14ac:dyDescent="0.25">
      <c r="A38" s="1" t="s">
        <v>16</v>
      </c>
      <c r="B38" s="1" t="s">
        <v>41</v>
      </c>
      <c r="C38" s="10"/>
      <c r="D38" s="10"/>
      <c r="E38" s="10">
        <v>696150</v>
      </c>
      <c r="F38" s="10">
        <v>1700</v>
      </c>
      <c r="G38" s="10">
        <f t="shared" si="0"/>
        <v>697850</v>
      </c>
      <c r="H38" s="16">
        <f t="shared" si="1"/>
        <v>75.52</v>
      </c>
      <c r="I38" s="15">
        <f t="shared" si="2"/>
        <v>0.19400000000000001</v>
      </c>
      <c r="J38" s="15">
        <f>ROUND(G38/609700-1,2)</f>
        <v>0.14000000000000001</v>
      </c>
    </row>
    <row r="39" spans="1:10" x14ac:dyDescent="0.25">
      <c r="A39" s="1" t="s">
        <v>16</v>
      </c>
      <c r="B39" s="1" t="s">
        <v>98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ROUND(G39/645-1,2)</f>
        <v>-1</v>
      </c>
    </row>
    <row r="40" spans="1:10" x14ac:dyDescent="0.25">
      <c r="A40" s="1" t="s">
        <v>16</v>
      </c>
      <c r="B40" s="1" t="s">
        <v>34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ROUND(G40/460-1,2)</f>
        <v>-1</v>
      </c>
    </row>
    <row r="41" spans="1:10" x14ac:dyDescent="0.25">
      <c r="A41" s="1" t="s">
        <v>16</v>
      </c>
      <c r="B41" s="1" t="s">
        <v>243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ROUND(G41/836-1,2)</f>
        <v>-1</v>
      </c>
    </row>
    <row r="42" spans="1:10" x14ac:dyDescent="0.25">
      <c r="A42" s="1" t="s">
        <v>16</v>
      </c>
      <c r="B42" s="1" t="s">
        <v>96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>
        <f>ROUND(G42/200-1,2)</f>
        <v>-1</v>
      </c>
    </row>
    <row r="43" spans="1:10" x14ac:dyDescent="0.25">
      <c r="A43" s="1" t="s">
        <v>16</v>
      </c>
      <c r="B43" s="1" t="s">
        <v>161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/>
    </row>
    <row r="44" spans="1:10" x14ac:dyDescent="0.25">
      <c r="A44" s="1" t="s">
        <v>16</v>
      </c>
      <c r="B44" s="1" t="s">
        <v>120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1" t="s">
        <v>44</v>
      </c>
      <c r="B45" s="1" t="s">
        <v>45</v>
      </c>
      <c r="C45" s="10">
        <v>542940</v>
      </c>
      <c r="D45" s="10"/>
      <c r="E45" s="10"/>
      <c r="F45" s="10">
        <v>110</v>
      </c>
      <c r="G45" s="10">
        <f t="shared" si="0"/>
        <v>543050</v>
      </c>
      <c r="H45" s="16">
        <f t="shared" si="1"/>
        <v>58.77</v>
      </c>
      <c r="I45" s="15">
        <f t="shared" si="2"/>
        <v>0.151</v>
      </c>
      <c r="J45" s="15">
        <f>ROUND(G45/515840-1,2)</f>
        <v>0.05</v>
      </c>
    </row>
    <row r="46" spans="1:10" x14ac:dyDescent="0.25">
      <c r="A46" s="1" t="s">
        <v>44</v>
      </c>
      <c r="B46" s="1" t="s">
        <v>47</v>
      </c>
      <c r="C46" s="10"/>
      <c r="D46" s="10"/>
      <c r="E46" s="10"/>
      <c r="F46" s="10">
        <v>66220</v>
      </c>
      <c r="G46" s="10">
        <f t="shared" si="0"/>
        <v>66220</v>
      </c>
      <c r="H46" s="16">
        <f t="shared" si="1"/>
        <v>7.17</v>
      </c>
      <c r="I46" s="15">
        <f t="shared" si="2"/>
        <v>1.7999999999999999E-2</v>
      </c>
      <c r="J46" s="15">
        <f>ROUND(G46/67860-1,2)</f>
        <v>-0.02</v>
      </c>
    </row>
    <row r="47" spans="1:10" x14ac:dyDescent="0.25">
      <c r="A47" s="1" t="s">
        <v>44</v>
      </c>
      <c r="B47" s="1" t="s">
        <v>46</v>
      </c>
      <c r="C47" s="10"/>
      <c r="D47" s="10"/>
      <c r="E47" s="10">
        <v>191540</v>
      </c>
      <c r="F47" s="10"/>
      <c r="G47" s="10">
        <f t="shared" si="0"/>
        <v>191540</v>
      </c>
      <c r="H47" s="16">
        <f t="shared" si="1"/>
        <v>20.73</v>
      </c>
      <c r="I47" s="15">
        <f t="shared" si="2"/>
        <v>5.2999999999999999E-2</v>
      </c>
      <c r="J47" s="15">
        <f>ROUND(G47/155570-1,2)</f>
        <v>0.23</v>
      </c>
    </row>
    <row r="48" spans="1:10" x14ac:dyDescent="0.25">
      <c r="A48" s="27" t="s">
        <v>12</v>
      </c>
      <c r="B48" s="27"/>
      <c r="C48" s="11">
        <f t="shared" ref="C48:H48" si="3">SUM(C8:C47)</f>
        <v>2054980</v>
      </c>
      <c r="D48" s="11">
        <f t="shared" si="3"/>
        <v>809</v>
      </c>
      <c r="E48" s="11">
        <f t="shared" si="3"/>
        <v>1475117</v>
      </c>
      <c r="F48" s="11">
        <f t="shared" si="3"/>
        <v>69086</v>
      </c>
      <c r="G48" s="11">
        <f t="shared" si="3"/>
        <v>3599992</v>
      </c>
      <c r="H48" s="14">
        <f t="shared" si="3"/>
        <v>389.58</v>
      </c>
      <c r="I48" s="17"/>
      <c r="J48" s="17"/>
    </row>
    <row r="49" spans="1:10" x14ac:dyDescent="0.25">
      <c r="A49" s="27" t="s">
        <v>14</v>
      </c>
      <c r="B49" s="27"/>
      <c r="C49" s="12">
        <f>ROUND(C48/G48,2)</f>
        <v>0.56999999999999995</v>
      </c>
      <c r="D49" s="12">
        <f>ROUND(D48/G48,2)</f>
        <v>0</v>
      </c>
      <c r="E49" s="12">
        <f>ROUND(E48/G48,2)</f>
        <v>0.41</v>
      </c>
      <c r="F49" s="12">
        <f>ROUND(F48/G48,2)</f>
        <v>0.02</v>
      </c>
      <c r="G49" s="13"/>
      <c r="H49" s="13"/>
      <c r="I49" s="17"/>
      <c r="J49" s="17"/>
    </row>
    <row r="50" spans="1:10" x14ac:dyDescent="0.25">
      <c r="A50" s="2" t="s">
        <v>52</v>
      </c>
      <c r="B50" s="2"/>
      <c r="C50" s="13"/>
      <c r="D50" s="13"/>
      <c r="E50" s="13"/>
      <c r="F50" s="13"/>
      <c r="G50" s="13"/>
      <c r="H50" s="13"/>
      <c r="I50" s="17"/>
      <c r="J50" s="17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53</v>
      </c>
      <c r="B54" s="27"/>
      <c r="C54" s="11" t="s">
        <v>8</v>
      </c>
      <c r="D54" s="11" t="s">
        <v>9</v>
      </c>
      <c r="E54" s="11" t="s">
        <v>10</v>
      </c>
      <c r="F54" s="11" t="s">
        <v>11</v>
      </c>
      <c r="G54" s="11" t="s">
        <v>12</v>
      </c>
      <c r="H54" s="14" t="s">
        <v>13</v>
      </c>
      <c r="I54" s="17"/>
      <c r="J54" s="17"/>
    </row>
    <row r="55" spans="1:10" x14ac:dyDescent="0.25">
      <c r="A55" s="22" t="s">
        <v>54</v>
      </c>
      <c r="B55" s="22"/>
      <c r="C55" s="10">
        <v>1512040</v>
      </c>
      <c r="D55" s="10">
        <v>809</v>
      </c>
      <c r="E55" s="10">
        <v>1283577</v>
      </c>
      <c r="F55" s="10">
        <v>2660</v>
      </c>
      <c r="G55" s="10">
        <f>SUM(C55:F55)</f>
        <v>2799086</v>
      </c>
      <c r="H55" s="16">
        <f>ROUND(G55/9241,2)</f>
        <v>302.89999999999998</v>
      </c>
      <c r="I55" s="9"/>
      <c r="J55" s="9"/>
    </row>
    <row r="56" spans="1:10" x14ac:dyDescent="0.25">
      <c r="A56" s="22" t="s">
        <v>55</v>
      </c>
      <c r="B56" s="22"/>
      <c r="C56" s="10">
        <v>542940</v>
      </c>
      <c r="D56" s="10">
        <v>0</v>
      </c>
      <c r="E56" s="10">
        <v>191540</v>
      </c>
      <c r="F56" s="10">
        <v>66330</v>
      </c>
      <c r="G56" s="10">
        <f>SUM(C56:F56)</f>
        <v>800810</v>
      </c>
      <c r="H56" s="16">
        <f>ROUND(G56/9241,2)</f>
        <v>86.66</v>
      </c>
      <c r="I56" s="9"/>
      <c r="J56" s="9"/>
    </row>
    <row r="57" spans="1:10" x14ac:dyDescent="0.25">
      <c r="A57" s="22" t="s">
        <v>56</v>
      </c>
      <c r="B57" s="22"/>
      <c r="C57" s="10">
        <v>0</v>
      </c>
      <c r="D57" s="10">
        <v>0</v>
      </c>
      <c r="E57" s="10">
        <v>0</v>
      </c>
      <c r="F57" s="10">
        <v>96</v>
      </c>
      <c r="G57" s="10">
        <f>SUM(C57:F57)</f>
        <v>96</v>
      </c>
      <c r="H57" s="16">
        <f>ROUND(G57/9241,2)</f>
        <v>0.01</v>
      </c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57</v>
      </c>
      <c r="B62" s="27"/>
      <c r="C62" s="14" t="s">
        <v>2</v>
      </c>
      <c r="D62" s="14">
        <v>2023</v>
      </c>
      <c r="E62" s="14" t="s">
        <v>59</v>
      </c>
      <c r="F62" s="13"/>
      <c r="G62" s="14" t="s">
        <v>60</v>
      </c>
      <c r="H62" s="14" t="s">
        <v>2</v>
      </c>
      <c r="I62" s="12" t="s">
        <v>61</v>
      </c>
      <c r="J62" s="12" t="s">
        <v>59</v>
      </c>
    </row>
    <row r="63" spans="1:10" x14ac:dyDescent="0.25">
      <c r="A63" s="22" t="s">
        <v>58</v>
      </c>
      <c r="B63" s="22"/>
      <c r="C63" s="15">
        <f>ROUND(0.8318, 4)</f>
        <v>0.83179999999999998</v>
      </c>
      <c r="D63" s="15">
        <f>ROUND(0.8302, 4)</f>
        <v>0.83020000000000005</v>
      </c>
      <c r="E63" s="15">
        <f>ROUND(0.777, 4)</f>
        <v>0.77700000000000002</v>
      </c>
      <c r="F63" s="8"/>
      <c r="G63" s="14" t="s">
        <v>62</v>
      </c>
      <c r="H63" s="28" t="s">
        <v>63</v>
      </c>
      <c r="I63" s="25" t="s">
        <v>64</v>
      </c>
      <c r="J63" s="25" t="s">
        <v>65</v>
      </c>
    </row>
    <row r="64" spans="1:10" x14ac:dyDescent="0.25">
      <c r="A64" s="22" t="s">
        <v>66</v>
      </c>
      <c r="B64" s="22"/>
      <c r="C64" s="15">
        <f>ROUND(0.8218, 4)</f>
        <v>0.82179999999999997</v>
      </c>
      <c r="D64" s="15">
        <f>ROUND(0.8199, 4)</f>
        <v>0.81989999999999996</v>
      </c>
      <c r="E64" s="15">
        <f>ROUND(0.7608, 4)</f>
        <v>0.76080000000000003</v>
      </c>
      <c r="F64" s="8"/>
      <c r="G64" s="14" t="s">
        <v>67</v>
      </c>
      <c r="H64" s="29"/>
      <c r="I64" s="26"/>
      <c r="J64" s="26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7" t="s">
        <v>68</v>
      </c>
      <c r="B68" s="27"/>
      <c r="C68" s="14" t="s">
        <v>2</v>
      </c>
      <c r="D68" s="14" t="s">
        <v>244</v>
      </c>
      <c r="E68" s="14" t="s">
        <v>70</v>
      </c>
      <c r="F68" s="14" t="s">
        <v>71</v>
      </c>
      <c r="G68" s="14" t="s">
        <v>72</v>
      </c>
      <c r="H68" s="13"/>
      <c r="I68" s="17"/>
      <c r="J68" s="17"/>
    </row>
    <row r="69" spans="1:10" x14ac:dyDescent="0.25">
      <c r="A69" s="22" t="s">
        <v>73</v>
      </c>
      <c r="B69" s="22"/>
      <c r="C69" s="16">
        <v>58.77</v>
      </c>
      <c r="D69" s="16">
        <v>58.22</v>
      </c>
      <c r="E69" s="16">
        <v>92.53</v>
      </c>
      <c r="F69" s="16">
        <v>56.06</v>
      </c>
      <c r="G69" s="16">
        <f>12/11*C69</f>
        <v>64.11272727272727</v>
      </c>
      <c r="H69" s="8"/>
      <c r="I69" s="9"/>
      <c r="J69" s="9"/>
    </row>
    <row r="70" spans="1:10" x14ac:dyDescent="0.25">
      <c r="A70" s="22" t="s">
        <v>74</v>
      </c>
      <c r="B70" s="22"/>
      <c r="C70" s="16">
        <v>62.66</v>
      </c>
      <c r="D70" s="16">
        <v>66.86</v>
      </c>
      <c r="E70" s="16">
        <v>61.98</v>
      </c>
      <c r="F70" s="16">
        <v>64.09</v>
      </c>
      <c r="G70" s="16">
        <f>12/11*C70</f>
        <v>68.356363636363625</v>
      </c>
      <c r="H70" s="8"/>
      <c r="I70" s="9"/>
      <c r="J70" s="9"/>
    </row>
    <row r="71" spans="1:10" x14ac:dyDescent="0.25">
      <c r="A71" s="22" t="s">
        <v>75</v>
      </c>
      <c r="B71" s="22"/>
      <c r="C71" s="16">
        <v>302.89999999999998</v>
      </c>
      <c r="D71" s="16">
        <v>309.27999999999997</v>
      </c>
      <c r="E71" s="16">
        <v>291.51</v>
      </c>
      <c r="F71" s="16">
        <v>284.45</v>
      </c>
      <c r="G71" s="16">
        <f>12/11*C71</f>
        <v>330.43636363636358</v>
      </c>
      <c r="H71" s="8"/>
      <c r="I71" s="9"/>
      <c r="J71" s="9"/>
    </row>
    <row r="72" spans="1:10" x14ac:dyDescent="0.25">
      <c r="A72" s="22" t="s">
        <v>76</v>
      </c>
      <c r="B72" s="22"/>
      <c r="C72" s="16">
        <v>86.66</v>
      </c>
      <c r="D72" s="16">
        <v>82.79</v>
      </c>
      <c r="E72" s="16">
        <v>116.46</v>
      </c>
      <c r="F72" s="16">
        <v>79.959999999999994</v>
      </c>
      <c r="G72" s="16">
        <f>12/11*C72</f>
        <v>94.538181818181812</v>
      </c>
      <c r="H72" s="8"/>
      <c r="I72" s="9"/>
      <c r="J72" s="9"/>
    </row>
    <row r="75" spans="1:10" x14ac:dyDescent="0.25">
      <c r="A75" s="23" t="s">
        <v>60</v>
      </c>
      <c r="B75" s="24"/>
    </row>
    <row r="76" spans="1:10" x14ac:dyDescent="0.25">
      <c r="A76" s="3" t="s">
        <v>77</v>
      </c>
      <c r="B76" s="1" t="s">
        <v>245</v>
      </c>
    </row>
    <row r="77" spans="1:10" x14ac:dyDescent="0.25">
      <c r="A77" s="3" t="s">
        <v>70</v>
      </c>
      <c r="B77" s="1" t="s">
        <v>79</v>
      </c>
    </row>
    <row r="78" spans="1:10" x14ac:dyDescent="0.25">
      <c r="A78" s="3" t="s">
        <v>71</v>
      </c>
      <c r="B78" s="1" t="s">
        <v>80</v>
      </c>
    </row>
    <row r="79" spans="1:10" x14ac:dyDescent="0.25">
      <c r="A79" s="3" t="s">
        <v>72</v>
      </c>
      <c r="B79" s="1" t="s">
        <v>81</v>
      </c>
    </row>
  </sheetData>
  <mergeCells count="19">
    <mergeCell ref="C7:G7"/>
    <mergeCell ref="A48:B48"/>
    <mergeCell ref="A49:B49"/>
    <mergeCell ref="A54:B54"/>
    <mergeCell ref="A55:B55"/>
    <mergeCell ref="J63:J64"/>
    <mergeCell ref="A64:B64"/>
    <mergeCell ref="A68:B68"/>
    <mergeCell ref="A69:B69"/>
    <mergeCell ref="A56:B56"/>
    <mergeCell ref="A57:B57"/>
    <mergeCell ref="A62:B62"/>
    <mergeCell ref="A63:B63"/>
    <mergeCell ref="H63:H64"/>
    <mergeCell ref="A70:B70"/>
    <mergeCell ref="A71:B71"/>
    <mergeCell ref="A72:B72"/>
    <mergeCell ref="A75:B75"/>
    <mergeCell ref="I63:I6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J74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246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2340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>
        <v>80250</v>
      </c>
      <c r="D9" s="10"/>
      <c r="E9" s="10">
        <v>1680</v>
      </c>
      <c r="F9" s="10">
        <v>80</v>
      </c>
      <c r="G9" s="10">
        <f t="shared" ref="G9:G40" si="0">SUM(C9:F9)</f>
        <v>82010</v>
      </c>
      <c r="H9" s="16">
        <f t="shared" ref="H9:H40" si="1">ROUND(G9/2340,2)</f>
        <v>35.049999999999997</v>
      </c>
      <c r="I9" s="15">
        <f t="shared" ref="I9:I40" si="2">ROUND(G9/$G$41,3)</f>
        <v>0.10199999999999999</v>
      </c>
      <c r="J9" s="15">
        <f>ROUND(G9/78790-1,2)</f>
        <v>0.04</v>
      </c>
    </row>
    <row r="10" spans="1:10" x14ac:dyDescent="0.25">
      <c r="A10" s="1" t="s">
        <v>16</v>
      </c>
      <c r="B10" s="1" t="s">
        <v>20</v>
      </c>
      <c r="C10" s="10">
        <v>73285</v>
      </c>
      <c r="D10" s="10"/>
      <c r="E10" s="10">
        <v>2340</v>
      </c>
      <c r="F10" s="10"/>
      <c r="G10" s="10">
        <f t="shared" si="0"/>
        <v>75625</v>
      </c>
      <c r="H10" s="16">
        <f t="shared" si="1"/>
        <v>32.32</v>
      </c>
      <c r="I10" s="15">
        <f t="shared" si="2"/>
        <v>9.4E-2</v>
      </c>
      <c r="J10" s="15">
        <f>ROUND(G10/79470-1,2)</f>
        <v>-0.05</v>
      </c>
    </row>
    <row r="11" spans="1:10" x14ac:dyDescent="0.25">
      <c r="A11" s="1" t="s">
        <v>16</v>
      </c>
      <c r="B11" s="1" t="s">
        <v>21</v>
      </c>
      <c r="C11" s="10"/>
      <c r="D11" s="10"/>
      <c r="E11" s="10">
        <v>70</v>
      </c>
      <c r="F11" s="10"/>
      <c r="G11" s="10">
        <f t="shared" si="0"/>
        <v>70</v>
      </c>
      <c r="H11" s="16">
        <f t="shared" si="1"/>
        <v>0.03</v>
      </c>
      <c r="I11" s="15">
        <f t="shared" si="2"/>
        <v>0</v>
      </c>
      <c r="J11" s="15">
        <f>ROUND(G11/165-1,2)</f>
        <v>-0.57999999999999996</v>
      </c>
    </row>
    <row r="12" spans="1:10" x14ac:dyDescent="0.25">
      <c r="A12" s="1" t="s">
        <v>16</v>
      </c>
      <c r="B12" s="1" t="s">
        <v>23</v>
      </c>
      <c r="C12" s="10"/>
      <c r="D12" s="10"/>
      <c r="E12" s="10">
        <v>49990</v>
      </c>
      <c r="F12" s="10"/>
      <c r="G12" s="10">
        <f t="shared" si="0"/>
        <v>49990</v>
      </c>
      <c r="H12" s="16">
        <f t="shared" si="1"/>
        <v>21.36</v>
      </c>
      <c r="I12" s="15">
        <f t="shared" si="2"/>
        <v>6.2E-2</v>
      </c>
      <c r="J12" s="15">
        <f>ROUND(G12/76170-1,2)</f>
        <v>-0.34</v>
      </c>
    </row>
    <row r="13" spans="1:10" x14ac:dyDescent="0.25">
      <c r="A13" s="1" t="s">
        <v>16</v>
      </c>
      <c r="B13" s="1" t="s">
        <v>24</v>
      </c>
      <c r="C13" s="10">
        <v>81620</v>
      </c>
      <c r="D13" s="10"/>
      <c r="E13" s="10">
        <v>21020</v>
      </c>
      <c r="F13" s="10">
        <v>60</v>
      </c>
      <c r="G13" s="10">
        <f t="shared" si="0"/>
        <v>102700</v>
      </c>
      <c r="H13" s="16">
        <f t="shared" si="1"/>
        <v>43.89</v>
      </c>
      <c r="I13" s="15">
        <f t="shared" si="2"/>
        <v>0.128</v>
      </c>
      <c r="J13" s="15">
        <f>ROUND(G13/103350-1,2)</f>
        <v>-0.01</v>
      </c>
    </row>
    <row r="14" spans="1:10" x14ac:dyDescent="0.25">
      <c r="A14" s="1" t="s">
        <v>16</v>
      </c>
      <c r="B14" s="1" t="s">
        <v>25</v>
      </c>
      <c r="C14" s="10"/>
      <c r="D14" s="10"/>
      <c r="E14" s="10">
        <v>3820</v>
      </c>
      <c r="F14" s="10"/>
      <c r="G14" s="10">
        <f t="shared" si="0"/>
        <v>3820</v>
      </c>
      <c r="H14" s="16">
        <f t="shared" si="1"/>
        <v>1.63</v>
      </c>
      <c r="I14" s="15">
        <f t="shared" si="2"/>
        <v>5.0000000000000001E-3</v>
      </c>
      <c r="J14" s="15">
        <f>ROUND(G14/2380-1,2)</f>
        <v>0.61</v>
      </c>
    </row>
    <row r="15" spans="1:10" x14ac:dyDescent="0.25">
      <c r="A15" s="1" t="s">
        <v>16</v>
      </c>
      <c r="B15" s="1" t="s">
        <v>26</v>
      </c>
      <c r="C15" s="10">
        <v>91810</v>
      </c>
      <c r="D15" s="10"/>
      <c r="E15" s="10"/>
      <c r="F15" s="10">
        <v>20</v>
      </c>
      <c r="G15" s="10">
        <f t="shared" si="0"/>
        <v>91830</v>
      </c>
      <c r="H15" s="16">
        <f t="shared" si="1"/>
        <v>39.24</v>
      </c>
      <c r="I15" s="15">
        <f t="shared" si="2"/>
        <v>0.114</v>
      </c>
      <c r="J15" s="15">
        <f>ROUND(G15/105610-1,2)</f>
        <v>-0.13</v>
      </c>
    </row>
    <row r="16" spans="1:10" x14ac:dyDescent="0.25">
      <c r="A16" s="1" t="s">
        <v>16</v>
      </c>
      <c r="B16" s="1" t="s">
        <v>27</v>
      </c>
      <c r="C16" s="10"/>
      <c r="D16" s="10"/>
      <c r="E16" s="10">
        <v>1432</v>
      </c>
      <c r="F16" s="10"/>
      <c r="G16" s="10">
        <f t="shared" si="0"/>
        <v>1432</v>
      </c>
      <c r="H16" s="16">
        <f t="shared" si="1"/>
        <v>0.61</v>
      </c>
      <c r="I16" s="15">
        <f t="shared" si="2"/>
        <v>2E-3</v>
      </c>
      <c r="J16" s="15">
        <f>ROUND(G16/1179-1,2)</f>
        <v>0.21</v>
      </c>
    </row>
    <row r="17" spans="1:10" x14ac:dyDescent="0.25">
      <c r="A17" s="1" t="s">
        <v>16</v>
      </c>
      <c r="B17" s="1" t="s">
        <v>28</v>
      </c>
      <c r="C17" s="10"/>
      <c r="D17" s="10"/>
      <c r="E17" s="10">
        <v>861</v>
      </c>
      <c r="F17" s="10"/>
      <c r="G17" s="10">
        <f t="shared" si="0"/>
        <v>861</v>
      </c>
      <c r="H17" s="16">
        <f t="shared" si="1"/>
        <v>0.37</v>
      </c>
      <c r="I17" s="15">
        <f t="shared" si="2"/>
        <v>1E-3</v>
      </c>
      <c r="J17" s="15">
        <f>ROUND(G17/540-1,2)</f>
        <v>0.59</v>
      </c>
    </row>
    <row r="18" spans="1:10" x14ac:dyDescent="0.25">
      <c r="A18" s="1" t="s">
        <v>16</v>
      </c>
      <c r="B18" s="1" t="s">
        <v>42</v>
      </c>
      <c r="C18" s="10"/>
      <c r="D18" s="10"/>
      <c r="E18" s="10">
        <v>90</v>
      </c>
      <c r="F18" s="10"/>
      <c r="G18" s="10">
        <f t="shared" si="0"/>
        <v>90</v>
      </c>
      <c r="H18" s="16">
        <f t="shared" si="1"/>
        <v>0.04</v>
      </c>
      <c r="I18" s="15">
        <f t="shared" si="2"/>
        <v>0</v>
      </c>
      <c r="J18" s="15"/>
    </row>
    <row r="19" spans="1:10" x14ac:dyDescent="0.25">
      <c r="A19" s="1" t="s">
        <v>16</v>
      </c>
      <c r="B19" s="1" t="s">
        <v>29</v>
      </c>
      <c r="C19" s="10"/>
      <c r="D19" s="10"/>
      <c r="E19" s="10">
        <v>770</v>
      </c>
      <c r="F19" s="10"/>
      <c r="G19" s="10">
        <f t="shared" si="0"/>
        <v>770</v>
      </c>
      <c r="H19" s="16">
        <f t="shared" si="1"/>
        <v>0.33</v>
      </c>
      <c r="I19" s="15">
        <f t="shared" si="2"/>
        <v>1E-3</v>
      </c>
      <c r="J19" s="15">
        <f>ROUND(G19/4550-1,2)</f>
        <v>-0.83</v>
      </c>
    </row>
    <row r="20" spans="1:10" x14ac:dyDescent="0.25">
      <c r="A20" s="1" t="s">
        <v>16</v>
      </c>
      <c r="B20" s="1" t="s">
        <v>30</v>
      </c>
      <c r="C20" s="10"/>
      <c r="D20" s="10"/>
      <c r="E20" s="10">
        <v>950</v>
      </c>
      <c r="F20" s="10"/>
      <c r="G20" s="10">
        <f t="shared" si="0"/>
        <v>950</v>
      </c>
      <c r="H20" s="16">
        <f t="shared" si="1"/>
        <v>0.41</v>
      </c>
      <c r="I20" s="15">
        <f t="shared" si="2"/>
        <v>1E-3</v>
      </c>
      <c r="J20" s="15">
        <f>ROUND(G20/860-1,2)</f>
        <v>0.1</v>
      </c>
    </row>
    <row r="21" spans="1:10" x14ac:dyDescent="0.25">
      <c r="A21" s="1" t="s">
        <v>16</v>
      </c>
      <c r="B21" s="1" t="s">
        <v>31</v>
      </c>
      <c r="C21" s="10"/>
      <c r="D21" s="10"/>
      <c r="E21" s="10">
        <v>460</v>
      </c>
      <c r="F21" s="10"/>
      <c r="G21" s="10">
        <f t="shared" si="0"/>
        <v>460</v>
      </c>
      <c r="H21" s="16">
        <f t="shared" si="1"/>
        <v>0.2</v>
      </c>
      <c r="I21" s="15">
        <f t="shared" si="2"/>
        <v>1E-3</v>
      </c>
      <c r="J21" s="15">
        <f>ROUND(G21/240-1,2)</f>
        <v>0.92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985</v>
      </c>
      <c r="F22" s="10"/>
      <c r="G22" s="10">
        <f t="shared" si="0"/>
        <v>985</v>
      </c>
      <c r="H22" s="16">
        <f t="shared" si="1"/>
        <v>0.42</v>
      </c>
      <c r="I22" s="15">
        <f t="shared" si="2"/>
        <v>1E-3</v>
      </c>
      <c r="J22" s="15">
        <f>ROUND(G22/990-1,2)</f>
        <v>-0.01</v>
      </c>
    </row>
    <row r="23" spans="1:10" x14ac:dyDescent="0.25">
      <c r="A23" s="1" t="s">
        <v>16</v>
      </c>
      <c r="B23" s="1" t="s">
        <v>33</v>
      </c>
      <c r="C23" s="10"/>
      <c r="D23" s="10"/>
      <c r="E23" s="10">
        <v>75</v>
      </c>
      <c r="F23" s="10"/>
      <c r="G23" s="10">
        <f t="shared" si="0"/>
        <v>75</v>
      </c>
      <c r="H23" s="16">
        <f t="shared" si="1"/>
        <v>0.03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37</v>
      </c>
      <c r="C24" s="10"/>
      <c r="D24" s="10"/>
      <c r="E24" s="10">
        <v>4280</v>
      </c>
      <c r="F24" s="10"/>
      <c r="G24" s="10">
        <f t="shared" si="0"/>
        <v>4280</v>
      </c>
      <c r="H24" s="16">
        <f t="shared" si="1"/>
        <v>1.83</v>
      </c>
      <c r="I24" s="15">
        <f t="shared" si="2"/>
        <v>5.0000000000000001E-3</v>
      </c>
      <c r="J24" s="15">
        <f>ROUND(G24/5600-1,2)</f>
        <v>-0.24</v>
      </c>
    </row>
    <row r="25" spans="1:10" x14ac:dyDescent="0.25">
      <c r="A25" s="1" t="s">
        <v>16</v>
      </c>
      <c r="B25" s="1" t="s">
        <v>38</v>
      </c>
      <c r="C25" s="10"/>
      <c r="D25" s="10"/>
      <c r="E25" s="10">
        <v>43980</v>
      </c>
      <c r="F25" s="10"/>
      <c r="G25" s="10">
        <f t="shared" si="0"/>
        <v>43980</v>
      </c>
      <c r="H25" s="16">
        <f t="shared" si="1"/>
        <v>18.79</v>
      </c>
      <c r="I25" s="15">
        <f t="shared" si="2"/>
        <v>5.5E-2</v>
      </c>
      <c r="J25" s="15">
        <f>ROUND(G25/52760-1,2)</f>
        <v>-0.17</v>
      </c>
    </row>
    <row r="26" spans="1:10" x14ac:dyDescent="0.25">
      <c r="A26" s="1" t="s">
        <v>16</v>
      </c>
      <c r="B26" s="1" t="s">
        <v>39</v>
      </c>
      <c r="C26" s="10"/>
      <c r="D26" s="10"/>
      <c r="E26" s="10">
        <v>4980</v>
      </c>
      <c r="F26" s="10"/>
      <c r="G26" s="10">
        <f t="shared" si="0"/>
        <v>4980</v>
      </c>
      <c r="H26" s="16">
        <f t="shared" si="1"/>
        <v>2.13</v>
      </c>
      <c r="I26" s="15">
        <f t="shared" si="2"/>
        <v>6.0000000000000001E-3</v>
      </c>
      <c r="J26" s="15">
        <f>ROUND(G26/6260-1,2)</f>
        <v>-0.2</v>
      </c>
    </row>
    <row r="27" spans="1:10" x14ac:dyDescent="0.25">
      <c r="A27" s="1" t="s">
        <v>16</v>
      </c>
      <c r="B27" s="1" t="s">
        <v>40</v>
      </c>
      <c r="C27" s="10"/>
      <c r="D27" s="10"/>
      <c r="E27" s="10">
        <v>20960</v>
      </c>
      <c r="F27" s="10"/>
      <c r="G27" s="10">
        <f t="shared" si="0"/>
        <v>20960</v>
      </c>
      <c r="H27" s="16">
        <f t="shared" si="1"/>
        <v>8.9600000000000009</v>
      </c>
      <c r="I27" s="15">
        <f t="shared" si="2"/>
        <v>2.5999999999999999E-2</v>
      </c>
      <c r="J27" s="15">
        <f>ROUND(G27/25090-1,2)</f>
        <v>-0.16</v>
      </c>
    </row>
    <row r="28" spans="1:10" x14ac:dyDescent="0.25">
      <c r="A28" s="1" t="s">
        <v>16</v>
      </c>
      <c r="B28" s="1" t="s">
        <v>41</v>
      </c>
      <c r="C28" s="10"/>
      <c r="D28" s="10"/>
      <c r="E28" s="10">
        <v>20890</v>
      </c>
      <c r="F28" s="10"/>
      <c r="G28" s="10">
        <f t="shared" si="0"/>
        <v>20890</v>
      </c>
      <c r="H28" s="16">
        <f t="shared" si="1"/>
        <v>8.93</v>
      </c>
      <c r="I28" s="15">
        <f t="shared" si="2"/>
        <v>2.5999999999999999E-2</v>
      </c>
      <c r="J28" s="15">
        <f>ROUND(G28/8095-1,2)</f>
        <v>1.58</v>
      </c>
    </row>
    <row r="29" spans="1:10" x14ac:dyDescent="0.25">
      <c r="A29" s="1" t="s">
        <v>16</v>
      </c>
      <c r="B29" s="1" t="s">
        <v>18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ROUND(G29/1980-1,2)</f>
        <v>-1</v>
      </c>
    </row>
    <row r="30" spans="1:10" x14ac:dyDescent="0.25">
      <c r="A30" s="1" t="s">
        <v>16</v>
      </c>
      <c r="B30" s="1" t="s">
        <v>36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ROUND(G30/1830-1,2)</f>
        <v>-1</v>
      </c>
    </row>
    <row r="31" spans="1:10" x14ac:dyDescent="0.25">
      <c r="A31" s="1" t="s">
        <v>16</v>
      </c>
      <c r="B31" s="1" t="s">
        <v>43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ROUND(G31/12220-1,2)</f>
        <v>-1</v>
      </c>
    </row>
    <row r="32" spans="1:10" x14ac:dyDescent="0.25">
      <c r="A32" s="1" t="s">
        <v>16</v>
      </c>
      <c r="B32" s="1" t="s">
        <v>22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120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34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16</v>
      </c>
      <c r="B35" s="1" t="s">
        <v>35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44</v>
      </c>
      <c r="B36" s="1" t="s">
        <v>45</v>
      </c>
      <c r="C36" s="10">
        <v>239120</v>
      </c>
      <c r="D36" s="10"/>
      <c r="E36" s="10"/>
      <c r="F36" s="10">
        <v>120</v>
      </c>
      <c r="G36" s="10">
        <f t="shared" si="0"/>
        <v>239240</v>
      </c>
      <c r="H36" s="16">
        <f t="shared" si="1"/>
        <v>102.24</v>
      </c>
      <c r="I36" s="15">
        <f t="shared" si="2"/>
        <v>0.29699999999999999</v>
      </c>
      <c r="J36" s="15">
        <f>ROUND(G36/259400-1,2)</f>
        <v>-0.08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>
        <v>30980</v>
      </c>
      <c r="G37" s="10">
        <f t="shared" si="0"/>
        <v>30980</v>
      </c>
      <c r="H37" s="16">
        <f t="shared" si="1"/>
        <v>13.24</v>
      </c>
      <c r="I37" s="15">
        <f t="shared" si="2"/>
        <v>3.7999999999999999E-2</v>
      </c>
      <c r="J37" s="15">
        <f>ROUND(G37/23740-1,2)</f>
        <v>0.3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28175</v>
      </c>
      <c r="F38" s="10"/>
      <c r="G38" s="10">
        <f t="shared" si="0"/>
        <v>28175</v>
      </c>
      <c r="H38" s="16">
        <f t="shared" si="1"/>
        <v>12.04</v>
      </c>
      <c r="I38" s="15">
        <f t="shared" si="2"/>
        <v>3.5000000000000003E-2</v>
      </c>
      <c r="J38" s="15">
        <f>ROUND(G38/24780-1,2)</f>
        <v>0.14000000000000001</v>
      </c>
    </row>
    <row r="39" spans="1:10" x14ac:dyDescent="0.25">
      <c r="A39" s="1" t="s">
        <v>48</v>
      </c>
      <c r="B39" s="1" t="s">
        <v>86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48</v>
      </c>
      <c r="B40" s="1" t="s">
        <v>51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ROUND(G40/12-1,2)</f>
        <v>-1</v>
      </c>
    </row>
    <row r="41" spans="1:10" x14ac:dyDescent="0.25">
      <c r="A41" s="27" t="s">
        <v>12</v>
      </c>
      <c r="B41" s="27"/>
      <c r="C41" s="11">
        <f t="shared" ref="C41:H41" si="3">SUM(C8:C40)</f>
        <v>566085</v>
      </c>
      <c r="D41" s="11">
        <f t="shared" si="3"/>
        <v>0</v>
      </c>
      <c r="E41" s="11">
        <f t="shared" si="3"/>
        <v>207808</v>
      </c>
      <c r="F41" s="11">
        <f t="shared" si="3"/>
        <v>31260</v>
      </c>
      <c r="G41" s="11">
        <f t="shared" si="3"/>
        <v>805153</v>
      </c>
      <c r="H41" s="14">
        <f t="shared" si="3"/>
        <v>344.09000000000003</v>
      </c>
      <c r="I41" s="17"/>
      <c r="J41" s="17"/>
    </row>
    <row r="42" spans="1:10" x14ac:dyDescent="0.25">
      <c r="A42" s="27" t="s">
        <v>14</v>
      </c>
      <c r="B42" s="27"/>
      <c r="C42" s="12">
        <f>ROUND(C41/G41,2)</f>
        <v>0.7</v>
      </c>
      <c r="D42" s="12">
        <f>ROUND(D41/G41,2)</f>
        <v>0</v>
      </c>
      <c r="E42" s="12">
        <f>ROUND(E41/G41,2)</f>
        <v>0.26</v>
      </c>
      <c r="F42" s="12">
        <f>ROUND(F41/G41,2)</f>
        <v>0.04</v>
      </c>
      <c r="G42" s="13"/>
      <c r="H42" s="13"/>
      <c r="I42" s="17"/>
      <c r="J42" s="17"/>
    </row>
    <row r="43" spans="1:10" x14ac:dyDescent="0.25">
      <c r="A43" s="2" t="s">
        <v>52</v>
      </c>
      <c r="B43" s="2"/>
      <c r="C43" s="13"/>
      <c r="D43" s="13"/>
      <c r="E43" s="13"/>
      <c r="F43" s="13"/>
      <c r="G43" s="13"/>
      <c r="H43" s="13"/>
      <c r="I43" s="17"/>
      <c r="J43" s="17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A47" s="27" t="s">
        <v>53</v>
      </c>
      <c r="B47" s="27"/>
      <c r="C47" s="11" t="s">
        <v>8</v>
      </c>
      <c r="D47" s="11" t="s">
        <v>9</v>
      </c>
      <c r="E47" s="11" t="s">
        <v>10</v>
      </c>
      <c r="F47" s="11" t="s">
        <v>11</v>
      </c>
      <c r="G47" s="11" t="s">
        <v>12</v>
      </c>
      <c r="H47" s="14" t="s">
        <v>13</v>
      </c>
      <c r="I47" s="17"/>
      <c r="J47" s="17"/>
    </row>
    <row r="48" spans="1:10" x14ac:dyDescent="0.25">
      <c r="A48" s="22" t="s">
        <v>54</v>
      </c>
      <c r="B48" s="22"/>
      <c r="C48" s="10">
        <v>326965</v>
      </c>
      <c r="D48" s="10">
        <v>0</v>
      </c>
      <c r="E48" s="10">
        <v>179633</v>
      </c>
      <c r="F48" s="10">
        <v>160</v>
      </c>
      <c r="G48" s="10">
        <f>SUM(C48:F48)</f>
        <v>506758</v>
      </c>
      <c r="H48" s="16">
        <f>ROUND(G48/2340,2)</f>
        <v>216.56</v>
      </c>
      <c r="I48" s="9"/>
      <c r="J48" s="9"/>
    </row>
    <row r="49" spans="1:10" x14ac:dyDescent="0.25">
      <c r="A49" s="22" t="s">
        <v>55</v>
      </c>
      <c r="B49" s="22"/>
      <c r="C49" s="10">
        <v>239120</v>
      </c>
      <c r="D49" s="10">
        <v>0</v>
      </c>
      <c r="E49" s="10">
        <v>28175</v>
      </c>
      <c r="F49" s="10">
        <v>31100</v>
      </c>
      <c r="G49" s="10">
        <f>SUM(C49:F49)</f>
        <v>298395</v>
      </c>
      <c r="H49" s="16">
        <f>ROUND(G49/2340,2)</f>
        <v>127.52</v>
      </c>
      <c r="I49" s="9"/>
      <c r="J49" s="9"/>
    </row>
    <row r="50" spans="1:10" x14ac:dyDescent="0.25">
      <c r="A50" s="22" t="s">
        <v>56</v>
      </c>
      <c r="B50" s="22"/>
      <c r="C50" s="10">
        <v>0</v>
      </c>
      <c r="D50" s="10">
        <v>0</v>
      </c>
      <c r="E50" s="10">
        <v>0</v>
      </c>
      <c r="F50" s="10">
        <v>0</v>
      </c>
      <c r="G50" s="10">
        <f>SUM(C50:F50)</f>
        <v>0</v>
      </c>
      <c r="H50" s="16">
        <f>ROUND(G50/2340,2)</f>
        <v>0</v>
      </c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57</v>
      </c>
      <c r="B55" s="27"/>
      <c r="C55" s="14" t="s">
        <v>2</v>
      </c>
      <c r="D55" s="14">
        <v>2023</v>
      </c>
      <c r="E55" s="14" t="s">
        <v>59</v>
      </c>
      <c r="F55" s="13"/>
      <c r="G55" s="14" t="s">
        <v>60</v>
      </c>
      <c r="H55" s="14" t="s">
        <v>2</v>
      </c>
      <c r="I55" s="12" t="s">
        <v>61</v>
      </c>
      <c r="J55" s="12" t="s">
        <v>59</v>
      </c>
    </row>
    <row r="56" spans="1:10" x14ac:dyDescent="0.25">
      <c r="A56" s="22" t="s">
        <v>58</v>
      </c>
      <c r="B56" s="22"/>
      <c r="C56" s="15">
        <f>ROUND(0.6762, 4)</f>
        <v>0.67620000000000002</v>
      </c>
      <c r="D56" s="15">
        <f>ROUND(0.6617, 4)</f>
        <v>0.66169999999999995</v>
      </c>
      <c r="E56" s="15">
        <f>ROUND(0.777, 4)</f>
        <v>0.77700000000000002</v>
      </c>
      <c r="F56" s="8"/>
      <c r="G56" s="14" t="s">
        <v>62</v>
      </c>
      <c r="H56" s="28" t="s">
        <v>63</v>
      </c>
      <c r="I56" s="25" t="s">
        <v>64</v>
      </c>
      <c r="J56" s="25" t="s">
        <v>65</v>
      </c>
    </row>
    <row r="57" spans="1:10" x14ac:dyDescent="0.25">
      <c r="A57" s="22" t="s">
        <v>66</v>
      </c>
      <c r="B57" s="22"/>
      <c r="C57" s="15">
        <f>ROUND(0.6358, 4)</f>
        <v>0.63580000000000003</v>
      </c>
      <c r="D57" s="15">
        <f>ROUND(0.6243, 4)</f>
        <v>0.62429999999999997</v>
      </c>
      <c r="E57" s="15">
        <f>ROUND(0.7608, 4)</f>
        <v>0.76080000000000003</v>
      </c>
      <c r="F57" s="8"/>
      <c r="G57" s="14" t="s">
        <v>67</v>
      </c>
      <c r="H57" s="29"/>
      <c r="I57" s="26"/>
      <c r="J57" s="26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A61" s="27" t="s">
        <v>68</v>
      </c>
      <c r="B61" s="27"/>
      <c r="C61" s="14" t="s">
        <v>2</v>
      </c>
      <c r="D61" s="14" t="s">
        <v>247</v>
      </c>
      <c r="E61" s="14" t="s">
        <v>70</v>
      </c>
      <c r="F61" s="14" t="s">
        <v>71</v>
      </c>
      <c r="G61" s="14" t="s">
        <v>72</v>
      </c>
      <c r="H61" s="13"/>
      <c r="I61" s="17"/>
      <c r="J61" s="17"/>
    </row>
    <row r="62" spans="1:10" x14ac:dyDescent="0.25">
      <c r="A62" s="22" t="s">
        <v>73</v>
      </c>
      <c r="B62" s="22"/>
      <c r="C62" s="16">
        <v>102.24</v>
      </c>
      <c r="D62" s="16">
        <v>107.81</v>
      </c>
      <c r="E62" s="16">
        <v>92.53</v>
      </c>
      <c r="F62" s="16">
        <v>56.06</v>
      </c>
      <c r="G62" s="16">
        <f>12/11*C62</f>
        <v>111.53454545454544</v>
      </c>
      <c r="H62" s="8"/>
      <c r="I62" s="9"/>
      <c r="J62" s="9"/>
    </row>
    <row r="63" spans="1:10" x14ac:dyDescent="0.25">
      <c r="A63" s="22" t="s">
        <v>74</v>
      </c>
      <c r="B63" s="22"/>
      <c r="C63" s="16">
        <v>39.24</v>
      </c>
      <c r="D63" s="16">
        <v>59.39</v>
      </c>
      <c r="E63" s="16">
        <v>61.98</v>
      </c>
      <c r="F63" s="16">
        <v>64.09</v>
      </c>
      <c r="G63" s="16">
        <f>12/11*C63</f>
        <v>42.807272727272725</v>
      </c>
      <c r="H63" s="8"/>
      <c r="I63" s="9"/>
      <c r="J63" s="9"/>
    </row>
    <row r="64" spans="1:10" x14ac:dyDescent="0.25">
      <c r="A64" s="22" t="s">
        <v>75</v>
      </c>
      <c r="B64" s="22"/>
      <c r="C64" s="16">
        <v>216.56</v>
      </c>
      <c r="D64" s="16">
        <v>252.05</v>
      </c>
      <c r="E64" s="16">
        <v>291.51</v>
      </c>
      <c r="F64" s="16">
        <v>284.45</v>
      </c>
      <c r="G64" s="16">
        <f>12/11*C64</f>
        <v>236.2472727272727</v>
      </c>
      <c r="H64" s="8"/>
      <c r="I64" s="9"/>
      <c r="J64" s="9"/>
    </row>
    <row r="65" spans="1:10" x14ac:dyDescent="0.25">
      <c r="A65" s="22" t="s">
        <v>76</v>
      </c>
      <c r="B65" s="22"/>
      <c r="C65" s="16">
        <v>127.52</v>
      </c>
      <c r="D65" s="16">
        <v>129.83000000000001</v>
      </c>
      <c r="E65" s="16">
        <v>116.46</v>
      </c>
      <c r="F65" s="16">
        <v>79.959999999999994</v>
      </c>
      <c r="G65" s="16">
        <f>12/11*C65</f>
        <v>139.11272727272726</v>
      </c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3" t="s">
        <v>60</v>
      </c>
      <c r="B68" s="24"/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77</v>
      </c>
      <c r="B69" s="1" t="s">
        <v>248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70</v>
      </c>
      <c r="B70" s="1" t="s">
        <v>79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71</v>
      </c>
      <c r="B71" s="1" t="s">
        <v>80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72</v>
      </c>
      <c r="B72" s="1" t="s">
        <v>81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</sheetData>
  <mergeCells count="19">
    <mergeCell ref="C7:G7"/>
    <mergeCell ref="A41:B41"/>
    <mergeCell ref="A42:B42"/>
    <mergeCell ref="A47:B47"/>
    <mergeCell ref="A48:B48"/>
    <mergeCell ref="J56:J57"/>
    <mergeCell ref="A57:B57"/>
    <mergeCell ref="A61:B61"/>
    <mergeCell ref="A62:B62"/>
    <mergeCell ref="A49:B49"/>
    <mergeCell ref="A50:B50"/>
    <mergeCell ref="A55:B55"/>
    <mergeCell ref="A56:B56"/>
    <mergeCell ref="H56:H57"/>
    <mergeCell ref="A63:B63"/>
    <mergeCell ref="A64:B64"/>
    <mergeCell ref="A65:B65"/>
    <mergeCell ref="A68:B68"/>
    <mergeCell ref="I56:I5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8.5703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249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5480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188</v>
      </c>
      <c r="F9" s="10"/>
      <c r="G9" s="10">
        <f t="shared" ref="G9:G42" si="0">SUM(C9:F9)</f>
        <v>188</v>
      </c>
      <c r="H9" s="16">
        <f t="shared" ref="H9:H42" si="1">ROUND(G9/5480,2)</f>
        <v>0.03</v>
      </c>
      <c r="I9" s="15">
        <f t="shared" ref="I9:I42" si="2">ROUND(G9/$G$43,3)</f>
        <v>0</v>
      </c>
      <c r="J9" s="15">
        <f>ROUND(G9/171-1,2)</f>
        <v>0.1</v>
      </c>
    </row>
    <row r="10" spans="1:10" x14ac:dyDescent="0.25">
      <c r="A10" s="1" t="s">
        <v>16</v>
      </c>
      <c r="B10" s="1" t="s">
        <v>19</v>
      </c>
      <c r="C10" s="10">
        <v>232230</v>
      </c>
      <c r="D10" s="10"/>
      <c r="E10" s="10">
        <v>2340</v>
      </c>
      <c r="F10" s="10">
        <v>910</v>
      </c>
      <c r="G10" s="10">
        <f t="shared" si="0"/>
        <v>235480</v>
      </c>
      <c r="H10" s="16">
        <f t="shared" si="1"/>
        <v>42.97</v>
      </c>
      <c r="I10" s="15">
        <f t="shared" si="2"/>
        <v>0.104</v>
      </c>
      <c r="J10" s="15">
        <f>ROUND(G10/206560-1,2)</f>
        <v>0.14000000000000001</v>
      </c>
    </row>
    <row r="11" spans="1:10" x14ac:dyDescent="0.25">
      <c r="A11" s="1" t="s">
        <v>16</v>
      </c>
      <c r="B11" s="1" t="s">
        <v>20</v>
      </c>
      <c r="C11" s="10">
        <v>200340</v>
      </c>
      <c r="D11" s="10"/>
      <c r="E11" s="10"/>
      <c r="F11" s="10"/>
      <c r="G11" s="10">
        <f t="shared" si="0"/>
        <v>200340</v>
      </c>
      <c r="H11" s="16">
        <f t="shared" si="1"/>
        <v>36.56</v>
      </c>
      <c r="I11" s="15">
        <f t="shared" si="2"/>
        <v>8.8999999999999996E-2</v>
      </c>
      <c r="J11" s="15">
        <f>ROUND(G11/209740-1,2)</f>
        <v>-0.04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190</v>
      </c>
      <c r="F12" s="10"/>
      <c r="G12" s="10">
        <f t="shared" si="0"/>
        <v>190</v>
      </c>
      <c r="H12" s="16">
        <f t="shared" si="1"/>
        <v>0.03</v>
      </c>
      <c r="I12" s="15">
        <f t="shared" si="2"/>
        <v>0</v>
      </c>
      <c r="J12" s="15">
        <f>ROUND(G12/253-1,2)</f>
        <v>-0.25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166</v>
      </c>
      <c r="F13" s="10"/>
      <c r="G13" s="10">
        <f t="shared" si="0"/>
        <v>166</v>
      </c>
      <c r="H13" s="16">
        <f t="shared" si="1"/>
        <v>0.03</v>
      </c>
      <c r="I13" s="15">
        <f t="shared" si="2"/>
        <v>0</v>
      </c>
      <c r="J13" s="15">
        <f>ROUND(G13/200-1,2)</f>
        <v>-0.17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1400</v>
      </c>
      <c r="F14" s="10"/>
      <c r="G14" s="10">
        <f t="shared" si="0"/>
        <v>1400</v>
      </c>
      <c r="H14" s="16">
        <f t="shared" si="1"/>
        <v>0.26</v>
      </c>
      <c r="I14" s="15">
        <f t="shared" si="2"/>
        <v>1E-3</v>
      </c>
      <c r="J14" s="15">
        <f>ROUND(G14/2440-1,2)</f>
        <v>-0.43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53080</v>
      </c>
      <c r="F15" s="10"/>
      <c r="G15" s="10">
        <f t="shared" si="0"/>
        <v>53080</v>
      </c>
      <c r="H15" s="16">
        <f t="shared" si="1"/>
        <v>9.69</v>
      </c>
      <c r="I15" s="15">
        <f t="shared" si="2"/>
        <v>2.3E-2</v>
      </c>
      <c r="J15" s="15">
        <f>ROUND(G15/61760-1,2)</f>
        <v>-0.14000000000000001</v>
      </c>
    </row>
    <row r="16" spans="1:10" x14ac:dyDescent="0.25">
      <c r="A16" s="1" t="s">
        <v>16</v>
      </c>
      <c r="B16" s="1" t="s">
        <v>24</v>
      </c>
      <c r="C16" s="10">
        <v>324390</v>
      </c>
      <c r="D16" s="10"/>
      <c r="E16" s="10">
        <v>18590</v>
      </c>
      <c r="F16" s="10">
        <v>390</v>
      </c>
      <c r="G16" s="10">
        <f t="shared" si="0"/>
        <v>343370</v>
      </c>
      <c r="H16" s="16">
        <f t="shared" si="1"/>
        <v>62.66</v>
      </c>
      <c r="I16" s="15">
        <f t="shared" si="2"/>
        <v>0.152</v>
      </c>
      <c r="J16" s="15">
        <f>ROUND(G16/333000-1,2)</f>
        <v>0.03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6115</v>
      </c>
      <c r="F17" s="10"/>
      <c r="G17" s="10">
        <f t="shared" si="0"/>
        <v>6115</v>
      </c>
      <c r="H17" s="16">
        <f t="shared" si="1"/>
        <v>1.1200000000000001</v>
      </c>
      <c r="I17" s="15">
        <f t="shared" si="2"/>
        <v>3.0000000000000001E-3</v>
      </c>
      <c r="J17" s="15">
        <f>ROUND(G17/8545-1,2)</f>
        <v>-0.28000000000000003</v>
      </c>
    </row>
    <row r="18" spans="1:10" x14ac:dyDescent="0.25">
      <c r="A18" s="1" t="s">
        <v>16</v>
      </c>
      <c r="B18" s="1" t="s">
        <v>26</v>
      </c>
      <c r="C18" s="10">
        <v>377270</v>
      </c>
      <c r="D18" s="10"/>
      <c r="E18" s="10"/>
      <c r="F18" s="10">
        <v>1260</v>
      </c>
      <c r="G18" s="10">
        <f t="shared" si="0"/>
        <v>378530</v>
      </c>
      <c r="H18" s="16">
        <f t="shared" si="1"/>
        <v>69.069999999999993</v>
      </c>
      <c r="I18" s="15">
        <f t="shared" si="2"/>
        <v>0.16700000000000001</v>
      </c>
      <c r="J18" s="15">
        <f>ROUND(G18/353860-1,2)</f>
        <v>7.0000000000000007E-2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1881</v>
      </c>
      <c r="F19" s="10"/>
      <c r="G19" s="10">
        <f t="shared" si="0"/>
        <v>1881</v>
      </c>
      <c r="H19" s="16">
        <f t="shared" si="1"/>
        <v>0.34</v>
      </c>
      <c r="I19" s="15">
        <f t="shared" si="2"/>
        <v>1E-3</v>
      </c>
      <c r="J19" s="15">
        <f>ROUND(G19/1198-1,2)</f>
        <v>0.56999999999999995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1130</v>
      </c>
      <c r="F20" s="10"/>
      <c r="G20" s="10">
        <f t="shared" si="0"/>
        <v>1130</v>
      </c>
      <c r="H20" s="16">
        <f t="shared" si="1"/>
        <v>0.21</v>
      </c>
      <c r="I20" s="15">
        <f t="shared" si="2"/>
        <v>0</v>
      </c>
      <c r="J20" s="15">
        <f>ROUND(G20/622-1,2)</f>
        <v>0.82</v>
      </c>
    </row>
    <row r="21" spans="1:10" x14ac:dyDescent="0.25">
      <c r="A21" s="1" t="s">
        <v>16</v>
      </c>
      <c r="B21" s="1" t="s">
        <v>42</v>
      </c>
      <c r="C21" s="10"/>
      <c r="D21" s="10"/>
      <c r="E21" s="10">
        <v>134</v>
      </c>
      <c r="F21" s="10"/>
      <c r="G21" s="10">
        <f t="shared" si="0"/>
        <v>134</v>
      </c>
      <c r="H21" s="16">
        <f t="shared" si="1"/>
        <v>0.02</v>
      </c>
      <c r="I21" s="15">
        <f t="shared" si="2"/>
        <v>0</v>
      </c>
      <c r="J21" s="15">
        <f>ROUND(G21/181-1,2)</f>
        <v>-0.26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2650</v>
      </c>
      <c r="F22" s="10"/>
      <c r="G22" s="10">
        <f t="shared" si="0"/>
        <v>2650</v>
      </c>
      <c r="H22" s="16">
        <f t="shared" si="1"/>
        <v>0.48</v>
      </c>
      <c r="I22" s="15">
        <f t="shared" si="2"/>
        <v>1E-3</v>
      </c>
      <c r="J22" s="15">
        <f>ROUND(G22/7200-1,2)</f>
        <v>-0.63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1580</v>
      </c>
      <c r="F23" s="10"/>
      <c r="G23" s="10">
        <f t="shared" si="0"/>
        <v>1580</v>
      </c>
      <c r="H23" s="16">
        <f t="shared" si="1"/>
        <v>0.28999999999999998</v>
      </c>
      <c r="I23" s="15">
        <f t="shared" si="2"/>
        <v>1E-3</v>
      </c>
      <c r="J23" s="15">
        <f>ROUND(G23/1850-1,2)</f>
        <v>-0.15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600</v>
      </c>
      <c r="F24" s="10"/>
      <c r="G24" s="10">
        <f t="shared" si="0"/>
        <v>600</v>
      </c>
      <c r="H24" s="16">
        <f t="shared" si="1"/>
        <v>0.11</v>
      </c>
      <c r="I24" s="15">
        <f t="shared" si="2"/>
        <v>0</v>
      </c>
      <c r="J24" s="15">
        <f>ROUND(G24/740-1,2)</f>
        <v>-0.19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1965</v>
      </c>
      <c r="F25" s="10"/>
      <c r="G25" s="10">
        <f t="shared" si="0"/>
        <v>1965</v>
      </c>
      <c r="H25" s="16">
        <f t="shared" si="1"/>
        <v>0.36</v>
      </c>
      <c r="I25" s="15">
        <f t="shared" si="2"/>
        <v>1E-3</v>
      </c>
      <c r="J25" s="15">
        <f>ROUND(G25/2560-1,2)</f>
        <v>-0.23</v>
      </c>
    </row>
    <row r="26" spans="1:10" x14ac:dyDescent="0.25">
      <c r="A26" s="1" t="s">
        <v>16</v>
      </c>
      <c r="B26" s="1" t="s">
        <v>33</v>
      </c>
      <c r="C26" s="10"/>
      <c r="D26" s="10">
        <v>365</v>
      </c>
      <c r="E26" s="10">
        <v>101</v>
      </c>
      <c r="F26" s="10"/>
      <c r="G26" s="10">
        <f t="shared" si="0"/>
        <v>466</v>
      </c>
      <c r="H26" s="16">
        <f t="shared" si="1"/>
        <v>0.09</v>
      </c>
      <c r="I26" s="15">
        <f t="shared" si="2"/>
        <v>0</v>
      </c>
      <c r="J26" s="15">
        <f>ROUND(G26/603-1,2)</f>
        <v>-0.23</v>
      </c>
    </row>
    <row r="27" spans="1:10" x14ac:dyDescent="0.25">
      <c r="A27" s="1" t="s">
        <v>16</v>
      </c>
      <c r="B27" s="1" t="s">
        <v>34</v>
      </c>
      <c r="C27" s="10"/>
      <c r="D27" s="10"/>
      <c r="E27" s="10">
        <v>240</v>
      </c>
      <c r="F27" s="10"/>
      <c r="G27" s="10">
        <f t="shared" si="0"/>
        <v>240</v>
      </c>
      <c r="H27" s="16">
        <f t="shared" si="1"/>
        <v>0.04</v>
      </c>
      <c r="I27" s="15">
        <f t="shared" si="2"/>
        <v>0</v>
      </c>
      <c r="J27" s="15">
        <f>ROUND(G27/690-1,2)</f>
        <v>-0.65</v>
      </c>
    </row>
    <row r="28" spans="1:10" x14ac:dyDescent="0.25">
      <c r="A28" s="1" t="s">
        <v>16</v>
      </c>
      <c r="B28" s="1" t="s">
        <v>35</v>
      </c>
      <c r="C28" s="10"/>
      <c r="D28" s="10">
        <v>220</v>
      </c>
      <c r="E28" s="10"/>
      <c r="F28" s="10"/>
      <c r="G28" s="10">
        <f t="shared" si="0"/>
        <v>220</v>
      </c>
      <c r="H28" s="16">
        <f t="shared" si="1"/>
        <v>0.04</v>
      </c>
      <c r="I28" s="15">
        <f t="shared" si="2"/>
        <v>0</v>
      </c>
      <c r="J28" s="15">
        <f>ROUND(G28/770-1,2)</f>
        <v>-0.71</v>
      </c>
    </row>
    <row r="29" spans="1:10" x14ac:dyDescent="0.25">
      <c r="A29" s="1" t="s">
        <v>16</v>
      </c>
      <c r="B29" s="1" t="s">
        <v>43</v>
      </c>
      <c r="C29" s="10"/>
      <c r="D29" s="10"/>
      <c r="E29" s="10">
        <v>7500</v>
      </c>
      <c r="F29" s="10"/>
      <c r="G29" s="10">
        <f t="shared" si="0"/>
        <v>7500</v>
      </c>
      <c r="H29" s="16">
        <f t="shared" si="1"/>
        <v>1.37</v>
      </c>
      <c r="I29" s="15">
        <f t="shared" si="2"/>
        <v>3.0000000000000001E-3</v>
      </c>
      <c r="J29" s="15">
        <f>ROUND(G29/14041-1,2)</f>
        <v>-0.47</v>
      </c>
    </row>
    <row r="30" spans="1:10" x14ac:dyDescent="0.25">
      <c r="A30" s="1" t="s">
        <v>16</v>
      </c>
      <c r="B30" s="1" t="s">
        <v>37</v>
      </c>
      <c r="C30" s="10"/>
      <c r="D30" s="10"/>
      <c r="E30" s="10">
        <v>5040</v>
      </c>
      <c r="F30" s="10"/>
      <c r="G30" s="10">
        <f t="shared" si="0"/>
        <v>5040</v>
      </c>
      <c r="H30" s="16">
        <f t="shared" si="1"/>
        <v>0.92</v>
      </c>
      <c r="I30" s="15">
        <f t="shared" si="2"/>
        <v>2E-3</v>
      </c>
      <c r="J30" s="15">
        <f>ROUND(G30/7846-1,2)</f>
        <v>-0.36</v>
      </c>
    </row>
    <row r="31" spans="1:10" x14ac:dyDescent="0.25">
      <c r="A31" s="1" t="s">
        <v>16</v>
      </c>
      <c r="B31" s="1" t="s">
        <v>38</v>
      </c>
      <c r="C31" s="10"/>
      <c r="D31" s="10"/>
      <c r="E31" s="10">
        <v>88910</v>
      </c>
      <c r="F31" s="10"/>
      <c r="G31" s="10">
        <f t="shared" si="0"/>
        <v>88910</v>
      </c>
      <c r="H31" s="16">
        <f t="shared" si="1"/>
        <v>16.22</v>
      </c>
      <c r="I31" s="15">
        <f t="shared" si="2"/>
        <v>3.9E-2</v>
      </c>
      <c r="J31" s="15">
        <f>ROUND(G31/89220-1,2)</f>
        <v>0</v>
      </c>
    </row>
    <row r="32" spans="1:10" x14ac:dyDescent="0.25">
      <c r="A32" s="1" t="s">
        <v>16</v>
      </c>
      <c r="B32" s="1" t="s">
        <v>39</v>
      </c>
      <c r="C32" s="10"/>
      <c r="D32" s="10"/>
      <c r="E32" s="10">
        <v>5100</v>
      </c>
      <c r="F32" s="10"/>
      <c r="G32" s="10">
        <f t="shared" si="0"/>
        <v>5100</v>
      </c>
      <c r="H32" s="16">
        <f t="shared" si="1"/>
        <v>0.93</v>
      </c>
      <c r="I32" s="15">
        <f t="shared" si="2"/>
        <v>2E-3</v>
      </c>
      <c r="J32" s="15">
        <f>ROUND(G32/8100-1,2)</f>
        <v>-0.37</v>
      </c>
    </row>
    <row r="33" spans="1:10" x14ac:dyDescent="0.25">
      <c r="A33" s="1" t="s">
        <v>16</v>
      </c>
      <c r="B33" s="1" t="s">
        <v>40</v>
      </c>
      <c r="C33" s="10"/>
      <c r="D33" s="10"/>
      <c r="E33" s="10">
        <v>16200</v>
      </c>
      <c r="F33" s="10"/>
      <c r="G33" s="10">
        <f t="shared" si="0"/>
        <v>16200</v>
      </c>
      <c r="H33" s="16">
        <f t="shared" si="1"/>
        <v>2.96</v>
      </c>
      <c r="I33" s="15">
        <f t="shared" si="2"/>
        <v>7.0000000000000001E-3</v>
      </c>
      <c r="J33" s="15">
        <f>ROUND(G33/21130-1,2)</f>
        <v>-0.23</v>
      </c>
    </row>
    <row r="34" spans="1:10" x14ac:dyDescent="0.25">
      <c r="A34" s="1" t="s">
        <v>16</v>
      </c>
      <c r="B34" s="1" t="s">
        <v>41</v>
      </c>
      <c r="C34" s="10">
        <v>20800</v>
      </c>
      <c r="D34" s="10">
        <v>320180</v>
      </c>
      <c r="E34" s="10">
        <v>91330</v>
      </c>
      <c r="F34" s="10">
        <v>3300</v>
      </c>
      <c r="G34" s="10">
        <f t="shared" si="0"/>
        <v>435610</v>
      </c>
      <c r="H34" s="16">
        <f t="shared" si="1"/>
        <v>79.489999999999995</v>
      </c>
      <c r="I34" s="15">
        <f t="shared" si="2"/>
        <v>0.193</v>
      </c>
      <c r="J34" s="15">
        <f>ROUND(G34/768000-1,2)</f>
        <v>-0.43</v>
      </c>
    </row>
    <row r="35" spans="1:10" x14ac:dyDescent="0.25">
      <c r="A35" s="1" t="s">
        <v>16</v>
      </c>
      <c r="B35" s="1" t="s">
        <v>36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ROUND(G35/4830-1,2)</f>
        <v>-1</v>
      </c>
    </row>
    <row r="36" spans="1:10" x14ac:dyDescent="0.25">
      <c r="A36" s="1" t="s">
        <v>44</v>
      </c>
      <c r="B36" s="1" t="s">
        <v>45</v>
      </c>
      <c r="C36" s="10">
        <v>370920</v>
      </c>
      <c r="D36" s="10"/>
      <c r="E36" s="10"/>
      <c r="F36" s="10">
        <v>720</v>
      </c>
      <c r="G36" s="10">
        <f t="shared" si="0"/>
        <v>371640</v>
      </c>
      <c r="H36" s="16">
        <f t="shared" si="1"/>
        <v>67.819999999999993</v>
      </c>
      <c r="I36" s="15">
        <f t="shared" si="2"/>
        <v>0.16400000000000001</v>
      </c>
      <c r="J36" s="15">
        <f>ROUND(G36/518270-1,2)</f>
        <v>-0.28000000000000003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>
        <v>27210</v>
      </c>
      <c r="G37" s="10">
        <f t="shared" si="0"/>
        <v>27210</v>
      </c>
      <c r="H37" s="16">
        <f t="shared" si="1"/>
        <v>4.97</v>
      </c>
      <c r="I37" s="15">
        <f t="shared" si="2"/>
        <v>1.2E-2</v>
      </c>
      <c r="J37" s="15">
        <f>ROUND(G37/44180-1,2)</f>
        <v>-0.38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74925</v>
      </c>
      <c r="F38" s="10"/>
      <c r="G38" s="10">
        <f t="shared" si="0"/>
        <v>74925</v>
      </c>
      <c r="H38" s="16">
        <f t="shared" si="1"/>
        <v>13.67</v>
      </c>
      <c r="I38" s="15">
        <f t="shared" si="2"/>
        <v>3.3000000000000002E-2</v>
      </c>
      <c r="J38" s="15">
        <f>ROUND(G38/61260-1,2)</f>
        <v>0.22</v>
      </c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48</v>
      </c>
      <c r="B40" s="1" t="s">
        <v>49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48</v>
      </c>
      <c r="B41" s="1" t="s">
        <v>86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ROUND(G41/230-1,2)</f>
        <v>-1</v>
      </c>
    </row>
    <row r="42" spans="1:10" x14ac:dyDescent="0.25">
      <c r="A42" s="1" t="s">
        <v>48</v>
      </c>
      <c r="B42" s="1" t="s">
        <v>50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27" t="s">
        <v>12</v>
      </c>
      <c r="B43" s="27"/>
      <c r="C43" s="11">
        <f t="shared" ref="C43:H43" si="3">SUM(C8:C42)</f>
        <v>1525950</v>
      </c>
      <c r="D43" s="11">
        <f t="shared" si="3"/>
        <v>320765</v>
      </c>
      <c r="E43" s="11">
        <f t="shared" si="3"/>
        <v>381355</v>
      </c>
      <c r="F43" s="11">
        <f t="shared" si="3"/>
        <v>33790</v>
      </c>
      <c r="G43" s="11">
        <f t="shared" si="3"/>
        <v>2261860</v>
      </c>
      <c r="H43" s="14">
        <f t="shared" si="3"/>
        <v>412.75000000000006</v>
      </c>
      <c r="I43" s="17"/>
      <c r="J43" s="17"/>
    </row>
    <row r="44" spans="1:10" x14ac:dyDescent="0.25">
      <c r="A44" s="27" t="s">
        <v>14</v>
      </c>
      <c r="B44" s="27"/>
      <c r="C44" s="12">
        <f>ROUND(C43/G43,2)</f>
        <v>0.67</v>
      </c>
      <c r="D44" s="12">
        <f>ROUND(D43/G43,2)</f>
        <v>0.14000000000000001</v>
      </c>
      <c r="E44" s="12">
        <f>ROUND(E43/G43,2)</f>
        <v>0.17</v>
      </c>
      <c r="F44" s="12">
        <f>ROUND(F43/G43,2)</f>
        <v>0.01</v>
      </c>
      <c r="G44" s="13"/>
      <c r="H44" s="13"/>
      <c r="I44" s="17"/>
      <c r="J44" s="17"/>
    </row>
    <row r="45" spans="1:10" x14ac:dyDescent="0.25">
      <c r="A45" s="2" t="s">
        <v>52</v>
      </c>
      <c r="B45" s="2"/>
      <c r="C45" s="13"/>
      <c r="D45" s="13"/>
      <c r="E45" s="13"/>
      <c r="F45" s="13"/>
      <c r="G45" s="13"/>
      <c r="H45" s="13"/>
      <c r="I45" s="17"/>
      <c r="J45" s="17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A49" s="27" t="s">
        <v>53</v>
      </c>
      <c r="B49" s="27"/>
      <c r="C49" s="11" t="s">
        <v>8</v>
      </c>
      <c r="D49" s="11" t="s">
        <v>9</v>
      </c>
      <c r="E49" s="11" t="s">
        <v>10</v>
      </c>
      <c r="F49" s="11" t="s">
        <v>11</v>
      </c>
      <c r="G49" s="11" t="s">
        <v>12</v>
      </c>
      <c r="H49" s="14" t="s">
        <v>13</v>
      </c>
      <c r="I49" s="17"/>
      <c r="J49" s="17"/>
    </row>
    <row r="50" spans="1:10" x14ac:dyDescent="0.25">
      <c r="A50" s="22" t="s">
        <v>54</v>
      </c>
      <c r="B50" s="22"/>
      <c r="C50" s="10">
        <v>1155030</v>
      </c>
      <c r="D50" s="10">
        <v>320765</v>
      </c>
      <c r="E50" s="10">
        <v>306430</v>
      </c>
      <c r="F50" s="10">
        <v>5860</v>
      </c>
      <c r="G50" s="10">
        <f>SUM(C50:F50)</f>
        <v>1788085</v>
      </c>
      <c r="H50" s="16">
        <f>ROUND(G50/5480,2)</f>
        <v>326.29000000000002</v>
      </c>
      <c r="I50" s="9"/>
      <c r="J50" s="9"/>
    </row>
    <row r="51" spans="1:10" x14ac:dyDescent="0.25">
      <c r="A51" s="22" t="s">
        <v>55</v>
      </c>
      <c r="B51" s="22"/>
      <c r="C51" s="10">
        <v>370920</v>
      </c>
      <c r="D51" s="10">
        <v>0</v>
      </c>
      <c r="E51" s="10">
        <v>74925</v>
      </c>
      <c r="F51" s="10">
        <v>27930</v>
      </c>
      <c r="G51" s="10">
        <f>SUM(C51:F51)</f>
        <v>473775</v>
      </c>
      <c r="H51" s="16">
        <f>ROUND(G51/5480,2)</f>
        <v>86.46</v>
      </c>
      <c r="I51" s="9"/>
      <c r="J51" s="9"/>
    </row>
    <row r="52" spans="1:10" x14ac:dyDescent="0.25">
      <c r="A52" s="22" t="s">
        <v>56</v>
      </c>
      <c r="B52" s="22"/>
      <c r="C52" s="10">
        <v>0</v>
      </c>
      <c r="D52" s="10">
        <v>0</v>
      </c>
      <c r="E52" s="10">
        <v>0</v>
      </c>
      <c r="F52" s="10">
        <v>0</v>
      </c>
      <c r="G52" s="10">
        <f>SUM(C52:F52)</f>
        <v>0</v>
      </c>
      <c r="H52" s="16">
        <f>ROUND(G52/5480,2)</f>
        <v>0</v>
      </c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7" t="s">
        <v>57</v>
      </c>
      <c r="B57" s="27"/>
      <c r="C57" s="14" t="s">
        <v>2</v>
      </c>
      <c r="D57" s="14">
        <v>2023</v>
      </c>
      <c r="E57" s="14" t="s">
        <v>59</v>
      </c>
      <c r="F57" s="13"/>
      <c r="G57" s="14" t="s">
        <v>60</v>
      </c>
      <c r="H57" s="14" t="s">
        <v>2</v>
      </c>
      <c r="I57" s="12" t="s">
        <v>61</v>
      </c>
      <c r="J57" s="12" t="s">
        <v>59</v>
      </c>
    </row>
    <row r="58" spans="1:10" x14ac:dyDescent="0.25">
      <c r="A58" s="22" t="s">
        <v>58</v>
      </c>
      <c r="B58" s="22"/>
      <c r="C58" s="15">
        <f>ROUND(0.8268, 4)</f>
        <v>0.82679999999999998</v>
      </c>
      <c r="D58" s="15">
        <f>ROUND(0.7944, 4)</f>
        <v>0.7944</v>
      </c>
      <c r="E58" s="15">
        <f>ROUND(0.777, 4)</f>
        <v>0.77700000000000002</v>
      </c>
      <c r="F58" s="8"/>
      <c r="G58" s="14" t="s">
        <v>62</v>
      </c>
      <c r="H58" s="28" t="s">
        <v>63</v>
      </c>
      <c r="I58" s="25" t="s">
        <v>64</v>
      </c>
      <c r="J58" s="25" t="s">
        <v>65</v>
      </c>
    </row>
    <row r="59" spans="1:10" x14ac:dyDescent="0.25">
      <c r="A59" s="22" t="s">
        <v>66</v>
      </c>
      <c r="B59" s="22"/>
      <c r="C59" s="15">
        <f>ROUND(0.8131, 4)</f>
        <v>0.81310000000000004</v>
      </c>
      <c r="D59" s="15">
        <f>ROUND(0.7845, 4)</f>
        <v>0.78449999999999998</v>
      </c>
      <c r="E59" s="15">
        <f>ROUND(0.7608, 4)</f>
        <v>0.76080000000000003</v>
      </c>
      <c r="F59" s="8"/>
      <c r="G59" s="14" t="s">
        <v>67</v>
      </c>
      <c r="H59" s="29"/>
      <c r="I59" s="26"/>
      <c r="J59" s="26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27" t="s">
        <v>68</v>
      </c>
      <c r="B63" s="27"/>
      <c r="C63" s="14" t="s">
        <v>2</v>
      </c>
      <c r="D63" s="14" t="s">
        <v>250</v>
      </c>
      <c r="E63" s="14" t="s">
        <v>70</v>
      </c>
      <c r="F63" s="14" t="s">
        <v>71</v>
      </c>
      <c r="G63" s="14" t="s">
        <v>72</v>
      </c>
      <c r="H63" s="13"/>
      <c r="I63" s="17"/>
      <c r="J63" s="17"/>
    </row>
    <row r="64" spans="1:10" x14ac:dyDescent="0.25">
      <c r="A64" s="22" t="s">
        <v>73</v>
      </c>
      <c r="B64" s="22"/>
      <c r="C64" s="16">
        <v>67.819999999999993</v>
      </c>
      <c r="D64" s="16">
        <v>96.49</v>
      </c>
      <c r="E64" s="16">
        <v>92.53</v>
      </c>
      <c r="F64" s="16">
        <v>56.06</v>
      </c>
      <c r="G64" s="16">
        <f>12/11*C64</f>
        <v>73.98545454545453</v>
      </c>
      <c r="H64" s="8"/>
      <c r="I64" s="9"/>
      <c r="J64" s="9"/>
    </row>
    <row r="65" spans="1:10" x14ac:dyDescent="0.25">
      <c r="A65" s="22" t="s">
        <v>74</v>
      </c>
      <c r="B65" s="22"/>
      <c r="C65" s="16">
        <v>69.069999999999993</v>
      </c>
      <c r="D65" s="16">
        <v>73.66</v>
      </c>
      <c r="E65" s="16">
        <v>61.98</v>
      </c>
      <c r="F65" s="16">
        <v>64.09</v>
      </c>
      <c r="G65" s="16">
        <f>12/11*C65</f>
        <v>75.34909090909089</v>
      </c>
      <c r="H65" s="8"/>
      <c r="I65" s="9"/>
      <c r="J65" s="9"/>
    </row>
    <row r="66" spans="1:10" x14ac:dyDescent="0.25">
      <c r="A66" s="22" t="s">
        <v>75</v>
      </c>
      <c r="B66" s="22"/>
      <c r="C66" s="16">
        <v>326.29000000000002</v>
      </c>
      <c r="D66" s="16">
        <v>385.36</v>
      </c>
      <c r="E66" s="16">
        <v>291.51</v>
      </c>
      <c r="F66" s="16">
        <v>284.45</v>
      </c>
      <c r="G66" s="16">
        <f>12/11*C66</f>
        <v>355.95272727272726</v>
      </c>
      <c r="H66" s="8"/>
      <c r="I66" s="9"/>
      <c r="J66" s="9"/>
    </row>
    <row r="67" spans="1:10" x14ac:dyDescent="0.25">
      <c r="A67" s="22" t="s">
        <v>76</v>
      </c>
      <c r="B67" s="22"/>
      <c r="C67" s="16">
        <v>86.46</v>
      </c>
      <c r="D67" s="16">
        <v>115</v>
      </c>
      <c r="E67" s="16">
        <v>116.46</v>
      </c>
      <c r="F67" s="16">
        <v>79.959999999999994</v>
      </c>
      <c r="G67" s="16">
        <f>12/11*C67</f>
        <v>94.32</v>
      </c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23" t="s">
        <v>60</v>
      </c>
      <c r="B70" s="24"/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77</v>
      </c>
      <c r="B71" s="1" t="s">
        <v>251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70</v>
      </c>
      <c r="B72" s="1" t="s">
        <v>79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71</v>
      </c>
      <c r="B73" s="1" t="s">
        <v>80</v>
      </c>
      <c r="C73" s="8"/>
      <c r="D73" s="8"/>
      <c r="E73" s="8"/>
      <c r="F73" s="8"/>
      <c r="G73" s="8"/>
      <c r="H73" s="8"/>
      <c r="I73" s="9"/>
      <c r="J73" s="9"/>
    </row>
    <row r="74" spans="1:10" x14ac:dyDescent="0.25">
      <c r="A74" s="3" t="s">
        <v>72</v>
      </c>
      <c r="B74" s="1" t="s">
        <v>81</v>
      </c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  <row r="78" spans="1:10" x14ac:dyDescent="0.25">
      <c r="C78" s="8"/>
      <c r="D78" s="8"/>
      <c r="E78" s="8"/>
      <c r="F78" s="8"/>
      <c r="G78" s="8"/>
      <c r="H78" s="8"/>
      <c r="I78" s="9"/>
      <c r="J78" s="9"/>
    </row>
    <row r="79" spans="1:10" x14ac:dyDescent="0.25">
      <c r="C79" s="8"/>
      <c r="D79" s="8"/>
      <c r="E79" s="8"/>
      <c r="F79" s="8"/>
      <c r="G79" s="8"/>
      <c r="H79" s="8"/>
      <c r="I79" s="9"/>
      <c r="J79" s="9"/>
    </row>
  </sheetData>
  <mergeCells count="19">
    <mergeCell ref="C7:G7"/>
    <mergeCell ref="A43:B43"/>
    <mergeCell ref="A44:B44"/>
    <mergeCell ref="A49:B49"/>
    <mergeCell ref="A50:B50"/>
    <mergeCell ref="J58:J59"/>
    <mergeCell ref="A59:B59"/>
    <mergeCell ref="A63:B63"/>
    <mergeCell ref="A64:B64"/>
    <mergeCell ref="A51:B51"/>
    <mergeCell ref="A52:B52"/>
    <mergeCell ref="A57:B57"/>
    <mergeCell ref="A58:B58"/>
    <mergeCell ref="H58:H59"/>
    <mergeCell ref="A65:B65"/>
    <mergeCell ref="A66:B66"/>
    <mergeCell ref="A67:B67"/>
    <mergeCell ref="A70:B70"/>
    <mergeCell ref="I58:I59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4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252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6878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115</v>
      </c>
      <c r="F9" s="10"/>
      <c r="G9" s="10">
        <f t="shared" ref="G9:G47" si="0">SUM(C9:F9)</f>
        <v>115</v>
      </c>
      <c r="H9" s="16">
        <f t="shared" ref="H9:H47" si="1">ROUND(G9/6878,2)</f>
        <v>0.02</v>
      </c>
      <c r="I9" s="15">
        <f t="shared" ref="I9:I47" si="2">ROUND(G9/$G$48,3)</f>
        <v>0</v>
      </c>
      <c r="J9" s="15">
        <f>ROUND(G9/58-1,2)</f>
        <v>0.98</v>
      </c>
    </row>
    <row r="10" spans="1:10" x14ac:dyDescent="0.25">
      <c r="A10" s="1" t="s">
        <v>16</v>
      </c>
      <c r="B10" s="1" t="s">
        <v>19</v>
      </c>
      <c r="C10" s="10">
        <v>207440</v>
      </c>
      <c r="D10" s="10"/>
      <c r="E10" s="10">
        <v>3130</v>
      </c>
      <c r="F10" s="10">
        <v>660</v>
      </c>
      <c r="G10" s="10">
        <f t="shared" si="0"/>
        <v>211230</v>
      </c>
      <c r="H10" s="16">
        <f t="shared" si="1"/>
        <v>30.71</v>
      </c>
      <c r="I10" s="15">
        <f t="shared" si="2"/>
        <v>9.4E-2</v>
      </c>
      <c r="J10" s="15">
        <f>ROUND(G10/204390-1,2)</f>
        <v>0.03</v>
      </c>
    </row>
    <row r="11" spans="1:10" x14ac:dyDescent="0.25">
      <c r="A11" s="1" t="s">
        <v>16</v>
      </c>
      <c r="B11" s="1" t="s">
        <v>20</v>
      </c>
      <c r="C11" s="10">
        <v>230480</v>
      </c>
      <c r="D11" s="10"/>
      <c r="E11" s="10"/>
      <c r="F11" s="10"/>
      <c r="G11" s="10">
        <f t="shared" si="0"/>
        <v>230480</v>
      </c>
      <c r="H11" s="16">
        <f t="shared" si="1"/>
        <v>33.51</v>
      </c>
      <c r="I11" s="15">
        <f t="shared" si="2"/>
        <v>0.10299999999999999</v>
      </c>
      <c r="J11" s="15">
        <f>ROUND(G11/240960-1,2)</f>
        <v>-0.04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404</v>
      </c>
      <c r="F12" s="10"/>
      <c r="G12" s="10">
        <f t="shared" si="0"/>
        <v>404</v>
      </c>
      <c r="H12" s="16">
        <f t="shared" si="1"/>
        <v>0.06</v>
      </c>
      <c r="I12" s="15">
        <f t="shared" si="2"/>
        <v>0</v>
      </c>
      <c r="J12" s="15">
        <f>ROUND(G12/154-1,2)</f>
        <v>1.62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415</v>
      </c>
      <c r="F13" s="10"/>
      <c r="G13" s="10">
        <f t="shared" si="0"/>
        <v>415</v>
      </c>
      <c r="H13" s="16">
        <f t="shared" si="1"/>
        <v>0.06</v>
      </c>
      <c r="I13" s="15">
        <f t="shared" si="2"/>
        <v>0</v>
      </c>
      <c r="J13" s="15">
        <f>ROUND(G13/282-1,2)</f>
        <v>0.47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2840</v>
      </c>
      <c r="F14" s="10">
        <v>800</v>
      </c>
      <c r="G14" s="10">
        <f t="shared" si="0"/>
        <v>3640</v>
      </c>
      <c r="H14" s="16">
        <f t="shared" si="1"/>
        <v>0.53</v>
      </c>
      <c r="I14" s="15">
        <f t="shared" si="2"/>
        <v>2E-3</v>
      </c>
      <c r="J14" s="15">
        <f>ROUND(G14/3300-1,2)</f>
        <v>0.1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118190</v>
      </c>
      <c r="F15" s="10"/>
      <c r="G15" s="10">
        <f t="shared" si="0"/>
        <v>118190</v>
      </c>
      <c r="H15" s="16">
        <f t="shared" si="1"/>
        <v>17.18</v>
      </c>
      <c r="I15" s="15">
        <f t="shared" si="2"/>
        <v>5.2999999999999999E-2</v>
      </c>
      <c r="J15" s="15">
        <f>ROUND(G15/87540-1,2)</f>
        <v>0.35</v>
      </c>
    </row>
    <row r="16" spans="1:10" x14ac:dyDescent="0.25">
      <c r="A16" s="1" t="s">
        <v>16</v>
      </c>
      <c r="B16" s="1" t="s">
        <v>24</v>
      </c>
      <c r="C16" s="10">
        <v>273830</v>
      </c>
      <c r="D16" s="10"/>
      <c r="E16" s="10">
        <v>27000</v>
      </c>
      <c r="F16" s="10">
        <v>1370</v>
      </c>
      <c r="G16" s="10">
        <f t="shared" si="0"/>
        <v>302200</v>
      </c>
      <c r="H16" s="16">
        <f t="shared" si="1"/>
        <v>43.94</v>
      </c>
      <c r="I16" s="15">
        <f t="shared" si="2"/>
        <v>0.13500000000000001</v>
      </c>
      <c r="J16" s="15">
        <f>ROUND(G16/315910-1,2)</f>
        <v>-0.04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11425</v>
      </c>
      <c r="F17" s="10"/>
      <c r="G17" s="10">
        <f t="shared" si="0"/>
        <v>11425</v>
      </c>
      <c r="H17" s="16">
        <f t="shared" si="1"/>
        <v>1.66</v>
      </c>
      <c r="I17" s="15">
        <f t="shared" si="2"/>
        <v>5.0000000000000001E-3</v>
      </c>
      <c r="J17" s="15">
        <f>ROUND(G17/7255-1,2)</f>
        <v>0.56999999999999995</v>
      </c>
    </row>
    <row r="18" spans="1:10" x14ac:dyDescent="0.25">
      <c r="A18" s="1" t="s">
        <v>16</v>
      </c>
      <c r="B18" s="1" t="s">
        <v>26</v>
      </c>
      <c r="C18" s="10">
        <v>451850</v>
      </c>
      <c r="D18" s="10"/>
      <c r="E18" s="10"/>
      <c r="F18" s="10">
        <v>1270</v>
      </c>
      <c r="G18" s="10">
        <f t="shared" si="0"/>
        <v>453120</v>
      </c>
      <c r="H18" s="16">
        <f t="shared" si="1"/>
        <v>65.88</v>
      </c>
      <c r="I18" s="15">
        <f t="shared" si="2"/>
        <v>0.20200000000000001</v>
      </c>
      <c r="J18" s="15">
        <f>ROUND(G18/413480-1,2)</f>
        <v>0.1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2179</v>
      </c>
      <c r="F19" s="10"/>
      <c r="G19" s="10">
        <f t="shared" si="0"/>
        <v>2179</v>
      </c>
      <c r="H19" s="16">
        <f t="shared" si="1"/>
        <v>0.32</v>
      </c>
      <c r="I19" s="15">
        <f t="shared" si="2"/>
        <v>1E-3</v>
      </c>
      <c r="J19" s="15">
        <f>ROUND(G19/2632-1,2)</f>
        <v>-0.17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1166</v>
      </c>
      <c r="F20" s="10"/>
      <c r="G20" s="10">
        <f t="shared" si="0"/>
        <v>1166</v>
      </c>
      <c r="H20" s="16">
        <f t="shared" si="1"/>
        <v>0.17</v>
      </c>
      <c r="I20" s="15">
        <f t="shared" si="2"/>
        <v>1E-3</v>
      </c>
      <c r="J20" s="15">
        <f>ROUND(G20/1490-1,2)</f>
        <v>-0.22</v>
      </c>
    </row>
    <row r="21" spans="1:10" x14ac:dyDescent="0.25">
      <c r="A21" s="1" t="s">
        <v>16</v>
      </c>
      <c r="B21" s="1" t="s">
        <v>42</v>
      </c>
      <c r="C21" s="10"/>
      <c r="D21" s="10"/>
      <c r="E21" s="10">
        <v>136</v>
      </c>
      <c r="F21" s="10"/>
      <c r="G21" s="10">
        <f t="shared" si="0"/>
        <v>136</v>
      </c>
      <c r="H21" s="16">
        <f t="shared" si="1"/>
        <v>0.02</v>
      </c>
      <c r="I21" s="15">
        <f t="shared" si="2"/>
        <v>0</v>
      </c>
      <c r="J21" s="15">
        <f>ROUND(G21/345-1,2)</f>
        <v>-0.61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4080</v>
      </c>
      <c r="F22" s="10"/>
      <c r="G22" s="10">
        <f t="shared" si="0"/>
        <v>4080</v>
      </c>
      <c r="H22" s="16">
        <f t="shared" si="1"/>
        <v>0.59</v>
      </c>
      <c r="I22" s="15">
        <f t="shared" si="2"/>
        <v>2E-3</v>
      </c>
      <c r="J22" s="15">
        <f>ROUND(G22/7890-1,2)</f>
        <v>-0.48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1720</v>
      </c>
      <c r="F23" s="10"/>
      <c r="G23" s="10">
        <f t="shared" si="0"/>
        <v>1720</v>
      </c>
      <c r="H23" s="16">
        <f t="shared" si="1"/>
        <v>0.25</v>
      </c>
      <c r="I23" s="15">
        <f t="shared" si="2"/>
        <v>1E-3</v>
      </c>
      <c r="J23" s="15">
        <f>ROUND(G23/2040-1,2)</f>
        <v>-0.16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4590</v>
      </c>
      <c r="F24" s="10"/>
      <c r="G24" s="10">
        <f t="shared" si="0"/>
        <v>4590</v>
      </c>
      <c r="H24" s="16">
        <f t="shared" si="1"/>
        <v>0.67</v>
      </c>
      <c r="I24" s="15">
        <f t="shared" si="2"/>
        <v>2E-3</v>
      </c>
      <c r="J24" s="15">
        <f>ROUND(G24/1820-1,2)</f>
        <v>1.52</v>
      </c>
    </row>
    <row r="25" spans="1:10" x14ac:dyDescent="0.25">
      <c r="A25" s="1" t="s">
        <v>16</v>
      </c>
      <c r="B25" s="1" t="s">
        <v>33</v>
      </c>
      <c r="C25" s="10"/>
      <c r="D25" s="10">
        <v>533</v>
      </c>
      <c r="E25" s="10">
        <v>226</v>
      </c>
      <c r="F25" s="10"/>
      <c r="G25" s="10">
        <f t="shared" si="0"/>
        <v>759</v>
      </c>
      <c r="H25" s="16">
        <f t="shared" si="1"/>
        <v>0.11</v>
      </c>
      <c r="I25" s="15">
        <f t="shared" si="2"/>
        <v>0</v>
      </c>
      <c r="J25" s="15">
        <f>ROUND(G25/830-1,2)</f>
        <v>-0.09</v>
      </c>
    </row>
    <row r="26" spans="1:10" x14ac:dyDescent="0.25">
      <c r="A26" s="1" t="s">
        <v>16</v>
      </c>
      <c r="B26" s="1" t="s">
        <v>35</v>
      </c>
      <c r="C26" s="10"/>
      <c r="D26" s="10"/>
      <c r="E26" s="10">
        <v>290</v>
      </c>
      <c r="F26" s="10"/>
      <c r="G26" s="10">
        <f t="shared" si="0"/>
        <v>290</v>
      </c>
      <c r="H26" s="16">
        <f t="shared" si="1"/>
        <v>0.04</v>
      </c>
      <c r="I26" s="15">
        <f t="shared" si="2"/>
        <v>0</v>
      </c>
      <c r="J26" s="15">
        <f>ROUND(G26/1062-1,2)</f>
        <v>-0.73</v>
      </c>
    </row>
    <row r="27" spans="1:10" x14ac:dyDescent="0.25">
      <c r="A27" s="1" t="s">
        <v>16</v>
      </c>
      <c r="B27" s="1" t="s">
        <v>37</v>
      </c>
      <c r="C27" s="10"/>
      <c r="D27" s="10"/>
      <c r="E27" s="10">
        <v>6010</v>
      </c>
      <c r="F27" s="10"/>
      <c r="G27" s="10">
        <f t="shared" si="0"/>
        <v>6010</v>
      </c>
      <c r="H27" s="16">
        <f t="shared" si="1"/>
        <v>0.87</v>
      </c>
      <c r="I27" s="15">
        <f t="shared" si="2"/>
        <v>3.0000000000000001E-3</v>
      </c>
      <c r="J27" s="15">
        <f>ROUND(G27/7790-1,2)</f>
        <v>-0.23</v>
      </c>
    </row>
    <row r="28" spans="1:10" x14ac:dyDescent="0.25">
      <c r="A28" s="1" t="s">
        <v>16</v>
      </c>
      <c r="B28" s="1" t="s">
        <v>43</v>
      </c>
      <c r="C28" s="10"/>
      <c r="D28" s="10"/>
      <c r="E28" s="10">
        <v>8475</v>
      </c>
      <c r="F28" s="10"/>
      <c r="G28" s="10">
        <f t="shared" si="0"/>
        <v>8475</v>
      </c>
      <c r="H28" s="16">
        <f t="shared" si="1"/>
        <v>1.23</v>
      </c>
      <c r="I28" s="15">
        <f t="shared" si="2"/>
        <v>4.0000000000000001E-3</v>
      </c>
      <c r="J28" s="15">
        <f>ROUND(G28/16248-1,2)</f>
        <v>-0.48</v>
      </c>
    </row>
    <row r="29" spans="1:10" x14ac:dyDescent="0.25">
      <c r="A29" s="1" t="s">
        <v>16</v>
      </c>
      <c r="B29" s="1" t="s">
        <v>38</v>
      </c>
      <c r="C29" s="10"/>
      <c r="D29" s="10"/>
      <c r="E29" s="10">
        <v>134450</v>
      </c>
      <c r="F29" s="10"/>
      <c r="G29" s="10">
        <f t="shared" si="0"/>
        <v>134450</v>
      </c>
      <c r="H29" s="16">
        <f t="shared" si="1"/>
        <v>19.55</v>
      </c>
      <c r="I29" s="15">
        <f t="shared" si="2"/>
        <v>0.06</v>
      </c>
      <c r="J29" s="15">
        <f>ROUND(G29/103910-1,2)</f>
        <v>0.28999999999999998</v>
      </c>
    </row>
    <row r="30" spans="1:10" x14ac:dyDescent="0.25">
      <c r="A30" s="1" t="s">
        <v>16</v>
      </c>
      <c r="B30" s="1" t="s">
        <v>39</v>
      </c>
      <c r="C30" s="10"/>
      <c r="D30" s="10"/>
      <c r="E30" s="10">
        <v>11140</v>
      </c>
      <c r="F30" s="10"/>
      <c r="G30" s="10">
        <f t="shared" si="0"/>
        <v>11140</v>
      </c>
      <c r="H30" s="16">
        <f t="shared" si="1"/>
        <v>1.62</v>
      </c>
      <c r="I30" s="15">
        <f t="shared" si="2"/>
        <v>5.0000000000000001E-3</v>
      </c>
      <c r="J30" s="15">
        <f>ROUND(G30/15140-1,2)</f>
        <v>-0.26</v>
      </c>
    </row>
    <row r="31" spans="1:10" x14ac:dyDescent="0.25">
      <c r="A31" s="1" t="s">
        <v>16</v>
      </c>
      <c r="B31" s="1" t="s">
        <v>40</v>
      </c>
      <c r="C31" s="10"/>
      <c r="D31" s="10"/>
      <c r="E31" s="10">
        <v>39130</v>
      </c>
      <c r="F31" s="10"/>
      <c r="G31" s="10">
        <f t="shared" si="0"/>
        <v>39130</v>
      </c>
      <c r="H31" s="16">
        <f t="shared" si="1"/>
        <v>5.69</v>
      </c>
      <c r="I31" s="15">
        <f t="shared" si="2"/>
        <v>1.7000000000000001E-2</v>
      </c>
      <c r="J31" s="15">
        <f>ROUND(G31/34680-1,2)</f>
        <v>0.13</v>
      </c>
    </row>
    <row r="32" spans="1:10" x14ac:dyDescent="0.25">
      <c r="A32" s="1" t="s">
        <v>16</v>
      </c>
      <c r="B32" s="1" t="s">
        <v>41</v>
      </c>
      <c r="C32" s="10"/>
      <c r="D32" s="10"/>
      <c r="E32" s="10">
        <v>213560</v>
      </c>
      <c r="F32" s="10">
        <v>16700</v>
      </c>
      <c r="G32" s="10">
        <f t="shared" si="0"/>
        <v>230260</v>
      </c>
      <c r="H32" s="16">
        <f t="shared" si="1"/>
        <v>33.479999999999997</v>
      </c>
      <c r="I32" s="15">
        <f t="shared" si="2"/>
        <v>0.10299999999999999</v>
      </c>
      <c r="J32" s="15">
        <f>ROUND(G32/133560-1,2)</f>
        <v>0.72</v>
      </c>
    </row>
    <row r="33" spans="1:10" x14ac:dyDescent="0.25">
      <c r="A33" s="1" t="s">
        <v>16</v>
      </c>
      <c r="B33" s="1" t="s">
        <v>243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31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ROUND(G34/350-1,2)</f>
        <v>-1</v>
      </c>
    </row>
    <row r="35" spans="1:10" x14ac:dyDescent="0.25">
      <c r="A35" s="1" t="s">
        <v>16</v>
      </c>
      <c r="B35" s="1" t="s">
        <v>36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ROUND(G35/4260-1,2)</f>
        <v>-1</v>
      </c>
    </row>
    <row r="36" spans="1:10" x14ac:dyDescent="0.25">
      <c r="A36" s="1" t="s">
        <v>16</v>
      </c>
      <c r="B36" s="1" t="s">
        <v>127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ROUND(G36/368-1,2)</f>
        <v>-1</v>
      </c>
    </row>
    <row r="37" spans="1:10" x14ac:dyDescent="0.25">
      <c r="A37" s="1" t="s">
        <v>16</v>
      </c>
      <c r="B37" s="1" t="s">
        <v>34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ROUND(G37/550-1,2)</f>
        <v>-1</v>
      </c>
    </row>
    <row r="38" spans="1:10" x14ac:dyDescent="0.25">
      <c r="A38" s="1" t="s">
        <v>16</v>
      </c>
      <c r="B38" s="1" t="s">
        <v>129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16</v>
      </c>
      <c r="B39" s="1" t="s">
        <v>145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16</v>
      </c>
      <c r="B40" s="1" t="s">
        <v>120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44</v>
      </c>
      <c r="B41" s="1" t="s">
        <v>45</v>
      </c>
      <c r="C41" s="10">
        <v>327200</v>
      </c>
      <c r="D41" s="10"/>
      <c r="E41" s="10"/>
      <c r="F41" s="10">
        <v>180</v>
      </c>
      <c r="G41" s="10">
        <f t="shared" si="0"/>
        <v>327380</v>
      </c>
      <c r="H41" s="16">
        <f t="shared" si="1"/>
        <v>47.6</v>
      </c>
      <c r="I41" s="15">
        <f t="shared" si="2"/>
        <v>0.14599999999999999</v>
      </c>
      <c r="J41" s="15">
        <f>ROUND(G41/331840-1,2)</f>
        <v>-0.01</v>
      </c>
    </row>
    <row r="42" spans="1:10" x14ac:dyDescent="0.25">
      <c r="A42" s="1" t="s">
        <v>44</v>
      </c>
      <c r="B42" s="1" t="s">
        <v>47</v>
      </c>
      <c r="C42" s="10"/>
      <c r="D42" s="10"/>
      <c r="E42" s="10"/>
      <c r="F42" s="10">
        <v>38910</v>
      </c>
      <c r="G42" s="10">
        <f t="shared" si="0"/>
        <v>38910</v>
      </c>
      <c r="H42" s="16">
        <f t="shared" si="1"/>
        <v>5.66</v>
      </c>
      <c r="I42" s="15">
        <f t="shared" si="2"/>
        <v>1.7000000000000001E-2</v>
      </c>
      <c r="J42" s="15">
        <f>ROUND(G42/39500-1,2)</f>
        <v>-0.01</v>
      </c>
    </row>
    <row r="43" spans="1:10" x14ac:dyDescent="0.25">
      <c r="A43" s="1" t="s">
        <v>44</v>
      </c>
      <c r="B43" s="1" t="s">
        <v>46</v>
      </c>
      <c r="C43" s="10"/>
      <c r="D43" s="10"/>
      <c r="E43" s="10">
        <v>98320</v>
      </c>
      <c r="F43" s="10"/>
      <c r="G43" s="10">
        <f t="shared" si="0"/>
        <v>98320</v>
      </c>
      <c r="H43" s="16">
        <f t="shared" si="1"/>
        <v>14.29</v>
      </c>
      <c r="I43" s="15">
        <f t="shared" si="2"/>
        <v>4.3999999999999997E-2</v>
      </c>
      <c r="J43" s="15">
        <f>ROUND(G43/61050-1,2)</f>
        <v>0.61</v>
      </c>
    </row>
    <row r="44" spans="1:10" x14ac:dyDescent="0.25">
      <c r="A44" s="1" t="s">
        <v>48</v>
      </c>
      <c r="B44" s="1" t="s">
        <v>49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>
        <f>ROUND(G44/400-1,2)</f>
        <v>-1</v>
      </c>
    </row>
    <row r="45" spans="1:10" x14ac:dyDescent="0.25">
      <c r="A45" s="1" t="s">
        <v>48</v>
      </c>
      <c r="B45" s="1" t="s">
        <v>50</v>
      </c>
      <c r="C45" s="10"/>
      <c r="D45" s="10"/>
      <c r="E45" s="10"/>
      <c r="F45" s="10"/>
      <c r="G45" s="10">
        <f t="shared" si="0"/>
        <v>0</v>
      </c>
      <c r="H45" s="16">
        <f t="shared" si="1"/>
        <v>0</v>
      </c>
      <c r="I45" s="15">
        <f t="shared" si="2"/>
        <v>0</v>
      </c>
      <c r="J45" s="15">
        <f>ROUND(G45/975-1,2)</f>
        <v>-1</v>
      </c>
    </row>
    <row r="46" spans="1:10" x14ac:dyDescent="0.25">
      <c r="A46" s="1" t="s">
        <v>48</v>
      </c>
      <c r="B46" s="1" t="s">
        <v>51</v>
      </c>
      <c r="C46" s="10"/>
      <c r="D46" s="10"/>
      <c r="E46" s="10"/>
      <c r="F46" s="10"/>
      <c r="G46" s="10">
        <f t="shared" si="0"/>
        <v>0</v>
      </c>
      <c r="H46" s="16">
        <f t="shared" si="1"/>
        <v>0</v>
      </c>
      <c r="I46" s="15">
        <f t="shared" si="2"/>
        <v>0</v>
      </c>
      <c r="J46" s="15">
        <f>ROUND(G46/36-1,2)</f>
        <v>-1</v>
      </c>
    </row>
    <row r="47" spans="1:10" x14ac:dyDescent="0.25">
      <c r="A47" s="1" t="s">
        <v>48</v>
      </c>
      <c r="B47" s="1" t="s">
        <v>86</v>
      </c>
      <c r="C47" s="10"/>
      <c r="D47" s="10"/>
      <c r="E47" s="10"/>
      <c r="F47" s="10"/>
      <c r="G47" s="10">
        <f t="shared" si="0"/>
        <v>0</v>
      </c>
      <c r="H47" s="16">
        <f t="shared" si="1"/>
        <v>0</v>
      </c>
      <c r="I47" s="15">
        <f t="shared" si="2"/>
        <v>0</v>
      </c>
      <c r="J47" s="15">
        <f>ROUND(G47/70-1,2)</f>
        <v>-1</v>
      </c>
    </row>
    <row r="48" spans="1:10" x14ac:dyDescent="0.25">
      <c r="A48" s="27" t="s">
        <v>12</v>
      </c>
      <c r="B48" s="27"/>
      <c r="C48" s="11">
        <f t="shared" ref="C48:H48" si="3">SUM(C8:C47)</f>
        <v>1490800</v>
      </c>
      <c r="D48" s="11">
        <f t="shared" si="3"/>
        <v>533</v>
      </c>
      <c r="E48" s="11">
        <f t="shared" si="3"/>
        <v>688991</v>
      </c>
      <c r="F48" s="11">
        <f t="shared" si="3"/>
        <v>59890</v>
      </c>
      <c r="G48" s="11">
        <f t="shared" si="3"/>
        <v>2240214</v>
      </c>
      <c r="H48" s="14">
        <f t="shared" si="3"/>
        <v>325.71000000000004</v>
      </c>
      <c r="I48" s="17"/>
      <c r="J48" s="17"/>
    </row>
    <row r="49" spans="1:10" x14ac:dyDescent="0.25">
      <c r="A49" s="27" t="s">
        <v>14</v>
      </c>
      <c r="B49" s="27"/>
      <c r="C49" s="12">
        <f>ROUND(C48/G48,2)</f>
        <v>0.67</v>
      </c>
      <c r="D49" s="12">
        <f>ROUND(D48/G48,2)</f>
        <v>0</v>
      </c>
      <c r="E49" s="12">
        <f>ROUND(E48/G48,2)</f>
        <v>0.31</v>
      </c>
      <c r="F49" s="12">
        <f>ROUND(F48/G48,2)</f>
        <v>0.03</v>
      </c>
      <c r="G49" s="13"/>
      <c r="H49" s="13"/>
      <c r="I49" s="17"/>
      <c r="J49" s="17"/>
    </row>
    <row r="50" spans="1:10" x14ac:dyDescent="0.25">
      <c r="A50" s="2" t="s">
        <v>52</v>
      </c>
      <c r="B50" s="2"/>
      <c r="C50" s="13"/>
      <c r="D50" s="13"/>
      <c r="E50" s="13"/>
      <c r="F50" s="13"/>
      <c r="G50" s="13"/>
      <c r="H50" s="13"/>
      <c r="I50" s="17"/>
      <c r="J50" s="17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53</v>
      </c>
      <c r="B54" s="27"/>
      <c r="C54" s="11" t="s">
        <v>8</v>
      </c>
      <c r="D54" s="11" t="s">
        <v>9</v>
      </c>
      <c r="E54" s="11" t="s">
        <v>10</v>
      </c>
      <c r="F54" s="11" t="s">
        <v>11</v>
      </c>
      <c r="G54" s="11" t="s">
        <v>12</v>
      </c>
      <c r="H54" s="14" t="s">
        <v>13</v>
      </c>
      <c r="I54" s="17"/>
      <c r="J54" s="17"/>
    </row>
    <row r="55" spans="1:10" x14ac:dyDescent="0.25">
      <c r="A55" s="22" t="s">
        <v>54</v>
      </c>
      <c r="B55" s="22"/>
      <c r="C55" s="10">
        <v>1163600</v>
      </c>
      <c r="D55" s="10">
        <v>533</v>
      </c>
      <c r="E55" s="10">
        <v>590671</v>
      </c>
      <c r="F55" s="10">
        <v>20800</v>
      </c>
      <c r="G55" s="10">
        <f>SUM(C55:F55)</f>
        <v>1775604</v>
      </c>
      <c r="H55" s="16">
        <f>ROUND(G55/6878,2)</f>
        <v>258.16000000000003</v>
      </c>
      <c r="I55" s="9"/>
      <c r="J55" s="9"/>
    </row>
    <row r="56" spans="1:10" x14ac:dyDescent="0.25">
      <c r="A56" s="22" t="s">
        <v>55</v>
      </c>
      <c r="B56" s="22"/>
      <c r="C56" s="10">
        <v>327200</v>
      </c>
      <c r="D56" s="10">
        <v>0</v>
      </c>
      <c r="E56" s="10">
        <v>98320</v>
      </c>
      <c r="F56" s="10">
        <v>39090</v>
      </c>
      <c r="G56" s="10">
        <f>SUM(C56:F56)</f>
        <v>464610</v>
      </c>
      <c r="H56" s="16">
        <f>ROUND(G56/6878,2)</f>
        <v>67.55</v>
      </c>
      <c r="I56" s="9"/>
      <c r="J56" s="9"/>
    </row>
    <row r="57" spans="1:10" x14ac:dyDescent="0.25">
      <c r="A57" s="22" t="s">
        <v>56</v>
      </c>
      <c r="B57" s="22"/>
      <c r="C57" s="10">
        <v>0</v>
      </c>
      <c r="D57" s="10">
        <v>0</v>
      </c>
      <c r="E57" s="10">
        <v>0</v>
      </c>
      <c r="F57" s="10">
        <v>0</v>
      </c>
      <c r="G57" s="10">
        <f>SUM(C57:F57)</f>
        <v>0</v>
      </c>
      <c r="H57" s="16">
        <f>ROUND(G57/6878,2)</f>
        <v>0</v>
      </c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57</v>
      </c>
      <c r="B62" s="27"/>
      <c r="C62" s="14" t="s">
        <v>2</v>
      </c>
      <c r="D62" s="14">
        <v>2023</v>
      </c>
      <c r="E62" s="14" t="s">
        <v>59</v>
      </c>
      <c r="F62" s="13"/>
      <c r="G62" s="14" t="s">
        <v>60</v>
      </c>
      <c r="H62" s="14" t="s">
        <v>2</v>
      </c>
      <c r="I62" s="12" t="s">
        <v>61</v>
      </c>
      <c r="J62" s="12" t="s">
        <v>59</v>
      </c>
    </row>
    <row r="63" spans="1:10" x14ac:dyDescent="0.25">
      <c r="A63" s="22" t="s">
        <v>58</v>
      </c>
      <c r="B63" s="22"/>
      <c r="C63" s="15">
        <f>ROUND(0.8389, 4)</f>
        <v>0.83889999999999998</v>
      </c>
      <c r="D63" s="15">
        <f>ROUND(0.8276, 4)</f>
        <v>0.8276</v>
      </c>
      <c r="E63" s="15">
        <f>ROUND(0.777, 4)</f>
        <v>0.77700000000000002</v>
      </c>
      <c r="F63" s="8"/>
      <c r="G63" s="14" t="s">
        <v>62</v>
      </c>
      <c r="H63" s="28" t="s">
        <v>63</v>
      </c>
      <c r="I63" s="25" t="s">
        <v>64</v>
      </c>
      <c r="J63" s="25" t="s">
        <v>65</v>
      </c>
    </row>
    <row r="64" spans="1:10" x14ac:dyDescent="0.25">
      <c r="A64" s="22" t="s">
        <v>66</v>
      </c>
      <c r="B64" s="22"/>
      <c r="C64" s="15">
        <f>ROUND(0.8261, 4)</f>
        <v>0.82609999999999995</v>
      </c>
      <c r="D64" s="15">
        <f>ROUND(0.8145, 4)</f>
        <v>0.8145</v>
      </c>
      <c r="E64" s="15">
        <f>ROUND(0.7608, 4)</f>
        <v>0.76080000000000003</v>
      </c>
      <c r="F64" s="8"/>
      <c r="G64" s="14" t="s">
        <v>67</v>
      </c>
      <c r="H64" s="29"/>
      <c r="I64" s="26"/>
      <c r="J64" s="26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7" t="s">
        <v>68</v>
      </c>
      <c r="B68" s="27"/>
      <c r="C68" s="14" t="s">
        <v>2</v>
      </c>
      <c r="D68" s="14" t="s">
        <v>253</v>
      </c>
      <c r="E68" s="14" t="s">
        <v>70</v>
      </c>
      <c r="F68" s="14" t="s">
        <v>71</v>
      </c>
      <c r="G68" s="14" t="s">
        <v>72</v>
      </c>
      <c r="H68" s="13"/>
      <c r="I68" s="17"/>
      <c r="J68" s="17"/>
    </row>
    <row r="69" spans="1:10" x14ac:dyDescent="0.25">
      <c r="A69" s="22" t="s">
        <v>73</v>
      </c>
      <c r="B69" s="22"/>
      <c r="C69" s="16">
        <v>47.6</v>
      </c>
      <c r="D69" s="16">
        <v>51.15</v>
      </c>
      <c r="E69" s="16">
        <v>92.53</v>
      </c>
      <c r="F69" s="16">
        <v>56.06</v>
      </c>
      <c r="G69" s="16">
        <f>12/11*C69</f>
        <v>51.927272727272722</v>
      </c>
      <c r="H69" s="8"/>
      <c r="I69" s="9"/>
      <c r="J69" s="9"/>
    </row>
    <row r="70" spans="1:10" x14ac:dyDescent="0.25">
      <c r="A70" s="22" t="s">
        <v>74</v>
      </c>
      <c r="B70" s="22"/>
      <c r="C70" s="16">
        <v>65.88</v>
      </c>
      <c r="D70" s="16">
        <v>65.31</v>
      </c>
      <c r="E70" s="16">
        <v>61.98</v>
      </c>
      <c r="F70" s="16">
        <v>64.09</v>
      </c>
      <c r="G70" s="16">
        <f>12/11*C70</f>
        <v>71.8690909090909</v>
      </c>
      <c r="H70" s="8"/>
      <c r="I70" s="9"/>
      <c r="J70" s="9"/>
    </row>
    <row r="71" spans="1:10" x14ac:dyDescent="0.25">
      <c r="A71" s="22" t="s">
        <v>75</v>
      </c>
      <c r="B71" s="22"/>
      <c r="C71" s="16">
        <v>277.89999999999998</v>
      </c>
      <c r="D71" s="16">
        <v>255.21</v>
      </c>
      <c r="E71" s="16">
        <v>291.51</v>
      </c>
      <c r="F71" s="16">
        <v>284.45</v>
      </c>
      <c r="G71" s="16">
        <f>12/11*C71</f>
        <v>303.16363636363633</v>
      </c>
      <c r="H71" s="8"/>
      <c r="I71" s="9"/>
      <c r="J71" s="9"/>
    </row>
    <row r="72" spans="1:10" x14ac:dyDescent="0.25">
      <c r="A72" s="22" t="s">
        <v>76</v>
      </c>
      <c r="B72" s="22"/>
      <c r="C72" s="16">
        <v>67.55</v>
      </c>
      <c r="D72" s="16">
        <v>66.2</v>
      </c>
      <c r="E72" s="16">
        <v>116.46</v>
      </c>
      <c r="F72" s="16">
        <v>79.959999999999994</v>
      </c>
      <c r="G72" s="16">
        <f>12/11*C72</f>
        <v>73.690909090909088</v>
      </c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A75" s="23" t="s">
        <v>60</v>
      </c>
      <c r="B75" s="24"/>
      <c r="C75" s="8"/>
      <c r="D75" s="8"/>
      <c r="E75" s="8"/>
      <c r="F75" s="8"/>
      <c r="G75" s="8"/>
      <c r="H75" s="8"/>
      <c r="I75" s="9"/>
      <c r="J75" s="9"/>
    </row>
    <row r="76" spans="1:10" x14ac:dyDescent="0.25">
      <c r="A76" s="3" t="s">
        <v>77</v>
      </c>
      <c r="B76" s="1" t="s">
        <v>254</v>
      </c>
      <c r="C76" s="8"/>
      <c r="D76" s="8"/>
      <c r="E76" s="8"/>
      <c r="F76" s="8"/>
      <c r="G76" s="8"/>
      <c r="H76" s="8"/>
      <c r="I76" s="9"/>
      <c r="J76" s="9"/>
    </row>
    <row r="77" spans="1:10" x14ac:dyDescent="0.25">
      <c r="A77" s="3" t="s">
        <v>70</v>
      </c>
      <c r="B77" s="1" t="s">
        <v>79</v>
      </c>
      <c r="C77" s="8"/>
      <c r="D77" s="8"/>
      <c r="E77" s="8"/>
      <c r="F77" s="8"/>
      <c r="G77" s="8"/>
      <c r="H77" s="8"/>
      <c r="I77" s="9"/>
      <c r="J77" s="9"/>
    </row>
    <row r="78" spans="1:10" x14ac:dyDescent="0.25">
      <c r="A78" s="3" t="s">
        <v>71</v>
      </c>
      <c r="B78" s="1" t="s">
        <v>80</v>
      </c>
      <c r="C78" s="8"/>
      <c r="D78" s="8"/>
      <c r="E78" s="8"/>
      <c r="F78" s="8"/>
      <c r="G78" s="8"/>
      <c r="H78" s="8"/>
      <c r="I78" s="9"/>
      <c r="J78" s="9"/>
    </row>
    <row r="79" spans="1:10" x14ac:dyDescent="0.25">
      <c r="A79" s="3" t="s">
        <v>72</v>
      </c>
      <c r="B79" s="1" t="s">
        <v>81</v>
      </c>
      <c r="C79" s="8"/>
      <c r="D79" s="8"/>
      <c r="E79" s="8"/>
      <c r="F79" s="8"/>
      <c r="G79" s="8"/>
      <c r="H79" s="8"/>
      <c r="I79" s="9"/>
      <c r="J79" s="9"/>
    </row>
  </sheetData>
  <mergeCells count="19">
    <mergeCell ref="C7:G7"/>
    <mergeCell ref="A48:B48"/>
    <mergeCell ref="A49:B49"/>
    <mergeCell ref="A54:B54"/>
    <mergeCell ref="A55:B55"/>
    <mergeCell ref="J63:J64"/>
    <mergeCell ref="A64:B64"/>
    <mergeCell ref="A68:B68"/>
    <mergeCell ref="A69:B69"/>
    <mergeCell ref="A56:B56"/>
    <mergeCell ref="A57:B57"/>
    <mergeCell ref="A62:B62"/>
    <mergeCell ref="A63:B63"/>
    <mergeCell ref="H63:H64"/>
    <mergeCell ref="A70:B70"/>
    <mergeCell ref="A71:B71"/>
    <mergeCell ref="A72:B72"/>
    <mergeCell ref="A75:B75"/>
    <mergeCell ref="I63:I6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6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255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3536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50</v>
      </c>
      <c r="C9" s="10"/>
      <c r="D9" s="10"/>
      <c r="E9" s="10"/>
      <c r="F9" s="10">
        <v>600</v>
      </c>
      <c r="G9" s="10">
        <f t="shared" ref="G9:G47" si="0">SUM(C9:F9)</f>
        <v>600</v>
      </c>
      <c r="H9" s="16">
        <f t="shared" ref="H9:H47" si="1">ROUND(G9/3536,2)</f>
        <v>0.17</v>
      </c>
      <c r="I9" s="15">
        <f t="shared" ref="I9:I47" si="2">ROUND(G9/$G$48,3)</f>
        <v>0</v>
      </c>
      <c r="J9" s="15">
        <f>ROUND(G9/775-1,2)</f>
        <v>-0.23</v>
      </c>
    </row>
    <row r="10" spans="1:10" x14ac:dyDescent="0.25">
      <c r="A10" s="1" t="s">
        <v>48</v>
      </c>
      <c r="B10" s="1" t="s">
        <v>51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>
        <f>ROUND(G10/18-1,2)</f>
        <v>-1</v>
      </c>
    </row>
    <row r="11" spans="1:10" x14ac:dyDescent="0.25">
      <c r="A11" s="1" t="s">
        <v>48</v>
      </c>
      <c r="B11" s="1" t="s">
        <v>49</v>
      </c>
      <c r="C11" s="10"/>
      <c r="D11" s="10"/>
      <c r="E11" s="10"/>
      <c r="F11" s="10"/>
      <c r="G11" s="10">
        <f t="shared" si="0"/>
        <v>0</v>
      </c>
      <c r="H11" s="16">
        <f t="shared" si="1"/>
        <v>0</v>
      </c>
      <c r="I11" s="15">
        <f t="shared" si="2"/>
        <v>0</v>
      </c>
      <c r="J11" s="15">
        <f>ROUND(G11/200-1,2)</f>
        <v>-1</v>
      </c>
    </row>
    <row r="12" spans="1:10" x14ac:dyDescent="0.25">
      <c r="A12" s="1" t="s">
        <v>48</v>
      </c>
      <c r="B12" s="1" t="s">
        <v>86</v>
      </c>
      <c r="C12" s="10"/>
      <c r="D12" s="10"/>
      <c r="E12" s="10"/>
      <c r="F12" s="10"/>
      <c r="G12" s="10">
        <f t="shared" si="0"/>
        <v>0</v>
      </c>
      <c r="H12" s="16">
        <f t="shared" si="1"/>
        <v>0</v>
      </c>
      <c r="I12" s="15">
        <f t="shared" si="2"/>
        <v>0</v>
      </c>
      <c r="J12" s="15"/>
    </row>
    <row r="13" spans="1:10" x14ac:dyDescent="0.25">
      <c r="A13" s="1" t="s">
        <v>48</v>
      </c>
      <c r="B13" s="1" t="s">
        <v>94</v>
      </c>
      <c r="C13" s="10"/>
      <c r="D13" s="10"/>
      <c r="E13" s="10"/>
      <c r="F13" s="10"/>
      <c r="G13" s="10">
        <f t="shared" si="0"/>
        <v>0</v>
      </c>
      <c r="H13" s="16">
        <f t="shared" si="1"/>
        <v>0</v>
      </c>
      <c r="I13" s="15">
        <f t="shared" si="2"/>
        <v>0</v>
      </c>
      <c r="J13" s="15"/>
    </row>
    <row r="14" spans="1:10" x14ac:dyDescent="0.25">
      <c r="A14" s="1" t="s">
        <v>16</v>
      </c>
      <c r="B14" s="1" t="s">
        <v>17</v>
      </c>
      <c r="C14" s="10"/>
      <c r="D14" s="10"/>
      <c r="E14" s="10">
        <v>79</v>
      </c>
      <c r="F14" s="10"/>
      <c r="G14" s="10">
        <f t="shared" si="0"/>
        <v>79</v>
      </c>
      <c r="H14" s="16">
        <f t="shared" si="1"/>
        <v>0.02</v>
      </c>
      <c r="I14" s="15">
        <f t="shared" si="2"/>
        <v>0</v>
      </c>
      <c r="J14" s="15">
        <f>ROUND(G14/86-1,2)</f>
        <v>-0.08</v>
      </c>
    </row>
    <row r="15" spans="1:10" x14ac:dyDescent="0.25">
      <c r="A15" s="1" t="s">
        <v>16</v>
      </c>
      <c r="B15" s="1" t="s">
        <v>19</v>
      </c>
      <c r="C15" s="10">
        <v>115960</v>
      </c>
      <c r="D15" s="10"/>
      <c r="E15" s="10">
        <v>910</v>
      </c>
      <c r="F15" s="10">
        <v>20</v>
      </c>
      <c r="G15" s="10">
        <f t="shared" si="0"/>
        <v>116890</v>
      </c>
      <c r="H15" s="16">
        <f t="shared" si="1"/>
        <v>33.06</v>
      </c>
      <c r="I15" s="15">
        <f t="shared" si="2"/>
        <v>8.5999999999999993E-2</v>
      </c>
      <c r="J15" s="15">
        <f>ROUND(G15/118410-1,2)</f>
        <v>-0.01</v>
      </c>
    </row>
    <row r="16" spans="1:10" x14ac:dyDescent="0.25">
      <c r="A16" s="1" t="s">
        <v>16</v>
      </c>
      <c r="B16" s="1" t="s">
        <v>20</v>
      </c>
      <c r="C16" s="10">
        <v>150480</v>
      </c>
      <c r="D16" s="10"/>
      <c r="E16" s="10"/>
      <c r="F16" s="10"/>
      <c r="G16" s="10">
        <f t="shared" si="0"/>
        <v>150480</v>
      </c>
      <c r="H16" s="16">
        <f t="shared" si="1"/>
        <v>42.56</v>
      </c>
      <c r="I16" s="15">
        <f t="shared" si="2"/>
        <v>0.11</v>
      </c>
      <c r="J16" s="15">
        <f>ROUND(G16/148510-1,2)</f>
        <v>0.01</v>
      </c>
    </row>
    <row r="17" spans="1:10" x14ac:dyDescent="0.25">
      <c r="A17" s="1" t="s">
        <v>16</v>
      </c>
      <c r="B17" s="1" t="s">
        <v>95</v>
      </c>
      <c r="C17" s="10"/>
      <c r="D17" s="10"/>
      <c r="E17" s="10">
        <v>247</v>
      </c>
      <c r="F17" s="10"/>
      <c r="G17" s="10">
        <f t="shared" si="0"/>
        <v>247</v>
      </c>
      <c r="H17" s="16">
        <f t="shared" si="1"/>
        <v>7.0000000000000007E-2</v>
      </c>
      <c r="I17" s="15">
        <f t="shared" si="2"/>
        <v>0</v>
      </c>
      <c r="J17" s="15">
        <f>ROUND(G17/223-1,2)</f>
        <v>0.11</v>
      </c>
    </row>
    <row r="18" spans="1:10" x14ac:dyDescent="0.25">
      <c r="A18" s="1" t="s">
        <v>16</v>
      </c>
      <c r="B18" s="1" t="s">
        <v>21</v>
      </c>
      <c r="C18" s="10"/>
      <c r="D18" s="10"/>
      <c r="E18" s="10">
        <v>347</v>
      </c>
      <c r="F18" s="10"/>
      <c r="G18" s="10">
        <f t="shared" si="0"/>
        <v>347</v>
      </c>
      <c r="H18" s="16">
        <f t="shared" si="1"/>
        <v>0.1</v>
      </c>
      <c r="I18" s="15">
        <f t="shared" si="2"/>
        <v>0</v>
      </c>
      <c r="J18" s="15">
        <f>ROUND(G18/319-1,2)</f>
        <v>0.09</v>
      </c>
    </row>
    <row r="19" spans="1:10" x14ac:dyDescent="0.25">
      <c r="A19" s="1" t="s">
        <v>16</v>
      </c>
      <c r="B19" s="1" t="s">
        <v>22</v>
      </c>
      <c r="C19" s="10"/>
      <c r="D19" s="10"/>
      <c r="E19" s="10">
        <v>1900</v>
      </c>
      <c r="F19" s="10"/>
      <c r="G19" s="10">
        <f t="shared" si="0"/>
        <v>1900</v>
      </c>
      <c r="H19" s="16">
        <f t="shared" si="1"/>
        <v>0.54</v>
      </c>
      <c r="I19" s="15">
        <f t="shared" si="2"/>
        <v>1E-3</v>
      </c>
      <c r="J19" s="15">
        <f>ROUND(G19/700-1,2)</f>
        <v>1.71</v>
      </c>
    </row>
    <row r="20" spans="1:10" x14ac:dyDescent="0.25">
      <c r="A20" s="1" t="s">
        <v>16</v>
      </c>
      <c r="B20" s="1" t="s">
        <v>96</v>
      </c>
      <c r="C20" s="10"/>
      <c r="D20" s="10"/>
      <c r="E20" s="10"/>
      <c r="F20" s="10">
        <v>69</v>
      </c>
      <c r="G20" s="10">
        <f t="shared" si="0"/>
        <v>69</v>
      </c>
      <c r="H20" s="16">
        <f t="shared" si="1"/>
        <v>0.02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97</v>
      </c>
      <c r="C21" s="10"/>
      <c r="D21" s="10"/>
      <c r="E21" s="10"/>
      <c r="F21" s="10">
        <v>251</v>
      </c>
      <c r="G21" s="10">
        <f t="shared" si="0"/>
        <v>251</v>
      </c>
      <c r="H21" s="16">
        <f t="shared" si="1"/>
        <v>7.0000000000000007E-2</v>
      </c>
      <c r="I21" s="15">
        <f t="shared" si="2"/>
        <v>0</v>
      </c>
      <c r="J21" s="15"/>
    </row>
    <row r="22" spans="1:10" x14ac:dyDescent="0.25">
      <c r="A22" s="1" t="s">
        <v>16</v>
      </c>
      <c r="B22" s="1" t="s">
        <v>98</v>
      </c>
      <c r="C22" s="10"/>
      <c r="D22" s="10"/>
      <c r="E22" s="10"/>
      <c r="F22" s="10">
        <v>245</v>
      </c>
      <c r="G22" s="10">
        <f t="shared" si="0"/>
        <v>245</v>
      </c>
      <c r="H22" s="16">
        <f t="shared" si="1"/>
        <v>7.0000000000000007E-2</v>
      </c>
      <c r="I22" s="15">
        <f t="shared" si="2"/>
        <v>0</v>
      </c>
      <c r="J22" s="15">
        <f>ROUND(G22/90-1,2)</f>
        <v>1.72</v>
      </c>
    </row>
    <row r="23" spans="1:10" x14ac:dyDescent="0.25">
      <c r="A23" s="1" t="s">
        <v>16</v>
      </c>
      <c r="B23" s="1" t="s">
        <v>23</v>
      </c>
      <c r="C23" s="10"/>
      <c r="D23" s="10"/>
      <c r="E23" s="10">
        <v>51820</v>
      </c>
      <c r="F23" s="10"/>
      <c r="G23" s="10">
        <f t="shared" si="0"/>
        <v>51820</v>
      </c>
      <c r="H23" s="16">
        <f t="shared" si="1"/>
        <v>14.65</v>
      </c>
      <c r="I23" s="15">
        <f t="shared" si="2"/>
        <v>3.7999999999999999E-2</v>
      </c>
      <c r="J23" s="15">
        <f>ROUND(G23/32660-1,2)</f>
        <v>0.59</v>
      </c>
    </row>
    <row r="24" spans="1:10" x14ac:dyDescent="0.25">
      <c r="A24" s="1" t="s">
        <v>16</v>
      </c>
      <c r="B24" s="1" t="s">
        <v>24</v>
      </c>
      <c r="C24" s="10">
        <v>224880</v>
      </c>
      <c r="D24" s="10"/>
      <c r="E24" s="10">
        <v>8760</v>
      </c>
      <c r="F24" s="10">
        <v>1660</v>
      </c>
      <c r="G24" s="10">
        <f t="shared" si="0"/>
        <v>235300</v>
      </c>
      <c r="H24" s="16">
        <f t="shared" si="1"/>
        <v>66.540000000000006</v>
      </c>
      <c r="I24" s="15">
        <f t="shared" si="2"/>
        <v>0.17299999999999999</v>
      </c>
      <c r="J24" s="15">
        <f>ROUND(G24/237640-1,2)</f>
        <v>-0.01</v>
      </c>
    </row>
    <row r="25" spans="1:10" x14ac:dyDescent="0.25">
      <c r="A25" s="1" t="s">
        <v>16</v>
      </c>
      <c r="B25" s="1" t="s">
        <v>25</v>
      </c>
      <c r="C25" s="10"/>
      <c r="D25" s="10"/>
      <c r="E25" s="10">
        <v>2080</v>
      </c>
      <c r="F25" s="10"/>
      <c r="G25" s="10">
        <f t="shared" si="0"/>
        <v>2080</v>
      </c>
      <c r="H25" s="16">
        <f t="shared" si="1"/>
        <v>0.59</v>
      </c>
      <c r="I25" s="15">
        <f t="shared" si="2"/>
        <v>2E-3</v>
      </c>
      <c r="J25" s="15">
        <f>ROUND(G25/2650-1,2)</f>
        <v>-0.22</v>
      </c>
    </row>
    <row r="26" spans="1:10" x14ac:dyDescent="0.25">
      <c r="A26" s="1" t="s">
        <v>16</v>
      </c>
      <c r="B26" s="1" t="s">
        <v>26</v>
      </c>
      <c r="C26" s="10">
        <v>243715</v>
      </c>
      <c r="D26" s="10"/>
      <c r="E26" s="10"/>
      <c r="F26" s="10">
        <v>805</v>
      </c>
      <c r="G26" s="10">
        <f t="shared" si="0"/>
        <v>244520</v>
      </c>
      <c r="H26" s="16">
        <f t="shared" si="1"/>
        <v>69.150000000000006</v>
      </c>
      <c r="I26" s="15">
        <f t="shared" si="2"/>
        <v>0.18</v>
      </c>
      <c r="J26" s="15">
        <f>ROUND(G26/244200-1,2)</f>
        <v>0</v>
      </c>
    </row>
    <row r="27" spans="1:10" x14ac:dyDescent="0.25">
      <c r="A27" s="1" t="s">
        <v>16</v>
      </c>
      <c r="B27" s="1" t="s">
        <v>27</v>
      </c>
      <c r="C27" s="10"/>
      <c r="D27" s="10"/>
      <c r="E27" s="10">
        <v>982</v>
      </c>
      <c r="F27" s="10"/>
      <c r="G27" s="10">
        <f t="shared" si="0"/>
        <v>982</v>
      </c>
      <c r="H27" s="16">
        <f t="shared" si="1"/>
        <v>0.28000000000000003</v>
      </c>
      <c r="I27" s="15">
        <f t="shared" si="2"/>
        <v>1E-3</v>
      </c>
      <c r="J27" s="15">
        <f>ROUND(G27/866-1,2)</f>
        <v>0.13</v>
      </c>
    </row>
    <row r="28" spans="1:10" x14ac:dyDescent="0.25">
      <c r="A28" s="1" t="s">
        <v>16</v>
      </c>
      <c r="B28" s="1" t="s">
        <v>28</v>
      </c>
      <c r="C28" s="10"/>
      <c r="D28" s="10"/>
      <c r="E28" s="10">
        <v>421</v>
      </c>
      <c r="F28" s="10"/>
      <c r="G28" s="10">
        <f t="shared" si="0"/>
        <v>421</v>
      </c>
      <c r="H28" s="16">
        <f t="shared" si="1"/>
        <v>0.12</v>
      </c>
      <c r="I28" s="15">
        <f t="shared" si="2"/>
        <v>0</v>
      </c>
      <c r="J28" s="15">
        <f>ROUND(G28/357-1,2)</f>
        <v>0.18</v>
      </c>
    </row>
    <row r="29" spans="1:10" x14ac:dyDescent="0.25">
      <c r="A29" s="1" t="s">
        <v>16</v>
      </c>
      <c r="B29" s="1" t="s">
        <v>42</v>
      </c>
      <c r="C29" s="10"/>
      <c r="D29" s="10"/>
      <c r="E29" s="10">
        <v>198</v>
      </c>
      <c r="F29" s="10"/>
      <c r="G29" s="10">
        <f t="shared" si="0"/>
        <v>198</v>
      </c>
      <c r="H29" s="16">
        <f t="shared" si="1"/>
        <v>0.06</v>
      </c>
      <c r="I29" s="15">
        <f t="shared" si="2"/>
        <v>0</v>
      </c>
      <c r="J29" s="15"/>
    </row>
    <row r="30" spans="1:10" x14ac:dyDescent="0.25">
      <c r="A30" s="1" t="s">
        <v>16</v>
      </c>
      <c r="B30" s="1" t="s">
        <v>29</v>
      </c>
      <c r="C30" s="10"/>
      <c r="D30" s="10"/>
      <c r="E30" s="10">
        <v>1290</v>
      </c>
      <c r="F30" s="10"/>
      <c r="G30" s="10">
        <f t="shared" si="0"/>
        <v>1290</v>
      </c>
      <c r="H30" s="16">
        <f t="shared" si="1"/>
        <v>0.36</v>
      </c>
      <c r="I30" s="15">
        <f t="shared" si="2"/>
        <v>1E-3</v>
      </c>
      <c r="J30" s="15">
        <f>ROUND(G30/1970-1,2)</f>
        <v>-0.35</v>
      </c>
    </row>
    <row r="31" spans="1:10" x14ac:dyDescent="0.25">
      <c r="A31" s="1" t="s">
        <v>16</v>
      </c>
      <c r="B31" s="1" t="s">
        <v>30</v>
      </c>
      <c r="C31" s="10"/>
      <c r="D31" s="10"/>
      <c r="E31" s="10">
        <v>1090</v>
      </c>
      <c r="F31" s="10"/>
      <c r="G31" s="10">
        <f t="shared" si="0"/>
        <v>1090</v>
      </c>
      <c r="H31" s="16">
        <f t="shared" si="1"/>
        <v>0.31</v>
      </c>
      <c r="I31" s="15">
        <f t="shared" si="2"/>
        <v>1E-3</v>
      </c>
      <c r="J31" s="15">
        <f>ROUND(G31/1060-1,2)</f>
        <v>0.03</v>
      </c>
    </row>
    <row r="32" spans="1:10" x14ac:dyDescent="0.25">
      <c r="A32" s="1" t="s">
        <v>16</v>
      </c>
      <c r="B32" s="1" t="s">
        <v>31</v>
      </c>
      <c r="C32" s="10"/>
      <c r="D32" s="10"/>
      <c r="E32" s="10">
        <v>580</v>
      </c>
      <c r="F32" s="10"/>
      <c r="G32" s="10">
        <f t="shared" si="0"/>
        <v>580</v>
      </c>
      <c r="H32" s="16">
        <f t="shared" si="1"/>
        <v>0.16</v>
      </c>
      <c r="I32" s="15">
        <f t="shared" si="2"/>
        <v>0</v>
      </c>
      <c r="J32" s="15">
        <f>ROUND(G32/350-1,2)</f>
        <v>0.66</v>
      </c>
    </row>
    <row r="33" spans="1:10" x14ac:dyDescent="0.25">
      <c r="A33" s="1" t="s">
        <v>16</v>
      </c>
      <c r="B33" s="1" t="s">
        <v>32</v>
      </c>
      <c r="C33" s="10"/>
      <c r="D33" s="10"/>
      <c r="E33" s="10">
        <v>2100</v>
      </c>
      <c r="F33" s="10"/>
      <c r="G33" s="10">
        <f t="shared" si="0"/>
        <v>2100</v>
      </c>
      <c r="H33" s="16">
        <f t="shared" si="1"/>
        <v>0.59</v>
      </c>
      <c r="I33" s="15">
        <f t="shared" si="2"/>
        <v>2E-3</v>
      </c>
      <c r="J33" s="15">
        <f>ROUND(G33/1295-1,2)</f>
        <v>0.62</v>
      </c>
    </row>
    <row r="34" spans="1:10" x14ac:dyDescent="0.25">
      <c r="A34" s="1" t="s">
        <v>16</v>
      </c>
      <c r="B34" s="1" t="s">
        <v>33</v>
      </c>
      <c r="C34" s="10"/>
      <c r="D34" s="10">
        <v>343</v>
      </c>
      <c r="E34" s="10">
        <v>91</v>
      </c>
      <c r="F34" s="10"/>
      <c r="G34" s="10">
        <f t="shared" si="0"/>
        <v>434</v>
      </c>
      <c r="H34" s="16">
        <f t="shared" si="1"/>
        <v>0.12</v>
      </c>
      <c r="I34" s="15">
        <f t="shared" si="2"/>
        <v>0</v>
      </c>
      <c r="J34" s="15">
        <f>ROUND(G34/469-1,2)</f>
        <v>-7.0000000000000007E-2</v>
      </c>
    </row>
    <row r="35" spans="1:10" x14ac:dyDescent="0.25">
      <c r="A35" s="1" t="s">
        <v>16</v>
      </c>
      <c r="B35" s="1" t="s">
        <v>35</v>
      </c>
      <c r="C35" s="10"/>
      <c r="D35" s="10">
        <v>300</v>
      </c>
      <c r="E35" s="10"/>
      <c r="F35" s="10"/>
      <c r="G35" s="10">
        <f t="shared" si="0"/>
        <v>300</v>
      </c>
      <c r="H35" s="16">
        <f t="shared" si="1"/>
        <v>0.08</v>
      </c>
      <c r="I35" s="15">
        <f t="shared" si="2"/>
        <v>0</v>
      </c>
      <c r="J35" s="15">
        <f>ROUND(G35/1020-1,2)</f>
        <v>-0.71</v>
      </c>
    </row>
    <row r="36" spans="1:10" x14ac:dyDescent="0.25">
      <c r="A36" s="1" t="s">
        <v>16</v>
      </c>
      <c r="B36" s="1" t="s">
        <v>37</v>
      </c>
      <c r="C36" s="10"/>
      <c r="D36" s="10"/>
      <c r="E36" s="10">
        <v>2150</v>
      </c>
      <c r="F36" s="10"/>
      <c r="G36" s="10">
        <f t="shared" si="0"/>
        <v>2150</v>
      </c>
      <c r="H36" s="16">
        <f t="shared" si="1"/>
        <v>0.61</v>
      </c>
      <c r="I36" s="15">
        <f t="shared" si="2"/>
        <v>2E-3</v>
      </c>
      <c r="J36" s="15">
        <f>ROUND(G36/4450-1,2)</f>
        <v>-0.52</v>
      </c>
    </row>
    <row r="37" spans="1:10" x14ac:dyDescent="0.25">
      <c r="A37" s="1" t="s">
        <v>16</v>
      </c>
      <c r="B37" s="1" t="s">
        <v>38</v>
      </c>
      <c r="C37" s="10"/>
      <c r="D37" s="10"/>
      <c r="E37" s="10">
        <v>58550</v>
      </c>
      <c r="F37" s="10"/>
      <c r="G37" s="10">
        <f t="shared" si="0"/>
        <v>58550</v>
      </c>
      <c r="H37" s="16">
        <f t="shared" si="1"/>
        <v>16.559999999999999</v>
      </c>
      <c r="I37" s="15">
        <f t="shared" si="2"/>
        <v>4.2999999999999997E-2</v>
      </c>
      <c r="J37" s="15">
        <f>ROUND(G37/49675-1,2)</f>
        <v>0.18</v>
      </c>
    </row>
    <row r="38" spans="1:10" x14ac:dyDescent="0.25">
      <c r="A38" s="1" t="s">
        <v>16</v>
      </c>
      <c r="B38" s="1" t="s">
        <v>39</v>
      </c>
      <c r="C38" s="10"/>
      <c r="D38" s="10"/>
      <c r="E38" s="10">
        <v>4825</v>
      </c>
      <c r="F38" s="10"/>
      <c r="G38" s="10">
        <f t="shared" si="0"/>
        <v>4825</v>
      </c>
      <c r="H38" s="16">
        <f t="shared" si="1"/>
        <v>1.36</v>
      </c>
      <c r="I38" s="15">
        <f t="shared" si="2"/>
        <v>4.0000000000000001E-3</v>
      </c>
      <c r="J38" s="15">
        <f>ROUND(G38/2775-1,2)</f>
        <v>0.74</v>
      </c>
    </row>
    <row r="39" spans="1:10" x14ac:dyDescent="0.25">
      <c r="A39" s="1" t="s">
        <v>16</v>
      </c>
      <c r="B39" s="1" t="s">
        <v>40</v>
      </c>
      <c r="C39" s="10"/>
      <c r="D39" s="10"/>
      <c r="E39" s="10">
        <v>15520</v>
      </c>
      <c r="F39" s="10"/>
      <c r="G39" s="10">
        <f t="shared" si="0"/>
        <v>15520</v>
      </c>
      <c r="H39" s="16">
        <f t="shared" si="1"/>
        <v>4.3899999999999997</v>
      </c>
      <c r="I39" s="15">
        <f t="shared" si="2"/>
        <v>1.0999999999999999E-2</v>
      </c>
      <c r="J39" s="15">
        <f>ROUND(G39/16170-1,2)</f>
        <v>-0.04</v>
      </c>
    </row>
    <row r="40" spans="1:10" x14ac:dyDescent="0.25">
      <c r="A40" s="1" t="s">
        <v>16</v>
      </c>
      <c r="B40" s="1" t="s">
        <v>41</v>
      </c>
      <c r="C40" s="10"/>
      <c r="D40" s="10"/>
      <c r="E40" s="10">
        <v>123800</v>
      </c>
      <c r="F40" s="10">
        <v>4960</v>
      </c>
      <c r="G40" s="10">
        <f t="shared" si="0"/>
        <v>128760</v>
      </c>
      <c r="H40" s="16">
        <f t="shared" si="1"/>
        <v>36.409999999999997</v>
      </c>
      <c r="I40" s="15">
        <f t="shared" si="2"/>
        <v>9.5000000000000001E-2</v>
      </c>
      <c r="J40" s="15">
        <f>ROUND(G40/88990-1,2)</f>
        <v>0.45</v>
      </c>
    </row>
    <row r="41" spans="1:10" x14ac:dyDescent="0.25">
      <c r="A41" s="1" t="s">
        <v>16</v>
      </c>
      <c r="B41" s="1" t="s">
        <v>34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ROUND(G41/910-1,2)</f>
        <v>-1</v>
      </c>
    </row>
    <row r="42" spans="1:10" x14ac:dyDescent="0.25">
      <c r="A42" s="1" t="s">
        <v>16</v>
      </c>
      <c r="B42" s="1" t="s">
        <v>36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>
        <f>ROUND(G42/1800-1,2)</f>
        <v>-1</v>
      </c>
    </row>
    <row r="43" spans="1:10" x14ac:dyDescent="0.25">
      <c r="A43" s="1" t="s">
        <v>16</v>
      </c>
      <c r="B43" s="1" t="s">
        <v>43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>
        <f>ROUND(G43/7930-1,2)</f>
        <v>-1</v>
      </c>
    </row>
    <row r="44" spans="1:10" x14ac:dyDescent="0.25">
      <c r="A44" s="1" t="s">
        <v>16</v>
      </c>
      <c r="B44" s="1" t="s">
        <v>145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1" t="s">
        <v>44</v>
      </c>
      <c r="B45" s="1" t="s">
        <v>45</v>
      </c>
      <c r="C45" s="10">
        <v>273290</v>
      </c>
      <c r="D45" s="10"/>
      <c r="E45" s="10"/>
      <c r="F45" s="10">
        <v>520</v>
      </c>
      <c r="G45" s="10">
        <f t="shared" si="0"/>
        <v>273810</v>
      </c>
      <c r="H45" s="16">
        <f t="shared" si="1"/>
        <v>77.430000000000007</v>
      </c>
      <c r="I45" s="15">
        <f t="shared" si="2"/>
        <v>0.20100000000000001</v>
      </c>
      <c r="J45" s="15">
        <f>ROUND(G45/277510-1,2)</f>
        <v>-0.01</v>
      </c>
    </row>
    <row r="46" spans="1:10" x14ac:dyDescent="0.25">
      <c r="A46" s="1" t="s">
        <v>44</v>
      </c>
      <c r="B46" s="1" t="s">
        <v>47</v>
      </c>
      <c r="C46" s="10"/>
      <c r="D46" s="10"/>
      <c r="E46" s="10"/>
      <c r="F46" s="10">
        <v>21920</v>
      </c>
      <c r="G46" s="10">
        <f t="shared" si="0"/>
        <v>21920</v>
      </c>
      <c r="H46" s="16">
        <f t="shared" si="1"/>
        <v>6.2</v>
      </c>
      <c r="I46" s="15">
        <f t="shared" si="2"/>
        <v>1.6E-2</v>
      </c>
      <c r="J46" s="15">
        <f>ROUND(G46/28940-1,2)</f>
        <v>-0.24</v>
      </c>
    </row>
    <row r="47" spans="1:10" x14ac:dyDescent="0.25">
      <c r="A47" s="1" t="s">
        <v>44</v>
      </c>
      <c r="B47" s="1" t="s">
        <v>46</v>
      </c>
      <c r="C47" s="10"/>
      <c r="D47" s="10"/>
      <c r="E47" s="10">
        <v>44060</v>
      </c>
      <c r="F47" s="10"/>
      <c r="G47" s="10">
        <f t="shared" si="0"/>
        <v>44060</v>
      </c>
      <c r="H47" s="16">
        <f t="shared" si="1"/>
        <v>12.46</v>
      </c>
      <c r="I47" s="15">
        <f t="shared" si="2"/>
        <v>3.2000000000000001E-2</v>
      </c>
      <c r="J47" s="15">
        <f>ROUND(G47/38860-1,2)</f>
        <v>0.13</v>
      </c>
    </row>
    <row r="48" spans="1:10" x14ac:dyDescent="0.25">
      <c r="A48" s="27" t="s">
        <v>12</v>
      </c>
      <c r="B48" s="27"/>
      <c r="C48" s="11">
        <f t="shared" ref="C48:H48" si="3">SUM(C8:C47)</f>
        <v>1008325</v>
      </c>
      <c r="D48" s="11">
        <f t="shared" si="3"/>
        <v>643</v>
      </c>
      <c r="E48" s="11">
        <f t="shared" si="3"/>
        <v>321800</v>
      </c>
      <c r="F48" s="11">
        <f t="shared" si="3"/>
        <v>31050</v>
      </c>
      <c r="G48" s="11">
        <f t="shared" si="3"/>
        <v>1361818</v>
      </c>
      <c r="H48" s="14">
        <f t="shared" si="3"/>
        <v>385.11000000000007</v>
      </c>
      <c r="I48" s="17"/>
      <c r="J48" s="17"/>
    </row>
    <row r="49" spans="1:10" x14ac:dyDescent="0.25">
      <c r="A49" s="27" t="s">
        <v>14</v>
      </c>
      <c r="B49" s="27"/>
      <c r="C49" s="12">
        <f>ROUND(C48/G48,2)</f>
        <v>0.74</v>
      </c>
      <c r="D49" s="12">
        <f>ROUND(D48/G48,2)</f>
        <v>0</v>
      </c>
      <c r="E49" s="12">
        <f>ROUND(E48/G48,2)</f>
        <v>0.24</v>
      </c>
      <c r="F49" s="12">
        <f>ROUND(F48/G48,2)</f>
        <v>0.02</v>
      </c>
      <c r="G49" s="13"/>
      <c r="H49" s="13"/>
      <c r="I49" s="17"/>
      <c r="J49" s="17"/>
    </row>
    <row r="50" spans="1:10" x14ac:dyDescent="0.25">
      <c r="A50" s="2" t="s">
        <v>52</v>
      </c>
      <c r="B50" s="2"/>
      <c r="C50" s="13"/>
      <c r="D50" s="13"/>
      <c r="E50" s="13"/>
      <c r="F50" s="13"/>
      <c r="G50" s="13"/>
      <c r="H50" s="13"/>
      <c r="I50" s="17"/>
      <c r="J50" s="17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53</v>
      </c>
      <c r="B54" s="27"/>
      <c r="C54" s="11" t="s">
        <v>8</v>
      </c>
      <c r="D54" s="11" t="s">
        <v>9</v>
      </c>
      <c r="E54" s="11" t="s">
        <v>10</v>
      </c>
      <c r="F54" s="11" t="s">
        <v>11</v>
      </c>
      <c r="G54" s="11" t="s">
        <v>12</v>
      </c>
      <c r="H54" s="14" t="s">
        <v>13</v>
      </c>
      <c r="I54" s="17"/>
      <c r="J54" s="17"/>
    </row>
    <row r="55" spans="1:10" x14ac:dyDescent="0.25">
      <c r="A55" s="22" t="s">
        <v>54</v>
      </c>
      <c r="B55" s="22"/>
      <c r="C55" s="10">
        <v>735035</v>
      </c>
      <c r="D55" s="10">
        <v>643</v>
      </c>
      <c r="E55" s="10">
        <v>277740</v>
      </c>
      <c r="F55" s="10">
        <v>8010</v>
      </c>
      <c r="G55" s="10">
        <f>SUM(C55:F55)</f>
        <v>1021428</v>
      </c>
      <c r="H55" s="16">
        <f>ROUND(G55/3536,2)</f>
        <v>288.87</v>
      </c>
      <c r="I55" s="9"/>
      <c r="J55" s="9"/>
    </row>
    <row r="56" spans="1:10" x14ac:dyDescent="0.25">
      <c r="A56" s="22" t="s">
        <v>55</v>
      </c>
      <c r="B56" s="22"/>
      <c r="C56" s="10">
        <v>273290</v>
      </c>
      <c r="D56" s="10">
        <v>0</v>
      </c>
      <c r="E56" s="10">
        <v>44060</v>
      </c>
      <c r="F56" s="10">
        <v>22440</v>
      </c>
      <c r="G56" s="10">
        <f>SUM(C56:F56)</f>
        <v>339790</v>
      </c>
      <c r="H56" s="16">
        <f>ROUND(G56/3536,2)</f>
        <v>96.09</v>
      </c>
      <c r="I56" s="9"/>
      <c r="J56" s="9"/>
    </row>
    <row r="57" spans="1:10" x14ac:dyDescent="0.25">
      <c r="A57" s="22" t="s">
        <v>56</v>
      </c>
      <c r="B57" s="22"/>
      <c r="C57" s="10">
        <v>0</v>
      </c>
      <c r="D57" s="10">
        <v>0</v>
      </c>
      <c r="E57" s="10">
        <v>0</v>
      </c>
      <c r="F57" s="10">
        <v>600</v>
      </c>
      <c r="G57" s="10">
        <f>SUM(C57:F57)</f>
        <v>600</v>
      </c>
      <c r="H57" s="16">
        <f>ROUND(G57/3536,2)</f>
        <v>0.17</v>
      </c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57</v>
      </c>
      <c r="B62" s="27"/>
      <c r="C62" s="14" t="s">
        <v>2</v>
      </c>
      <c r="D62" s="14">
        <v>2023</v>
      </c>
      <c r="E62" s="14" t="s">
        <v>59</v>
      </c>
      <c r="F62" s="13"/>
      <c r="G62" s="14" t="s">
        <v>60</v>
      </c>
      <c r="H62" s="14" t="s">
        <v>2</v>
      </c>
      <c r="I62" s="12" t="s">
        <v>61</v>
      </c>
      <c r="J62" s="12" t="s">
        <v>59</v>
      </c>
    </row>
    <row r="63" spans="1:10" x14ac:dyDescent="0.25">
      <c r="A63" s="22" t="s">
        <v>58</v>
      </c>
      <c r="B63" s="22"/>
      <c r="C63" s="15">
        <f>ROUND(0.785, 4)</f>
        <v>0.78500000000000003</v>
      </c>
      <c r="D63" s="15">
        <f>ROUND(0.7769, 4)</f>
        <v>0.77690000000000003</v>
      </c>
      <c r="E63" s="15">
        <f>ROUND(0.777, 4)</f>
        <v>0.77700000000000002</v>
      </c>
      <c r="F63" s="8"/>
      <c r="G63" s="14" t="s">
        <v>62</v>
      </c>
      <c r="H63" s="28" t="s">
        <v>63</v>
      </c>
      <c r="I63" s="25" t="s">
        <v>64</v>
      </c>
      <c r="J63" s="25" t="s">
        <v>65</v>
      </c>
    </row>
    <row r="64" spans="1:10" x14ac:dyDescent="0.25">
      <c r="A64" s="22" t="s">
        <v>66</v>
      </c>
      <c r="B64" s="22"/>
      <c r="C64" s="15">
        <f>ROUND(0.7735, 4)</f>
        <v>0.77349999999999997</v>
      </c>
      <c r="D64" s="15">
        <f>ROUND(0.7651, 4)</f>
        <v>0.7651</v>
      </c>
      <c r="E64" s="15">
        <f>ROUND(0.7608, 4)</f>
        <v>0.76080000000000003</v>
      </c>
      <c r="F64" s="8"/>
      <c r="G64" s="14" t="s">
        <v>67</v>
      </c>
      <c r="H64" s="29"/>
      <c r="I64" s="26"/>
      <c r="J64" s="26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7" t="s">
        <v>68</v>
      </c>
      <c r="B68" s="27"/>
      <c r="C68" s="14" t="s">
        <v>2</v>
      </c>
      <c r="D68" s="14" t="s">
        <v>256</v>
      </c>
      <c r="E68" s="14" t="s">
        <v>70</v>
      </c>
      <c r="F68" s="14" t="s">
        <v>71</v>
      </c>
      <c r="G68" s="14" t="s">
        <v>72</v>
      </c>
      <c r="H68" s="13"/>
      <c r="I68" s="17"/>
      <c r="J68" s="17"/>
    </row>
    <row r="69" spans="1:10" x14ac:dyDescent="0.25">
      <c r="A69" s="22" t="s">
        <v>73</v>
      </c>
      <c r="B69" s="22"/>
      <c r="C69" s="16">
        <v>77.430000000000007</v>
      </c>
      <c r="D69" s="16">
        <v>79.5</v>
      </c>
      <c r="E69" s="16">
        <v>92.53</v>
      </c>
      <c r="F69" s="16">
        <v>56.06</v>
      </c>
      <c r="G69" s="16">
        <f>12/11*C69</f>
        <v>84.469090909090909</v>
      </c>
      <c r="H69" s="8"/>
      <c r="I69" s="9"/>
      <c r="J69" s="9"/>
    </row>
    <row r="70" spans="1:10" x14ac:dyDescent="0.25">
      <c r="A70" s="22" t="s">
        <v>74</v>
      </c>
      <c r="B70" s="22"/>
      <c r="C70" s="16">
        <v>69.150000000000006</v>
      </c>
      <c r="D70" s="16">
        <v>73.81</v>
      </c>
      <c r="E70" s="16">
        <v>61.98</v>
      </c>
      <c r="F70" s="16">
        <v>64.09</v>
      </c>
      <c r="G70" s="16">
        <f>12/11*C70</f>
        <v>75.436363636363637</v>
      </c>
      <c r="H70" s="8"/>
      <c r="I70" s="9"/>
      <c r="J70" s="9"/>
    </row>
    <row r="71" spans="1:10" x14ac:dyDescent="0.25">
      <c r="A71" s="22" t="s">
        <v>75</v>
      </c>
      <c r="B71" s="22"/>
      <c r="C71" s="16">
        <v>288.87</v>
      </c>
      <c r="D71" s="16">
        <v>313.57</v>
      </c>
      <c r="E71" s="16">
        <v>291.51</v>
      </c>
      <c r="F71" s="16">
        <v>284.45</v>
      </c>
      <c r="G71" s="16">
        <f>12/11*C71</f>
        <v>315.13090909090909</v>
      </c>
      <c r="H71" s="8"/>
      <c r="I71" s="9"/>
      <c r="J71" s="9"/>
    </row>
    <row r="72" spans="1:10" x14ac:dyDescent="0.25">
      <c r="A72" s="22" t="s">
        <v>76</v>
      </c>
      <c r="B72" s="22"/>
      <c r="C72" s="1">
        <v>96.09</v>
      </c>
      <c r="D72" s="1">
        <v>102.32</v>
      </c>
      <c r="E72" s="1">
        <v>116.46</v>
      </c>
      <c r="F72" s="1">
        <v>79.959999999999994</v>
      </c>
      <c r="G72" s="1">
        <f>12/11*C72</f>
        <v>104.82545454545455</v>
      </c>
    </row>
    <row r="75" spans="1:10" x14ac:dyDescent="0.25">
      <c r="A75" s="23" t="s">
        <v>60</v>
      </c>
      <c r="B75" s="24"/>
    </row>
    <row r="76" spans="1:10" x14ac:dyDescent="0.25">
      <c r="A76" s="3" t="s">
        <v>77</v>
      </c>
      <c r="B76" s="1" t="s">
        <v>257</v>
      </c>
    </row>
    <row r="77" spans="1:10" x14ac:dyDescent="0.25">
      <c r="A77" s="3" t="s">
        <v>70</v>
      </c>
      <c r="B77" s="1" t="s">
        <v>79</v>
      </c>
    </row>
    <row r="78" spans="1:10" x14ac:dyDescent="0.25">
      <c r="A78" s="3" t="s">
        <v>71</v>
      </c>
      <c r="B78" s="1" t="s">
        <v>80</v>
      </c>
    </row>
    <row r="79" spans="1:10" x14ac:dyDescent="0.25">
      <c r="A79" s="3" t="s">
        <v>72</v>
      </c>
      <c r="B79" s="1" t="s">
        <v>81</v>
      </c>
    </row>
  </sheetData>
  <mergeCells count="19">
    <mergeCell ref="C7:G7"/>
    <mergeCell ref="A48:B48"/>
    <mergeCell ref="A49:B49"/>
    <mergeCell ref="A54:B54"/>
    <mergeCell ref="A55:B55"/>
    <mergeCell ref="J63:J64"/>
    <mergeCell ref="A64:B64"/>
    <mergeCell ref="A68:B68"/>
    <mergeCell ref="A69:B69"/>
    <mergeCell ref="A56:B56"/>
    <mergeCell ref="A57:B57"/>
    <mergeCell ref="A62:B62"/>
    <mergeCell ref="A63:B63"/>
    <mergeCell ref="H63:H64"/>
    <mergeCell ref="A70:B70"/>
    <mergeCell ref="A71:B71"/>
    <mergeCell ref="A72:B72"/>
    <mergeCell ref="A75:B75"/>
    <mergeCell ref="I63:I6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9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258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825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18</v>
      </c>
      <c r="F9" s="10"/>
      <c r="G9" s="10">
        <f t="shared" ref="G9:G39" si="0">SUM(C9:F9)</f>
        <v>18</v>
      </c>
      <c r="H9" s="16">
        <f t="shared" ref="H9:H39" si="1">ROUND(G9/825,2)</f>
        <v>0.02</v>
      </c>
      <c r="I9" s="15">
        <f t="shared" ref="I9:I39" si="2">ROUND(G9/$G$40,3)</f>
        <v>0</v>
      </c>
      <c r="J9" s="15"/>
    </row>
    <row r="10" spans="1:10" x14ac:dyDescent="0.25">
      <c r="A10" s="1" t="s">
        <v>16</v>
      </c>
      <c r="B10" s="1" t="s">
        <v>19</v>
      </c>
      <c r="C10" s="10">
        <v>25695</v>
      </c>
      <c r="D10" s="10"/>
      <c r="E10" s="10">
        <v>2375</v>
      </c>
      <c r="F10" s="10">
        <v>105</v>
      </c>
      <c r="G10" s="10">
        <f t="shared" si="0"/>
        <v>28175</v>
      </c>
      <c r="H10" s="16">
        <f t="shared" si="1"/>
        <v>34.15</v>
      </c>
      <c r="I10" s="15">
        <f t="shared" si="2"/>
        <v>0.08</v>
      </c>
      <c r="J10" s="15">
        <f>ROUND(G10/27243.46-1,2)</f>
        <v>0.03</v>
      </c>
    </row>
    <row r="11" spans="1:10" x14ac:dyDescent="0.25">
      <c r="A11" s="1" t="s">
        <v>16</v>
      </c>
      <c r="B11" s="1" t="s">
        <v>20</v>
      </c>
      <c r="C11" s="10">
        <v>38315</v>
      </c>
      <c r="D11" s="10"/>
      <c r="E11" s="10"/>
      <c r="F11" s="10"/>
      <c r="G11" s="10">
        <f t="shared" si="0"/>
        <v>38315</v>
      </c>
      <c r="H11" s="16">
        <f t="shared" si="1"/>
        <v>46.44</v>
      </c>
      <c r="I11" s="15">
        <f t="shared" si="2"/>
        <v>0.109</v>
      </c>
      <c r="J11" s="15">
        <f>ROUND(G11/41810-1,2)</f>
        <v>-0.08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87</v>
      </c>
      <c r="F12" s="10"/>
      <c r="G12" s="10">
        <f t="shared" si="0"/>
        <v>87</v>
      </c>
      <c r="H12" s="16">
        <f t="shared" si="1"/>
        <v>0.11</v>
      </c>
      <c r="I12" s="15">
        <f t="shared" si="2"/>
        <v>0</v>
      </c>
      <c r="J12" s="15">
        <f>ROUND(G12/38.75-1,2)</f>
        <v>1.25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300</v>
      </c>
      <c r="F13" s="10"/>
      <c r="G13" s="10">
        <f t="shared" si="0"/>
        <v>300</v>
      </c>
      <c r="H13" s="16">
        <f t="shared" si="1"/>
        <v>0.36</v>
      </c>
      <c r="I13" s="15">
        <f t="shared" si="2"/>
        <v>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47309</v>
      </c>
      <c r="F14" s="10"/>
      <c r="G14" s="10">
        <f t="shared" si="0"/>
        <v>47309</v>
      </c>
      <c r="H14" s="16">
        <f t="shared" si="1"/>
        <v>57.34</v>
      </c>
      <c r="I14" s="15">
        <f t="shared" si="2"/>
        <v>0.13400000000000001</v>
      </c>
      <c r="J14" s="15">
        <f>ROUND(G14/8840.82-1,2)</f>
        <v>4.3499999999999996</v>
      </c>
    </row>
    <row r="15" spans="1:10" x14ac:dyDescent="0.25">
      <c r="A15" s="1" t="s">
        <v>16</v>
      </c>
      <c r="B15" s="1" t="s">
        <v>24</v>
      </c>
      <c r="C15" s="10">
        <v>34670</v>
      </c>
      <c r="D15" s="10"/>
      <c r="E15" s="10">
        <v>7830</v>
      </c>
      <c r="F15" s="10">
        <v>40</v>
      </c>
      <c r="G15" s="10">
        <f t="shared" si="0"/>
        <v>42540</v>
      </c>
      <c r="H15" s="16">
        <f t="shared" si="1"/>
        <v>51.56</v>
      </c>
      <c r="I15" s="15">
        <f t="shared" si="2"/>
        <v>0.121</v>
      </c>
      <c r="J15" s="15">
        <f>ROUND(G15/35072.94-1,2)</f>
        <v>0.21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1483</v>
      </c>
      <c r="F16" s="10"/>
      <c r="G16" s="10">
        <f t="shared" si="0"/>
        <v>1483</v>
      </c>
      <c r="H16" s="16">
        <f t="shared" si="1"/>
        <v>1.8</v>
      </c>
      <c r="I16" s="15">
        <f t="shared" si="2"/>
        <v>4.0000000000000001E-3</v>
      </c>
      <c r="J16" s="15"/>
    </row>
    <row r="17" spans="1:10" x14ac:dyDescent="0.25">
      <c r="A17" s="1" t="s">
        <v>16</v>
      </c>
      <c r="B17" s="1" t="s">
        <v>26</v>
      </c>
      <c r="C17" s="10">
        <v>39920</v>
      </c>
      <c r="D17" s="10"/>
      <c r="E17" s="10"/>
      <c r="F17" s="10">
        <v>240</v>
      </c>
      <c r="G17" s="10">
        <f t="shared" si="0"/>
        <v>40160</v>
      </c>
      <c r="H17" s="16">
        <f t="shared" si="1"/>
        <v>48.68</v>
      </c>
      <c r="I17" s="15">
        <f t="shared" si="2"/>
        <v>0.114</v>
      </c>
      <c r="J17" s="15">
        <f>ROUND(G17/36380-1,2)</f>
        <v>0.1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442</v>
      </c>
      <c r="F18" s="10"/>
      <c r="G18" s="10">
        <f t="shared" si="0"/>
        <v>442</v>
      </c>
      <c r="H18" s="16">
        <f t="shared" si="1"/>
        <v>0.54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231</v>
      </c>
      <c r="F19" s="10"/>
      <c r="G19" s="10">
        <f t="shared" si="0"/>
        <v>231</v>
      </c>
      <c r="H19" s="16">
        <f t="shared" si="1"/>
        <v>0.28000000000000003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29</v>
      </c>
      <c r="C20" s="10"/>
      <c r="D20" s="10"/>
      <c r="E20" s="10">
        <v>852</v>
      </c>
      <c r="F20" s="10"/>
      <c r="G20" s="10">
        <f t="shared" si="0"/>
        <v>852</v>
      </c>
      <c r="H20" s="16">
        <f t="shared" si="1"/>
        <v>1.03</v>
      </c>
      <c r="I20" s="15">
        <f t="shared" si="2"/>
        <v>2E-3</v>
      </c>
      <c r="J20" s="15">
        <f>ROUND(G20/202.5-1,2)</f>
        <v>3.21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210</v>
      </c>
      <c r="F21" s="10"/>
      <c r="G21" s="10">
        <f t="shared" si="0"/>
        <v>210</v>
      </c>
      <c r="H21" s="16">
        <f t="shared" si="1"/>
        <v>0.25</v>
      </c>
      <c r="I21" s="15">
        <f t="shared" si="2"/>
        <v>1E-3</v>
      </c>
      <c r="J21" s="15">
        <f>ROUND(G21/61.55-1,2)</f>
        <v>2.41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901</v>
      </c>
      <c r="F22" s="10"/>
      <c r="G22" s="10">
        <f t="shared" si="0"/>
        <v>901</v>
      </c>
      <c r="H22" s="16">
        <f t="shared" si="1"/>
        <v>1.0900000000000001</v>
      </c>
      <c r="I22" s="15">
        <f t="shared" si="2"/>
        <v>3.0000000000000001E-3</v>
      </c>
      <c r="J22" s="15"/>
    </row>
    <row r="23" spans="1:10" x14ac:dyDescent="0.25">
      <c r="A23" s="1" t="s">
        <v>16</v>
      </c>
      <c r="B23" s="1" t="s">
        <v>33</v>
      </c>
      <c r="C23" s="10"/>
      <c r="D23" s="10"/>
      <c r="E23" s="10">
        <v>102</v>
      </c>
      <c r="F23" s="10"/>
      <c r="G23" s="10">
        <f t="shared" si="0"/>
        <v>102</v>
      </c>
      <c r="H23" s="16">
        <f t="shared" si="1"/>
        <v>0.12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34</v>
      </c>
      <c r="C24" s="10"/>
      <c r="D24" s="10"/>
      <c r="E24" s="10">
        <v>120</v>
      </c>
      <c r="F24" s="10"/>
      <c r="G24" s="10">
        <f t="shared" si="0"/>
        <v>120</v>
      </c>
      <c r="H24" s="16">
        <f t="shared" si="1"/>
        <v>0.15</v>
      </c>
      <c r="I24" s="15">
        <f t="shared" si="2"/>
        <v>0</v>
      </c>
      <c r="J24" s="15"/>
    </row>
    <row r="25" spans="1:10" x14ac:dyDescent="0.25">
      <c r="A25" s="1" t="s">
        <v>16</v>
      </c>
      <c r="B25" s="1" t="s">
        <v>37</v>
      </c>
      <c r="C25" s="10"/>
      <c r="D25" s="10"/>
      <c r="E25" s="10">
        <v>1307</v>
      </c>
      <c r="F25" s="10"/>
      <c r="G25" s="10">
        <f t="shared" si="0"/>
        <v>1307</v>
      </c>
      <c r="H25" s="16">
        <f t="shared" si="1"/>
        <v>1.58</v>
      </c>
      <c r="I25" s="15">
        <f t="shared" si="2"/>
        <v>4.0000000000000001E-3</v>
      </c>
      <c r="J25" s="15">
        <f>ROUND(G25/70.97-1,2)</f>
        <v>17.420000000000002</v>
      </c>
    </row>
    <row r="26" spans="1:10" x14ac:dyDescent="0.25">
      <c r="A26" s="1" t="s">
        <v>16</v>
      </c>
      <c r="B26" s="1" t="s">
        <v>43</v>
      </c>
      <c r="C26" s="10"/>
      <c r="D26" s="10"/>
      <c r="E26" s="10">
        <v>1091</v>
      </c>
      <c r="F26" s="10"/>
      <c r="G26" s="10">
        <f t="shared" si="0"/>
        <v>1091</v>
      </c>
      <c r="H26" s="16">
        <f t="shared" si="1"/>
        <v>1.32</v>
      </c>
      <c r="I26" s="15">
        <f t="shared" si="2"/>
        <v>3.0000000000000001E-3</v>
      </c>
      <c r="J26" s="15"/>
    </row>
    <row r="27" spans="1:10" x14ac:dyDescent="0.25">
      <c r="A27" s="1" t="s">
        <v>16</v>
      </c>
      <c r="B27" s="1" t="s">
        <v>38</v>
      </c>
      <c r="C27" s="10"/>
      <c r="D27" s="10"/>
      <c r="E27" s="10">
        <v>28466</v>
      </c>
      <c r="F27" s="10"/>
      <c r="G27" s="10">
        <f t="shared" si="0"/>
        <v>28466</v>
      </c>
      <c r="H27" s="16">
        <f t="shared" si="1"/>
        <v>34.5</v>
      </c>
      <c r="I27" s="15">
        <f t="shared" si="2"/>
        <v>8.1000000000000003E-2</v>
      </c>
      <c r="J27" s="15">
        <f>ROUND(G27/9172.73-1,2)</f>
        <v>2.1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10412</v>
      </c>
      <c r="F28" s="10"/>
      <c r="G28" s="10">
        <f t="shared" si="0"/>
        <v>10412</v>
      </c>
      <c r="H28" s="16">
        <f t="shared" si="1"/>
        <v>12.62</v>
      </c>
      <c r="I28" s="15">
        <f t="shared" si="2"/>
        <v>0.03</v>
      </c>
      <c r="J28" s="15">
        <f>ROUND(G28/4348.57-1,2)</f>
        <v>1.39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4774</v>
      </c>
      <c r="F29" s="10"/>
      <c r="G29" s="10">
        <f t="shared" si="0"/>
        <v>4774</v>
      </c>
      <c r="H29" s="16">
        <f t="shared" si="1"/>
        <v>5.79</v>
      </c>
      <c r="I29" s="15">
        <f t="shared" si="2"/>
        <v>1.4E-2</v>
      </c>
      <c r="J29" s="15">
        <f>ROUND(G29/974.29-1,2)</f>
        <v>3.9</v>
      </c>
    </row>
    <row r="30" spans="1:10" x14ac:dyDescent="0.25">
      <c r="A30" s="1" t="s">
        <v>16</v>
      </c>
      <c r="B30" s="1" t="s">
        <v>36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ROUND(G30/340.21-1,2)</f>
        <v>-1</v>
      </c>
    </row>
    <row r="31" spans="1:10" x14ac:dyDescent="0.25">
      <c r="A31" s="1" t="s">
        <v>16</v>
      </c>
      <c r="B31" s="1" t="s">
        <v>35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ROUND(G31/37.67-1,2)</f>
        <v>-1</v>
      </c>
    </row>
    <row r="32" spans="1:10" x14ac:dyDescent="0.25">
      <c r="A32" s="1" t="s">
        <v>16</v>
      </c>
      <c r="B32" s="1" t="s">
        <v>42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120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31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16</v>
      </c>
      <c r="B35" s="1" t="s">
        <v>39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44</v>
      </c>
      <c r="B36" s="1" t="s">
        <v>45</v>
      </c>
      <c r="C36" s="10">
        <v>89090</v>
      </c>
      <c r="D36" s="10"/>
      <c r="E36" s="10"/>
      <c r="F36" s="10">
        <v>280</v>
      </c>
      <c r="G36" s="10">
        <f t="shared" si="0"/>
        <v>89370</v>
      </c>
      <c r="H36" s="16">
        <f t="shared" si="1"/>
        <v>108.33</v>
      </c>
      <c r="I36" s="15">
        <f t="shared" si="2"/>
        <v>0.254</v>
      </c>
      <c r="J36" s="15">
        <f>ROUND(G36/92100-1,2)</f>
        <v>-0.03</v>
      </c>
    </row>
    <row r="37" spans="1:10" x14ac:dyDescent="0.25">
      <c r="A37" s="1" t="s">
        <v>44</v>
      </c>
      <c r="B37" s="1" t="s">
        <v>46</v>
      </c>
      <c r="C37" s="10"/>
      <c r="D37" s="10"/>
      <c r="E37" s="10">
        <v>15663</v>
      </c>
      <c r="F37" s="10"/>
      <c r="G37" s="10">
        <f t="shared" si="0"/>
        <v>15663</v>
      </c>
      <c r="H37" s="16">
        <f t="shared" si="1"/>
        <v>18.989999999999998</v>
      </c>
      <c r="I37" s="15">
        <f t="shared" si="2"/>
        <v>4.3999999999999997E-2</v>
      </c>
      <c r="J37" s="15">
        <f>ROUND(G37/6217.94-1,2)</f>
        <v>1.52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27" t="s">
        <v>12</v>
      </c>
      <c r="B40" s="27"/>
      <c r="C40" s="11">
        <f t="shared" ref="C40:H40" si="3">SUM(C8:C39)</f>
        <v>227690</v>
      </c>
      <c r="D40" s="11">
        <f t="shared" si="3"/>
        <v>0</v>
      </c>
      <c r="E40" s="11">
        <f t="shared" si="3"/>
        <v>123973</v>
      </c>
      <c r="F40" s="11">
        <f t="shared" si="3"/>
        <v>665</v>
      </c>
      <c r="G40" s="11">
        <f t="shared" si="3"/>
        <v>352328</v>
      </c>
      <c r="H40" s="14">
        <f t="shared" si="3"/>
        <v>427.05000000000007</v>
      </c>
      <c r="I40" s="17"/>
      <c r="J40" s="17"/>
    </row>
    <row r="41" spans="1:10" x14ac:dyDescent="0.25">
      <c r="A41" s="27" t="s">
        <v>14</v>
      </c>
      <c r="B41" s="27"/>
      <c r="C41" s="12">
        <f>ROUND(C40/G40,2)</f>
        <v>0.65</v>
      </c>
      <c r="D41" s="12">
        <f>ROUND(D40/G40,2)</f>
        <v>0</v>
      </c>
      <c r="E41" s="12">
        <f>ROUND(E40/G40,2)</f>
        <v>0.35</v>
      </c>
      <c r="F41" s="12">
        <f>ROUND(F40/G40,2)</f>
        <v>0</v>
      </c>
      <c r="G41" s="13"/>
      <c r="H41" s="13"/>
      <c r="I41" s="17"/>
      <c r="J41" s="17"/>
    </row>
    <row r="42" spans="1:10" x14ac:dyDescent="0.25">
      <c r="A42" s="2" t="s">
        <v>52</v>
      </c>
      <c r="B42" s="2"/>
      <c r="C42" s="13"/>
      <c r="D42" s="13"/>
      <c r="E42" s="13"/>
      <c r="F42" s="13"/>
      <c r="G42" s="13"/>
      <c r="H42" s="13"/>
      <c r="I42" s="17"/>
      <c r="J42" s="17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7" t="s">
        <v>53</v>
      </c>
      <c r="B46" s="27"/>
      <c r="C46" s="11" t="s">
        <v>8</v>
      </c>
      <c r="D46" s="11" t="s">
        <v>9</v>
      </c>
      <c r="E46" s="11" t="s">
        <v>10</v>
      </c>
      <c r="F46" s="11" t="s">
        <v>11</v>
      </c>
      <c r="G46" s="11" t="s">
        <v>12</v>
      </c>
      <c r="H46" s="14" t="s">
        <v>13</v>
      </c>
      <c r="I46" s="17"/>
      <c r="J46" s="17"/>
    </row>
    <row r="47" spans="1:10" x14ac:dyDescent="0.25">
      <c r="A47" s="22" t="s">
        <v>54</v>
      </c>
      <c r="B47" s="22"/>
      <c r="C47" s="10">
        <v>138600</v>
      </c>
      <c r="D47" s="10">
        <v>0</v>
      </c>
      <c r="E47" s="10">
        <v>108310</v>
      </c>
      <c r="F47" s="10">
        <v>385</v>
      </c>
      <c r="G47" s="10">
        <f>SUM(C47:F47)</f>
        <v>247295</v>
      </c>
      <c r="H47" s="16">
        <f>ROUND(G47/825,2)</f>
        <v>299.75</v>
      </c>
      <c r="I47" s="9"/>
      <c r="J47" s="9"/>
    </row>
    <row r="48" spans="1:10" x14ac:dyDescent="0.25">
      <c r="A48" s="22" t="s">
        <v>55</v>
      </c>
      <c r="B48" s="22"/>
      <c r="C48" s="10">
        <v>89090</v>
      </c>
      <c r="D48" s="10">
        <v>0</v>
      </c>
      <c r="E48" s="10">
        <v>15663</v>
      </c>
      <c r="F48" s="10">
        <v>280</v>
      </c>
      <c r="G48" s="10">
        <f>SUM(C48:F48)</f>
        <v>105033</v>
      </c>
      <c r="H48" s="16">
        <f>ROUND(G48/825,2)</f>
        <v>127.31</v>
      </c>
      <c r="I48" s="9"/>
      <c r="J48" s="9"/>
    </row>
    <row r="49" spans="1:10" x14ac:dyDescent="0.25">
      <c r="A49" s="22" t="s">
        <v>56</v>
      </c>
      <c r="B49" s="22"/>
      <c r="C49" s="10">
        <v>0</v>
      </c>
      <c r="D49" s="10">
        <v>0</v>
      </c>
      <c r="E49" s="10">
        <v>0</v>
      </c>
      <c r="F49" s="10">
        <v>0</v>
      </c>
      <c r="G49" s="10">
        <f>SUM(C49:F49)</f>
        <v>0</v>
      </c>
      <c r="H49" s="16">
        <f>ROUND(G49/825,2)</f>
        <v>0</v>
      </c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57</v>
      </c>
      <c r="B54" s="27"/>
      <c r="C54" s="14" t="s">
        <v>2</v>
      </c>
      <c r="D54" s="14">
        <v>2023</v>
      </c>
      <c r="E54" s="14" t="s">
        <v>59</v>
      </c>
      <c r="F54" s="13"/>
      <c r="G54" s="14" t="s">
        <v>60</v>
      </c>
      <c r="H54" s="14" t="s">
        <v>2</v>
      </c>
      <c r="I54" s="12" t="s">
        <v>61</v>
      </c>
      <c r="J54" s="12" t="s">
        <v>59</v>
      </c>
    </row>
    <row r="55" spans="1:10" x14ac:dyDescent="0.25">
      <c r="A55" s="22" t="s">
        <v>58</v>
      </c>
      <c r="B55" s="22"/>
      <c r="C55" s="15">
        <f>ROUND(0.7056, 4)</f>
        <v>0.7056</v>
      </c>
      <c r="D55" s="15">
        <f>ROUND(0.6227, 4)</f>
        <v>0.62270000000000003</v>
      </c>
      <c r="E55" s="15">
        <f>ROUND(0.777, 4)</f>
        <v>0.77700000000000002</v>
      </c>
      <c r="F55" s="8"/>
      <c r="G55" s="14" t="s">
        <v>62</v>
      </c>
      <c r="H55" s="28" t="s">
        <v>63</v>
      </c>
      <c r="I55" s="25" t="s">
        <v>64</v>
      </c>
      <c r="J55" s="25" t="s">
        <v>65</v>
      </c>
    </row>
    <row r="56" spans="1:10" x14ac:dyDescent="0.25">
      <c r="A56" s="22" t="s">
        <v>66</v>
      </c>
      <c r="B56" s="22"/>
      <c r="C56" s="15">
        <f>ROUND(0.6713, 4)</f>
        <v>0.67130000000000001</v>
      </c>
      <c r="D56" s="15">
        <f>ROUND(0.5833, 4)</f>
        <v>0.58330000000000004</v>
      </c>
      <c r="E56" s="15">
        <f>ROUND(0.7608, 4)</f>
        <v>0.76080000000000003</v>
      </c>
      <c r="F56" s="8"/>
      <c r="G56" s="14" t="s">
        <v>67</v>
      </c>
      <c r="H56" s="29"/>
      <c r="I56" s="26"/>
      <c r="J56" s="26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68</v>
      </c>
      <c r="B60" s="27"/>
      <c r="C60" s="14" t="s">
        <v>2</v>
      </c>
      <c r="D60" s="14" t="s">
        <v>259</v>
      </c>
      <c r="E60" s="14" t="s">
        <v>70</v>
      </c>
      <c r="F60" s="14" t="s">
        <v>71</v>
      </c>
      <c r="G60" s="14" t="s">
        <v>72</v>
      </c>
      <c r="H60" s="13"/>
      <c r="I60" s="17"/>
      <c r="J60" s="17"/>
    </row>
    <row r="61" spans="1:10" x14ac:dyDescent="0.25">
      <c r="A61" s="22" t="s">
        <v>73</v>
      </c>
      <c r="B61" s="22"/>
      <c r="C61" s="16">
        <v>108.33</v>
      </c>
      <c r="D61" s="16">
        <v>101.03</v>
      </c>
      <c r="E61" s="16">
        <v>92.53</v>
      </c>
      <c r="F61" s="16">
        <v>56.06</v>
      </c>
      <c r="G61" s="16">
        <f>12/11*C61</f>
        <v>118.17818181818181</v>
      </c>
      <c r="H61" s="8"/>
      <c r="I61" s="9"/>
      <c r="J61" s="9"/>
    </row>
    <row r="62" spans="1:10" x14ac:dyDescent="0.25">
      <c r="A62" s="22" t="s">
        <v>74</v>
      </c>
      <c r="B62" s="22"/>
      <c r="C62" s="16">
        <v>48.68</v>
      </c>
      <c r="D62" s="16">
        <v>49.37</v>
      </c>
      <c r="E62" s="16">
        <v>61.98</v>
      </c>
      <c r="F62" s="16">
        <v>64.09</v>
      </c>
      <c r="G62" s="16">
        <f>12/11*C62</f>
        <v>53.105454545454542</v>
      </c>
      <c r="H62" s="8"/>
      <c r="I62" s="9"/>
      <c r="J62" s="9"/>
    </row>
    <row r="63" spans="1:10" x14ac:dyDescent="0.25">
      <c r="A63" s="22" t="s">
        <v>75</v>
      </c>
      <c r="B63" s="22"/>
      <c r="C63" s="16">
        <v>299.75</v>
      </c>
      <c r="D63" s="16">
        <v>264.14999999999998</v>
      </c>
      <c r="E63" s="16">
        <v>291.51</v>
      </c>
      <c r="F63" s="16">
        <v>284.45</v>
      </c>
      <c r="G63" s="16">
        <f>12/11*C63</f>
        <v>327</v>
      </c>
      <c r="H63" s="8"/>
      <c r="I63" s="9"/>
      <c r="J63" s="9"/>
    </row>
    <row r="64" spans="1:10" x14ac:dyDescent="0.25">
      <c r="A64" s="22" t="s">
        <v>76</v>
      </c>
      <c r="B64" s="22"/>
      <c r="C64" s="16">
        <v>127.31</v>
      </c>
      <c r="D64" s="16">
        <v>117.81</v>
      </c>
      <c r="E64" s="16">
        <v>116.46</v>
      </c>
      <c r="F64" s="16">
        <v>79.959999999999994</v>
      </c>
      <c r="G64" s="16">
        <f>12/11*C64</f>
        <v>138.88363636363636</v>
      </c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3" t="s">
        <v>60</v>
      </c>
      <c r="B67" s="24"/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77</v>
      </c>
      <c r="B68" s="1" t="s">
        <v>260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70</v>
      </c>
      <c r="B69" s="1" t="s">
        <v>79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71</v>
      </c>
      <c r="B70" s="1" t="s">
        <v>80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72</v>
      </c>
      <c r="B71" s="1" t="s">
        <v>81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</sheetData>
  <mergeCells count="19">
    <mergeCell ref="C7:G7"/>
    <mergeCell ref="A40:B40"/>
    <mergeCell ref="A41:B41"/>
    <mergeCell ref="A46:B46"/>
    <mergeCell ref="A47:B47"/>
    <mergeCell ref="J55:J56"/>
    <mergeCell ref="A56:B56"/>
    <mergeCell ref="A60:B60"/>
    <mergeCell ref="A61:B61"/>
    <mergeCell ref="A48:B48"/>
    <mergeCell ref="A49:B49"/>
    <mergeCell ref="A54:B54"/>
    <mergeCell ref="A55:B55"/>
    <mergeCell ref="H55:H56"/>
    <mergeCell ref="A62:B62"/>
    <mergeCell ref="A63:B63"/>
    <mergeCell ref="A64:B64"/>
    <mergeCell ref="A67:B67"/>
    <mergeCell ref="I55:I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4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93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5150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49</v>
      </c>
      <c r="C9" s="10"/>
      <c r="D9" s="10"/>
      <c r="E9" s="10"/>
      <c r="F9" s="10">
        <v>120</v>
      </c>
      <c r="G9" s="10">
        <f t="shared" ref="G9:G47" si="0">SUM(C9:F9)</f>
        <v>120</v>
      </c>
      <c r="H9" s="16">
        <f t="shared" ref="H9:H47" si="1">ROUND(G9/5150,2)</f>
        <v>0.02</v>
      </c>
      <c r="I9" s="15">
        <f t="shared" ref="I9:I47" si="2">ROUND(G9/$G$48,3)</f>
        <v>0</v>
      </c>
      <c r="J9" s="15"/>
    </row>
    <row r="10" spans="1:10" x14ac:dyDescent="0.25">
      <c r="A10" s="1" t="s">
        <v>48</v>
      </c>
      <c r="B10" s="1" t="s">
        <v>50</v>
      </c>
      <c r="C10" s="10"/>
      <c r="D10" s="10"/>
      <c r="E10" s="10"/>
      <c r="F10" s="10">
        <v>280</v>
      </c>
      <c r="G10" s="10">
        <f t="shared" si="0"/>
        <v>280</v>
      </c>
      <c r="H10" s="16">
        <f t="shared" si="1"/>
        <v>0.05</v>
      </c>
      <c r="I10" s="15">
        <f t="shared" si="2"/>
        <v>0</v>
      </c>
      <c r="J10" s="15">
        <f>ROUND(G10/360-1,2)</f>
        <v>-0.22</v>
      </c>
    </row>
    <row r="11" spans="1:10" x14ac:dyDescent="0.25">
      <c r="A11" s="1" t="s">
        <v>48</v>
      </c>
      <c r="B11" s="1" t="s">
        <v>51</v>
      </c>
      <c r="C11" s="10"/>
      <c r="D11" s="10"/>
      <c r="E11" s="10"/>
      <c r="F11" s="10"/>
      <c r="G11" s="10">
        <f t="shared" si="0"/>
        <v>0</v>
      </c>
      <c r="H11" s="16">
        <f t="shared" si="1"/>
        <v>0</v>
      </c>
      <c r="I11" s="15">
        <f t="shared" si="2"/>
        <v>0</v>
      </c>
      <c r="J11" s="15"/>
    </row>
    <row r="12" spans="1:10" x14ac:dyDescent="0.25">
      <c r="A12" s="1" t="s">
        <v>48</v>
      </c>
      <c r="B12" s="1" t="s">
        <v>86</v>
      </c>
      <c r="C12" s="10"/>
      <c r="D12" s="10"/>
      <c r="E12" s="10"/>
      <c r="F12" s="10"/>
      <c r="G12" s="10">
        <f t="shared" si="0"/>
        <v>0</v>
      </c>
      <c r="H12" s="16">
        <f t="shared" si="1"/>
        <v>0</v>
      </c>
      <c r="I12" s="15">
        <f t="shared" si="2"/>
        <v>0</v>
      </c>
      <c r="J12" s="15"/>
    </row>
    <row r="13" spans="1:10" x14ac:dyDescent="0.25">
      <c r="A13" s="1" t="s">
        <v>48</v>
      </c>
      <c r="B13" s="1" t="s">
        <v>94</v>
      </c>
      <c r="C13" s="10"/>
      <c r="D13" s="10"/>
      <c r="E13" s="10"/>
      <c r="F13" s="10"/>
      <c r="G13" s="10">
        <f t="shared" si="0"/>
        <v>0</v>
      </c>
      <c r="H13" s="16">
        <f t="shared" si="1"/>
        <v>0</v>
      </c>
      <c r="I13" s="15">
        <f t="shared" si="2"/>
        <v>0</v>
      </c>
      <c r="J13" s="15"/>
    </row>
    <row r="14" spans="1:10" x14ac:dyDescent="0.25">
      <c r="A14" s="1" t="s">
        <v>16</v>
      </c>
      <c r="B14" s="1" t="s">
        <v>17</v>
      </c>
      <c r="C14" s="10"/>
      <c r="D14" s="10"/>
      <c r="E14" s="10">
        <v>102</v>
      </c>
      <c r="F14" s="10"/>
      <c r="G14" s="10">
        <f t="shared" si="0"/>
        <v>102</v>
      </c>
      <c r="H14" s="16">
        <f t="shared" si="1"/>
        <v>0.02</v>
      </c>
      <c r="I14" s="15">
        <f t="shared" si="2"/>
        <v>0</v>
      </c>
      <c r="J14" s="15">
        <f>ROUND(G14/174-1,2)</f>
        <v>-0.41</v>
      </c>
    </row>
    <row r="15" spans="1:10" x14ac:dyDescent="0.25">
      <c r="A15" s="1" t="s">
        <v>16</v>
      </c>
      <c r="B15" s="1" t="s">
        <v>19</v>
      </c>
      <c r="C15" s="10">
        <v>139520</v>
      </c>
      <c r="D15" s="10"/>
      <c r="E15" s="10">
        <v>16100</v>
      </c>
      <c r="F15" s="10">
        <v>540</v>
      </c>
      <c r="G15" s="10">
        <f t="shared" si="0"/>
        <v>156160</v>
      </c>
      <c r="H15" s="16">
        <f t="shared" si="1"/>
        <v>30.32</v>
      </c>
      <c r="I15" s="15">
        <f t="shared" si="2"/>
        <v>7.8E-2</v>
      </c>
      <c r="J15" s="15">
        <f>ROUND(G15/151260-1,2)</f>
        <v>0.03</v>
      </c>
    </row>
    <row r="16" spans="1:10" x14ac:dyDescent="0.25">
      <c r="A16" s="1" t="s">
        <v>16</v>
      </c>
      <c r="B16" s="1" t="s">
        <v>20</v>
      </c>
      <c r="C16" s="10">
        <v>186930</v>
      </c>
      <c r="D16" s="10"/>
      <c r="E16" s="10"/>
      <c r="F16" s="10"/>
      <c r="G16" s="10">
        <f t="shared" si="0"/>
        <v>186930</v>
      </c>
      <c r="H16" s="16">
        <f t="shared" si="1"/>
        <v>36.299999999999997</v>
      </c>
      <c r="I16" s="15">
        <f t="shared" si="2"/>
        <v>9.2999999999999999E-2</v>
      </c>
      <c r="J16" s="15">
        <f>ROUND(G16/208160-1,2)</f>
        <v>-0.1</v>
      </c>
    </row>
    <row r="17" spans="1:10" x14ac:dyDescent="0.25">
      <c r="A17" s="1" t="s">
        <v>16</v>
      </c>
      <c r="B17" s="1" t="s">
        <v>95</v>
      </c>
      <c r="C17" s="10"/>
      <c r="D17" s="10"/>
      <c r="E17" s="10">
        <v>369</v>
      </c>
      <c r="F17" s="10"/>
      <c r="G17" s="10">
        <f t="shared" si="0"/>
        <v>369</v>
      </c>
      <c r="H17" s="16">
        <f t="shared" si="1"/>
        <v>7.0000000000000007E-2</v>
      </c>
      <c r="I17" s="15">
        <f t="shared" si="2"/>
        <v>0</v>
      </c>
      <c r="J17" s="15">
        <f>ROUND(G17/335-1,2)</f>
        <v>0.1</v>
      </c>
    </row>
    <row r="18" spans="1:10" x14ac:dyDescent="0.25">
      <c r="A18" s="1" t="s">
        <v>16</v>
      </c>
      <c r="B18" s="1" t="s">
        <v>21</v>
      </c>
      <c r="C18" s="10"/>
      <c r="D18" s="10"/>
      <c r="E18" s="10">
        <v>511</v>
      </c>
      <c r="F18" s="10"/>
      <c r="G18" s="10">
        <f t="shared" si="0"/>
        <v>511</v>
      </c>
      <c r="H18" s="16">
        <f t="shared" si="1"/>
        <v>0.1</v>
      </c>
      <c r="I18" s="15">
        <f t="shared" si="2"/>
        <v>0</v>
      </c>
      <c r="J18" s="15">
        <f>ROUND(G18/575-1,2)</f>
        <v>-0.11</v>
      </c>
    </row>
    <row r="19" spans="1:10" x14ac:dyDescent="0.25">
      <c r="A19" s="1" t="s">
        <v>16</v>
      </c>
      <c r="B19" s="1" t="s">
        <v>22</v>
      </c>
      <c r="C19" s="10"/>
      <c r="D19" s="10"/>
      <c r="E19" s="10">
        <v>4200</v>
      </c>
      <c r="F19" s="10"/>
      <c r="G19" s="10">
        <f t="shared" si="0"/>
        <v>4200</v>
      </c>
      <c r="H19" s="16">
        <f t="shared" si="1"/>
        <v>0.82</v>
      </c>
      <c r="I19" s="15">
        <f t="shared" si="2"/>
        <v>2E-3</v>
      </c>
      <c r="J19" s="15">
        <f>ROUND(G19/4300-1,2)</f>
        <v>-0.02</v>
      </c>
    </row>
    <row r="20" spans="1:10" x14ac:dyDescent="0.25">
      <c r="A20" s="1" t="s">
        <v>16</v>
      </c>
      <c r="B20" s="1" t="s">
        <v>96</v>
      </c>
      <c r="C20" s="10"/>
      <c r="D20" s="10"/>
      <c r="E20" s="10"/>
      <c r="F20" s="10">
        <v>319</v>
      </c>
      <c r="G20" s="10">
        <f t="shared" si="0"/>
        <v>319</v>
      </c>
      <c r="H20" s="16">
        <f t="shared" si="1"/>
        <v>0.06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97</v>
      </c>
      <c r="C21" s="10"/>
      <c r="D21" s="10"/>
      <c r="E21" s="10"/>
      <c r="F21" s="10">
        <v>54</v>
      </c>
      <c r="G21" s="10">
        <f t="shared" si="0"/>
        <v>54</v>
      </c>
      <c r="H21" s="16">
        <f t="shared" si="1"/>
        <v>0.01</v>
      </c>
      <c r="I21" s="15">
        <f t="shared" si="2"/>
        <v>0</v>
      </c>
      <c r="J21" s="15"/>
    </row>
    <row r="22" spans="1:10" x14ac:dyDescent="0.25">
      <c r="A22" s="1" t="s">
        <v>16</v>
      </c>
      <c r="B22" s="1" t="s">
        <v>98</v>
      </c>
      <c r="C22" s="10"/>
      <c r="D22" s="10"/>
      <c r="E22" s="10"/>
      <c r="F22" s="10">
        <v>820</v>
      </c>
      <c r="G22" s="10">
        <f t="shared" si="0"/>
        <v>820</v>
      </c>
      <c r="H22" s="16">
        <f t="shared" si="1"/>
        <v>0.16</v>
      </c>
      <c r="I22" s="15">
        <f t="shared" si="2"/>
        <v>0</v>
      </c>
      <c r="J22" s="15">
        <f>ROUND(G22/215-1,2)</f>
        <v>2.81</v>
      </c>
    </row>
    <row r="23" spans="1:10" x14ac:dyDescent="0.25">
      <c r="A23" s="1" t="s">
        <v>16</v>
      </c>
      <c r="B23" s="1" t="s">
        <v>23</v>
      </c>
      <c r="C23" s="10"/>
      <c r="D23" s="10"/>
      <c r="E23" s="10">
        <v>191440</v>
      </c>
      <c r="F23" s="10"/>
      <c r="G23" s="10">
        <f t="shared" si="0"/>
        <v>191440</v>
      </c>
      <c r="H23" s="16">
        <f t="shared" si="1"/>
        <v>37.17</v>
      </c>
      <c r="I23" s="15">
        <f t="shared" si="2"/>
        <v>9.5000000000000001E-2</v>
      </c>
      <c r="J23" s="15">
        <f>ROUND(G23/288343-1,2)</f>
        <v>-0.34</v>
      </c>
    </row>
    <row r="24" spans="1:10" x14ac:dyDescent="0.25">
      <c r="A24" s="1" t="s">
        <v>16</v>
      </c>
      <c r="B24" s="1" t="s">
        <v>24</v>
      </c>
      <c r="C24" s="10">
        <v>160920</v>
      </c>
      <c r="D24" s="10"/>
      <c r="E24" s="10">
        <v>30500</v>
      </c>
      <c r="F24" s="10">
        <v>500</v>
      </c>
      <c r="G24" s="10">
        <f t="shared" si="0"/>
        <v>191920</v>
      </c>
      <c r="H24" s="16">
        <f t="shared" si="1"/>
        <v>37.270000000000003</v>
      </c>
      <c r="I24" s="15">
        <f t="shared" si="2"/>
        <v>9.5000000000000001E-2</v>
      </c>
      <c r="J24" s="15">
        <f>ROUND(G24/196690-1,2)</f>
        <v>-0.02</v>
      </c>
    </row>
    <row r="25" spans="1:10" x14ac:dyDescent="0.25">
      <c r="A25" s="1" t="s">
        <v>16</v>
      </c>
      <c r="B25" s="1" t="s">
        <v>25</v>
      </c>
      <c r="C25" s="10"/>
      <c r="D25" s="10"/>
      <c r="E25" s="10">
        <v>11630</v>
      </c>
      <c r="F25" s="10"/>
      <c r="G25" s="10">
        <f t="shared" si="0"/>
        <v>11630</v>
      </c>
      <c r="H25" s="16">
        <f t="shared" si="1"/>
        <v>2.2599999999999998</v>
      </c>
      <c r="I25" s="15">
        <f t="shared" si="2"/>
        <v>6.0000000000000001E-3</v>
      </c>
      <c r="J25" s="15">
        <f>ROUND(G25/11850-1,2)</f>
        <v>-0.02</v>
      </c>
    </row>
    <row r="26" spans="1:10" x14ac:dyDescent="0.25">
      <c r="A26" s="1" t="s">
        <v>16</v>
      </c>
      <c r="B26" s="1" t="s">
        <v>26</v>
      </c>
      <c r="C26" s="10">
        <v>236070</v>
      </c>
      <c r="D26" s="10"/>
      <c r="E26" s="10"/>
      <c r="F26" s="10">
        <v>890</v>
      </c>
      <c r="G26" s="10">
        <f t="shared" si="0"/>
        <v>236960</v>
      </c>
      <c r="H26" s="16">
        <f t="shared" si="1"/>
        <v>46.01</v>
      </c>
      <c r="I26" s="15">
        <f t="shared" si="2"/>
        <v>0.11799999999999999</v>
      </c>
      <c r="J26" s="15">
        <f>ROUND(G26/232030-1,2)</f>
        <v>0.02</v>
      </c>
    </row>
    <row r="27" spans="1:10" x14ac:dyDescent="0.25">
      <c r="A27" s="1" t="s">
        <v>16</v>
      </c>
      <c r="B27" s="1" t="s">
        <v>27</v>
      </c>
      <c r="C27" s="10"/>
      <c r="D27" s="10"/>
      <c r="E27" s="10">
        <v>2621</v>
      </c>
      <c r="F27" s="10"/>
      <c r="G27" s="10">
        <f t="shared" si="0"/>
        <v>2621</v>
      </c>
      <c r="H27" s="16">
        <f t="shared" si="1"/>
        <v>0.51</v>
      </c>
      <c r="I27" s="15">
        <f t="shared" si="2"/>
        <v>1E-3</v>
      </c>
      <c r="J27" s="15">
        <f>ROUND(G27/2759-1,2)</f>
        <v>-0.05</v>
      </c>
    </row>
    <row r="28" spans="1:10" x14ac:dyDescent="0.25">
      <c r="A28" s="1" t="s">
        <v>16</v>
      </c>
      <c r="B28" s="1" t="s">
        <v>28</v>
      </c>
      <c r="C28" s="10"/>
      <c r="D28" s="10"/>
      <c r="E28" s="10">
        <v>2283</v>
      </c>
      <c r="F28" s="10"/>
      <c r="G28" s="10">
        <f t="shared" si="0"/>
        <v>2283</v>
      </c>
      <c r="H28" s="16">
        <f t="shared" si="1"/>
        <v>0.44</v>
      </c>
      <c r="I28" s="15">
        <f t="shared" si="2"/>
        <v>1E-3</v>
      </c>
      <c r="J28" s="15">
        <f>ROUND(G28/1977-1,2)</f>
        <v>0.15</v>
      </c>
    </row>
    <row r="29" spans="1:10" x14ac:dyDescent="0.25">
      <c r="A29" s="1" t="s">
        <v>16</v>
      </c>
      <c r="B29" s="1" t="s">
        <v>29</v>
      </c>
      <c r="C29" s="10"/>
      <c r="D29" s="10"/>
      <c r="E29" s="10">
        <v>4540</v>
      </c>
      <c r="F29" s="10"/>
      <c r="G29" s="10">
        <f t="shared" si="0"/>
        <v>4540</v>
      </c>
      <c r="H29" s="16">
        <f t="shared" si="1"/>
        <v>0.88</v>
      </c>
      <c r="I29" s="15">
        <f t="shared" si="2"/>
        <v>2E-3</v>
      </c>
      <c r="J29" s="15">
        <f>ROUND(G29/13210-1,2)</f>
        <v>-0.66</v>
      </c>
    </row>
    <row r="30" spans="1:10" x14ac:dyDescent="0.25">
      <c r="A30" s="1" t="s">
        <v>16</v>
      </c>
      <c r="B30" s="1" t="s">
        <v>30</v>
      </c>
      <c r="C30" s="10"/>
      <c r="D30" s="10"/>
      <c r="E30" s="10">
        <v>1880</v>
      </c>
      <c r="F30" s="10"/>
      <c r="G30" s="10">
        <f t="shared" si="0"/>
        <v>1880</v>
      </c>
      <c r="H30" s="16">
        <f t="shared" si="1"/>
        <v>0.37</v>
      </c>
      <c r="I30" s="15">
        <f t="shared" si="2"/>
        <v>1E-3</v>
      </c>
      <c r="J30" s="15">
        <f>ROUND(G30/2050-1,2)</f>
        <v>-0.08</v>
      </c>
    </row>
    <row r="31" spans="1:10" x14ac:dyDescent="0.25">
      <c r="A31" s="1" t="s">
        <v>16</v>
      </c>
      <c r="B31" s="1" t="s">
        <v>31</v>
      </c>
      <c r="C31" s="10"/>
      <c r="D31" s="10"/>
      <c r="E31" s="10">
        <v>1650</v>
      </c>
      <c r="F31" s="10"/>
      <c r="G31" s="10">
        <f t="shared" si="0"/>
        <v>1650</v>
      </c>
      <c r="H31" s="16">
        <f t="shared" si="1"/>
        <v>0.32</v>
      </c>
      <c r="I31" s="15">
        <f t="shared" si="2"/>
        <v>1E-3</v>
      </c>
      <c r="J31" s="15">
        <f>ROUND(G31/2230-1,2)</f>
        <v>-0.26</v>
      </c>
    </row>
    <row r="32" spans="1:10" x14ac:dyDescent="0.25">
      <c r="A32" s="1" t="s">
        <v>16</v>
      </c>
      <c r="B32" s="1" t="s">
        <v>32</v>
      </c>
      <c r="C32" s="10"/>
      <c r="D32" s="10"/>
      <c r="E32" s="10">
        <v>4830</v>
      </c>
      <c r="F32" s="10"/>
      <c r="G32" s="10">
        <f t="shared" si="0"/>
        <v>4830</v>
      </c>
      <c r="H32" s="16">
        <f t="shared" si="1"/>
        <v>0.94</v>
      </c>
      <c r="I32" s="15">
        <f t="shared" si="2"/>
        <v>2E-3</v>
      </c>
      <c r="J32" s="15">
        <f>ROUND(G32/3905-1,2)</f>
        <v>0.24</v>
      </c>
    </row>
    <row r="33" spans="1:10" x14ac:dyDescent="0.25">
      <c r="A33" s="1" t="s">
        <v>16</v>
      </c>
      <c r="B33" s="1" t="s">
        <v>33</v>
      </c>
      <c r="C33" s="10"/>
      <c r="D33" s="10">
        <v>341</v>
      </c>
      <c r="E33" s="10">
        <v>82</v>
      </c>
      <c r="F33" s="10"/>
      <c r="G33" s="10">
        <f t="shared" si="0"/>
        <v>423</v>
      </c>
      <c r="H33" s="16">
        <f t="shared" si="1"/>
        <v>0.08</v>
      </c>
      <c r="I33" s="15">
        <f t="shared" si="2"/>
        <v>0</v>
      </c>
      <c r="J33" s="15">
        <f>ROUND(G33/425-1,2)</f>
        <v>0</v>
      </c>
    </row>
    <row r="34" spans="1:10" x14ac:dyDescent="0.25">
      <c r="A34" s="1" t="s">
        <v>16</v>
      </c>
      <c r="B34" s="1" t="s">
        <v>35</v>
      </c>
      <c r="C34" s="10"/>
      <c r="D34" s="10"/>
      <c r="E34" s="10">
        <v>310</v>
      </c>
      <c r="F34" s="10"/>
      <c r="G34" s="10">
        <f t="shared" si="0"/>
        <v>310</v>
      </c>
      <c r="H34" s="16">
        <f t="shared" si="1"/>
        <v>0.06</v>
      </c>
      <c r="I34" s="15">
        <f t="shared" si="2"/>
        <v>0</v>
      </c>
      <c r="J34" s="15">
        <f>ROUND(G34/1113-1,2)</f>
        <v>-0.72</v>
      </c>
    </row>
    <row r="35" spans="1:10" x14ac:dyDescent="0.25">
      <c r="A35" s="1" t="s">
        <v>16</v>
      </c>
      <c r="B35" s="1" t="s">
        <v>37</v>
      </c>
      <c r="C35" s="10"/>
      <c r="D35" s="10"/>
      <c r="E35" s="10">
        <v>6400</v>
      </c>
      <c r="F35" s="10"/>
      <c r="G35" s="10">
        <f t="shared" si="0"/>
        <v>6400</v>
      </c>
      <c r="H35" s="16">
        <f t="shared" si="1"/>
        <v>1.24</v>
      </c>
      <c r="I35" s="15">
        <f t="shared" si="2"/>
        <v>3.0000000000000001E-3</v>
      </c>
      <c r="J35" s="15">
        <f>ROUND(G35/7200-1,2)</f>
        <v>-0.11</v>
      </c>
    </row>
    <row r="36" spans="1:10" x14ac:dyDescent="0.25">
      <c r="A36" s="1" t="s">
        <v>16</v>
      </c>
      <c r="B36" s="1" t="s">
        <v>43</v>
      </c>
      <c r="C36" s="10"/>
      <c r="D36" s="10"/>
      <c r="E36" s="10">
        <v>8345</v>
      </c>
      <c r="F36" s="10"/>
      <c r="G36" s="10">
        <f t="shared" si="0"/>
        <v>8345</v>
      </c>
      <c r="H36" s="16">
        <f t="shared" si="1"/>
        <v>1.62</v>
      </c>
      <c r="I36" s="15">
        <f t="shared" si="2"/>
        <v>4.0000000000000001E-3</v>
      </c>
      <c r="J36" s="15">
        <f>ROUND(G36/18240-1,2)</f>
        <v>-0.54</v>
      </c>
    </row>
    <row r="37" spans="1:10" x14ac:dyDescent="0.25">
      <c r="A37" s="1" t="s">
        <v>16</v>
      </c>
      <c r="B37" s="1" t="s">
        <v>38</v>
      </c>
      <c r="C37" s="10"/>
      <c r="D37" s="10"/>
      <c r="E37" s="10">
        <v>207400</v>
      </c>
      <c r="F37" s="10"/>
      <c r="G37" s="10">
        <f t="shared" si="0"/>
        <v>207400</v>
      </c>
      <c r="H37" s="16">
        <f t="shared" si="1"/>
        <v>40.270000000000003</v>
      </c>
      <c r="I37" s="15">
        <f t="shared" si="2"/>
        <v>0.10299999999999999</v>
      </c>
      <c r="J37" s="15">
        <f>ROUND(G37/184750-1,2)</f>
        <v>0.12</v>
      </c>
    </row>
    <row r="38" spans="1:10" x14ac:dyDescent="0.25">
      <c r="A38" s="1" t="s">
        <v>16</v>
      </c>
      <c r="B38" s="1" t="s">
        <v>39</v>
      </c>
      <c r="C38" s="10"/>
      <c r="D38" s="10"/>
      <c r="E38" s="10">
        <v>16045</v>
      </c>
      <c r="F38" s="10"/>
      <c r="G38" s="10">
        <f t="shared" si="0"/>
        <v>16045</v>
      </c>
      <c r="H38" s="16">
        <f t="shared" si="1"/>
        <v>3.12</v>
      </c>
      <c r="I38" s="15">
        <f t="shared" si="2"/>
        <v>8.0000000000000002E-3</v>
      </c>
      <c r="J38" s="15">
        <f>ROUND(G38/16835-1,2)</f>
        <v>-0.05</v>
      </c>
    </row>
    <row r="39" spans="1:10" x14ac:dyDescent="0.25">
      <c r="A39" s="1" t="s">
        <v>16</v>
      </c>
      <c r="B39" s="1" t="s">
        <v>40</v>
      </c>
      <c r="C39" s="10"/>
      <c r="D39" s="10"/>
      <c r="E39" s="10">
        <v>44650</v>
      </c>
      <c r="F39" s="10"/>
      <c r="G39" s="10">
        <f t="shared" si="0"/>
        <v>44650</v>
      </c>
      <c r="H39" s="16">
        <f t="shared" si="1"/>
        <v>8.67</v>
      </c>
      <c r="I39" s="15">
        <f t="shared" si="2"/>
        <v>2.1999999999999999E-2</v>
      </c>
      <c r="J39" s="15">
        <f>ROUND(G39/35040-1,2)</f>
        <v>0.27</v>
      </c>
    </row>
    <row r="40" spans="1:10" x14ac:dyDescent="0.25">
      <c r="A40" s="1" t="s">
        <v>16</v>
      </c>
      <c r="B40" s="1" t="s">
        <v>41</v>
      </c>
      <c r="C40" s="10"/>
      <c r="D40" s="10"/>
      <c r="E40" s="10">
        <v>320270</v>
      </c>
      <c r="F40" s="10"/>
      <c r="G40" s="10">
        <f t="shared" si="0"/>
        <v>320270</v>
      </c>
      <c r="H40" s="16">
        <f t="shared" si="1"/>
        <v>62.19</v>
      </c>
      <c r="I40" s="15">
        <f t="shared" si="2"/>
        <v>0.159</v>
      </c>
      <c r="J40" s="15">
        <f>ROUND(G40/312180-1,2)</f>
        <v>0.03</v>
      </c>
    </row>
    <row r="41" spans="1:10" x14ac:dyDescent="0.25">
      <c r="A41" s="1" t="s">
        <v>16</v>
      </c>
      <c r="B41" s="1" t="s">
        <v>42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ROUND(G41/357-1,2)</f>
        <v>-1</v>
      </c>
    </row>
    <row r="42" spans="1:10" x14ac:dyDescent="0.25">
      <c r="A42" s="1" t="s">
        <v>16</v>
      </c>
      <c r="B42" s="1" t="s">
        <v>34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>
        <f>ROUND(G42/600-1,2)</f>
        <v>-1</v>
      </c>
    </row>
    <row r="43" spans="1:10" x14ac:dyDescent="0.25">
      <c r="A43" s="1" t="s">
        <v>16</v>
      </c>
      <c r="B43" s="1" t="s">
        <v>36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>
        <f>ROUND(G43/5999-1,2)</f>
        <v>-1</v>
      </c>
    </row>
    <row r="44" spans="1:10" x14ac:dyDescent="0.25">
      <c r="A44" s="1" t="s">
        <v>16</v>
      </c>
      <c r="B44" s="1" t="s">
        <v>99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1" t="s">
        <v>44</v>
      </c>
      <c r="B45" s="1" t="s">
        <v>45</v>
      </c>
      <c r="C45" s="10">
        <v>248320</v>
      </c>
      <c r="D45" s="10"/>
      <c r="E45" s="10"/>
      <c r="F45" s="10">
        <v>1360</v>
      </c>
      <c r="G45" s="10">
        <f t="shared" si="0"/>
        <v>249680</v>
      </c>
      <c r="H45" s="16">
        <f t="shared" si="1"/>
        <v>48.48</v>
      </c>
      <c r="I45" s="15">
        <f t="shared" si="2"/>
        <v>0.124</v>
      </c>
      <c r="J45" s="15">
        <f>ROUND(G45/248800-1,2)</f>
        <v>0</v>
      </c>
    </row>
    <row r="46" spans="1:10" x14ac:dyDescent="0.25">
      <c r="A46" s="1" t="s">
        <v>44</v>
      </c>
      <c r="B46" s="1" t="s">
        <v>47</v>
      </c>
      <c r="C46" s="10"/>
      <c r="D46" s="10"/>
      <c r="E46" s="10">
        <v>11400</v>
      </c>
      <c r="F46" s="10">
        <v>21460</v>
      </c>
      <c r="G46" s="10">
        <f t="shared" si="0"/>
        <v>32860</v>
      </c>
      <c r="H46" s="16">
        <f t="shared" si="1"/>
        <v>6.38</v>
      </c>
      <c r="I46" s="15">
        <f t="shared" si="2"/>
        <v>1.6E-2</v>
      </c>
      <c r="J46" s="15">
        <f>ROUND(G46/59900-1,2)</f>
        <v>-0.45</v>
      </c>
    </row>
    <row r="47" spans="1:10" x14ac:dyDescent="0.25">
      <c r="A47" s="1" t="s">
        <v>44</v>
      </c>
      <c r="B47" s="1" t="s">
        <v>46</v>
      </c>
      <c r="C47" s="10"/>
      <c r="D47" s="10"/>
      <c r="E47" s="10">
        <v>126970</v>
      </c>
      <c r="F47" s="10"/>
      <c r="G47" s="10">
        <f t="shared" si="0"/>
        <v>126970</v>
      </c>
      <c r="H47" s="16">
        <f t="shared" si="1"/>
        <v>24.65</v>
      </c>
      <c r="I47" s="15">
        <f t="shared" si="2"/>
        <v>6.3E-2</v>
      </c>
      <c r="J47" s="15">
        <f>ROUND(G47/130320-1,2)</f>
        <v>-0.03</v>
      </c>
    </row>
    <row r="48" spans="1:10" x14ac:dyDescent="0.25">
      <c r="A48" s="27" t="s">
        <v>12</v>
      </c>
      <c r="B48" s="27"/>
      <c r="C48" s="11">
        <f t="shared" ref="C48:H48" si="3">SUM(C8:C47)</f>
        <v>971760</v>
      </c>
      <c r="D48" s="11">
        <f t="shared" si="3"/>
        <v>341</v>
      </c>
      <c r="E48" s="11">
        <f t="shared" si="3"/>
        <v>1014528</v>
      </c>
      <c r="F48" s="11">
        <f t="shared" si="3"/>
        <v>26343</v>
      </c>
      <c r="G48" s="11">
        <f t="shared" si="3"/>
        <v>2012972</v>
      </c>
      <c r="H48" s="14">
        <f t="shared" si="3"/>
        <v>390.85999999999996</v>
      </c>
      <c r="I48" s="17"/>
      <c r="J48" s="17"/>
    </row>
    <row r="49" spans="1:10" x14ac:dyDescent="0.25">
      <c r="A49" s="27" t="s">
        <v>14</v>
      </c>
      <c r="B49" s="27"/>
      <c r="C49" s="12">
        <f>ROUND(C48/G48,2)</f>
        <v>0.48</v>
      </c>
      <c r="D49" s="12">
        <f>ROUND(D48/G48,2)</f>
        <v>0</v>
      </c>
      <c r="E49" s="12">
        <f>ROUND(E48/G48,2)</f>
        <v>0.5</v>
      </c>
      <c r="F49" s="12">
        <f>ROUND(F48/G48,2)</f>
        <v>0.01</v>
      </c>
      <c r="G49" s="13"/>
      <c r="H49" s="13"/>
      <c r="I49" s="17"/>
      <c r="J49" s="17"/>
    </row>
    <row r="50" spans="1:10" x14ac:dyDescent="0.25">
      <c r="A50" s="2" t="s">
        <v>52</v>
      </c>
      <c r="B50" s="2"/>
      <c r="C50" s="13"/>
      <c r="D50" s="13"/>
      <c r="E50" s="13"/>
      <c r="F50" s="13"/>
      <c r="G50" s="13"/>
      <c r="H50" s="13"/>
      <c r="I50" s="17"/>
      <c r="J50" s="17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53</v>
      </c>
      <c r="B54" s="27"/>
      <c r="C54" s="11" t="s">
        <v>8</v>
      </c>
      <c r="D54" s="11" t="s">
        <v>9</v>
      </c>
      <c r="E54" s="11" t="s">
        <v>10</v>
      </c>
      <c r="F54" s="11" t="s">
        <v>11</v>
      </c>
      <c r="G54" s="11" t="s">
        <v>12</v>
      </c>
      <c r="H54" s="14" t="s">
        <v>13</v>
      </c>
      <c r="I54" s="17"/>
      <c r="J54" s="17"/>
    </row>
    <row r="55" spans="1:10" x14ac:dyDescent="0.25">
      <c r="A55" s="22" t="s">
        <v>54</v>
      </c>
      <c r="B55" s="22"/>
      <c r="C55" s="10">
        <v>723440</v>
      </c>
      <c r="D55" s="10">
        <v>341</v>
      </c>
      <c r="E55" s="10">
        <v>876158</v>
      </c>
      <c r="F55" s="10">
        <v>3123</v>
      </c>
      <c r="G55" s="10">
        <f>SUM(C55:F55)</f>
        <v>1603062</v>
      </c>
      <c r="H55" s="16">
        <f>ROUND(G55/5150,2)</f>
        <v>311.27</v>
      </c>
      <c r="I55" s="9"/>
      <c r="J55" s="9"/>
    </row>
    <row r="56" spans="1:10" x14ac:dyDescent="0.25">
      <c r="A56" s="22" t="s">
        <v>55</v>
      </c>
      <c r="B56" s="22"/>
      <c r="C56" s="10">
        <v>248320</v>
      </c>
      <c r="D56" s="10">
        <v>0</v>
      </c>
      <c r="E56" s="10">
        <v>138370</v>
      </c>
      <c r="F56" s="10">
        <v>22820</v>
      </c>
      <c r="G56" s="10">
        <f>SUM(C56:F56)</f>
        <v>409510</v>
      </c>
      <c r="H56" s="16">
        <f>ROUND(G56/5150,2)</f>
        <v>79.52</v>
      </c>
      <c r="I56" s="9"/>
      <c r="J56" s="9"/>
    </row>
    <row r="57" spans="1:10" x14ac:dyDescent="0.25">
      <c r="A57" s="22" t="s">
        <v>56</v>
      </c>
      <c r="B57" s="22"/>
      <c r="C57" s="10">
        <v>0</v>
      </c>
      <c r="D57" s="10">
        <v>0</v>
      </c>
      <c r="E57" s="10">
        <v>0</v>
      </c>
      <c r="F57" s="10">
        <v>400</v>
      </c>
      <c r="G57" s="10">
        <f>SUM(C57:F57)</f>
        <v>400</v>
      </c>
      <c r="H57" s="16">
        <f>ROUND(G57/5150,2)</f>
        <v>0.08</v>
      </c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57</v>
      </c>
      <c r="B62" s="27"/>
      <c r="C62" s="14" t="s">
        <v>2</v>
      </c>
      <c r="D62" s="14">
        <v>2023</v>
      </c>
      <c r="E62" s="14" t="s">
        <v>59</v>
      </c>
      <c r="F62" s="13"/>
      <c r="G62" s="14" t="s">
        <v>60</v>
      </c>
      <c r="H62" s="14" t="s">
        <v>2</v>
      </c>
      <c r="I62" s="12" t="s">
        <v>61</v>
      </c>
      <c r="J62" s="12" t="s">
        <v>59</v>
      </c>
    </row>
    <row r="63" spans="1:10" x14ac:dyDescent="0.25">
      <c r="A63" s="22" t="s">
        <v>58</v>
      </c>
      <c r="B63" s="22"/>
      <c r="C63" s="15">
        <f>ROUND(0.8554, 4)</f>
        <v>0.85540000000000005</v>
      </c>
      <c r="D63" s="15">
        <f>ROUND(0.8502, 4)</f>
        <v>0.85019999999999996</v>
      </c>
      <c r="E63" s="15">
        <f>ROUND(0.777, 4)</f>
        <v>0.77700000000000002</v>
      </c>
      <c r="F63" s="8"/>
      <c r="G63" s="14" t="s">
        <v>62</v>
      </c>
      <c r="H63" s="28" t="s">
        <v>63</v>
      </c>
      <c r="I63" s="25" t="s">
        <v>64</v>
      </c>
      <c r="J63" s="25" t="s">
        <v>65</v>
      </c>
    </row>
    <row r="64" spans="1:10" x14ac:dyDescent="0.25">
      <c r="A64" s="22" t="s">
        <v>66</v>
      </c>
      <c r="B64" s="22"/>
      <c r="C64" s="15">
        <f>ROUND(0.8445, 4)</f>
        <v>0.84450000000000003</v>
      </c>
      <c r="D64" s="15">
        <f>ROUND(0.8398, 4)</f>
        <v>0.83979999999999999</v>
      </c>
      <c r="E64" s="15">
        <f>ROUND(0.7608, 4)</f>
        <v>0.76080000000000003</v>
      </c>
      <c r="F64" s="8"/>
      <c r="G64" s="14" t="s">
        <v>67</v>
      </c>
      <c r="H64" s="29"/>
      <c r="I64" s="26"/>
      <c r="J64" s="26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7" t="s">
        <v>68</v>
      </c>
      <c r="B68" s="27"/>
      <c r="C68" s="14" t="s">
        <v>2</v>
      </c>
      <c r="D68" s="14" t="s">
        <v>100</v>
      </c>
      <c r="E68" s="14" t="s">
        <v>70</v>
      </c>
      <c r="F68" s="14" t="s">
        <v>71</v>
      </c>
      <c r="G68" s="14" t="s">
        <v>72</v>
      </c>
      <c r="H68" s="13"/>
      <c r="I68" s="17"/>
      <c r="J68" s="17"/>
    </row>
    <row r="69" spans="1:10" x14ac:dyDescent="0.25">
      <c r="A69" s="22" t="s">
        <v>73</v>
      </c>
      <c r="B69" s="22"/>
      <c r="C69" s="16">
        <v>48.48</v>
      </c>
      <c r="D69" s="16">
        <v>50.27</v>
      </c>
      <c r="E69" s="16">
        <v>92.53</v>
      </c>
      <c r="F69" s="16">
        <v>56.06</v>
      </c>
      <c r="G69" s="16">
        <f>12/11*C69</f>
        <v>52.887272727272723</v>
      </c>
      <c r="H69" s="8"/>
      <c r="I69" s="9"/>
      <c r="J69" s="9"/>
    </row>
    <row r="70" spans="1:10" x14ac:dyDescent="0.25">
      <c r="A70" s="22" t="s">
        <v>74</v>
      </c>
      <c r="B70" s="22"/>
      <c r="C70" s="16">
        <v>46.01</v>
      </c>
      <c r="D70" s="16">
        <v>48.77</v>
      </c>
      <c r="E70" s="16">
        <v>61.98</v>
      </c>
      <c r="F70" s="16">
        <v>64.09</v>
      </c>
      <c r="G70" s="16">
        <f>12/11*C70</f>
        <v>50.192727272727268</v>
      </c>
      <c r="H70" s="8"/>
      <c r="I70" s="9"/>
      <c r="J70" s="9"/>
    </row>
    <row r="71" spans="1:10" x14ac:dyDescent="0.25">
      <c r="A71" s="22" t="s">
        <v>75</v>
      </c>
      <c r="B71" s="22"/>
      <c r="C71" s="16">
        <v>314.38</v>
      </c>
      <c r="D71" s="16">
        <v>328.46</v>
      </c>
      <c r="E71" s="16">
        <v>291.51</v>
      </c>
      <c r="F71" s="16">
        <v>284.45</v>
      </c>
      <c r="G71" s="16">
        <f>12/11*C71</f>
        <v>342.96</v>
      </c>
      <c r="H71" s="8"/>
      <c r="I71" s="9"/>
      <c r="J71" s="9"/>
    </row>
    <row r="72" spans="1:10" x14ac:dyDescent="0.25">
      <c r="A72" s="22" t="s">
        <v>76</v>
      </c>
      <c r="B72" s="22"/>
      <c r="C72" s="16">
        <v>79.52</v>
      </c>
      <c r="D72" s="16">
        <v>85.94</v>
      </c>
      <c r="E72" s="16">
        <v>116.46</v>
      </c>
      <c r="F72" s="16">
        <v>79.959999999999994</v>
      </c>
      <c r="G72" s="16">
        <f>12/11*C72</f>
        <v>86.749090909090896</v>
      </c>
      <c r="H72" s="8"/>
      <c r="I72" s="9"/>
      <c r="J72" s="9"/>
    </row>
    <row r="75" spans="1:10" x14ac:dyDescent="0.25">
      <c r="A75" s="23" t="s">
        <v>60</v>
      </c>
      <c r="B75" s="24"/>
    </row>
    <row r="76" spans="1:10" x14ac:dyDescent="0.25">
      <c r="A76" s="3" t="s">
        <v>77</v>
      </c>
      <c r="B76" s="1" t="s">
        <v>101</v>
      </c>
    </row>
    <row r="77" spans="1:10" x14ac:dyDescent="0.25">
      <c r="A77" s="3" t="s">
        <v>70</v>
      </c>
      <c r="B77" s="1" t="s">
        <v>79</v>
      </c>
    </row>
    <row r="78" spans="1:10" x14ac:dyDescent="0.25">
      <c r="A78" s="3" t="s">
        <v>71</v>
      </c>
      <c r="B78" s="1" t="s">
        <v>80</v>
      </c>
    </row>
    <row r="79" spans="1:10" x14ac:dyDescent="0.25">
      <c r="A79" s="3" t="s">
        <v>72</v>
      </c>
      <c r="B79" s="1" t="s">
        <v>81</v>
      </c>
    </row>
  </sheetData>
  <mergeCells count="19">
    <mergeCell ref="C7:G7"/>
    <mergeCell ref="A48:B48"/>
    <mergeCell ref="A49:B49"/>
    <mergeCell ref="A54:B54"/>
    <mergeCell ref="A55:B55"/>
    <mergeCell ref="J63:J64"/>
    <mergeCell ref="A64:B64"/>
    <mergeCell ref="A68:B68"/>
    <mergeCell ref="A69:B69"/>
    <mergeCell ref="A56:B56"/>
    <mergeCell ref="A57:B57"/>
    <mergeCell ref="A62:B62"/>
    <mergeCell ref="A63:B63"/>
    <mergeCell ref="H63:H64"/>
    <mergeCell ref="A70:B70"/>
    <mergeCell ref="A71:B71"/>
    <mergeCell ref="A72:B72"/>
    <mergeCell ref="A75:B75"/>
    <mergeCell ref="I63:I6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7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261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3916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49</v>
      </c>
      <c r="C9" s="10"/>
      <c r="D9" s="10"/>
      <c r="E9" s="10"/>
      <c r="F9" s="10">
        <v>200</v>
      </c>
      <c r="G9" s="10">
        <f t="shared" ref="G9:G43" si="0">SUM(C9:F9)</f>
        <v>200</v>
      </c>
      <c r="H9" s="16">
        <f t="shared" ref="H9:H43" si="1">ROUND(G9/3916,2)</f>
        <v>0.05</v>
      </c>
      <c r="I9" s="15">
        <f t="shared" ref="I9:I43" si="2">ROUND(G9/$G$44,3)</f>
        <v>0</v>
      </c>
      <c r="J9" s="15"/>
    </row>
    <row r="10" spans="1:10" x14ac:dyDescent="0.25">
      <c r="A10" s="1" t="s">
        <v>48</v>
      </c>
      <c r="B10" s="1" t="s">
        <v>50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/>
    </row>
    <row r="11" spans="1:10" x14ac:dyDescent="0.25">
      <c r="A11" s="1" t="s">
        <v>48</v>
      </c>
      <c r="B11" s="1" t="s">
        <v>51</v>
      </c>
      <c r="C11" s="10"/>
      <c r="D11" s="10"/>
      <c r="E11" s="10"/>
      <c r="F11" s="10"/>
      <c r="G11" s="10">
        <f t="shared" si="0"/>
        <v>0</v>
      </c>
      <c r="H11" s="16">
        <f t="shared" si="1"/>
        <v>0</v>
      </c>
      <c r="I11" s="15">
        <f t="shared" si="2"/>
        <v>0</v>
      </c>
      <c r="J11" s="15"/>
    </row>
    <row r="12" spans="1:10" x14ac:dyDescent="0.25">
      <c r="A12" s="1" t="s">
        <v>16</v>
      </c>
      <c r="B12" s="1" t="s">
        <v>17</v>
      </c>
      <c r="C12" s="10"/>
      <c r="D12" s="10"/>
      <c r="E12" s="10">
        <v>81</v>
      </c>
      <c r="F12" s="10"/>
      <c r="G12" s="10">
        <f t="shared" si="0"/>
        <v>81</v>
      </c>
      <c r="H12" s="16">
        <f t="shared" si="1"/>
        <v>0.02</v>
      </c>
      <c r="I12" s="15">
        <f t="shared" si="2"/>
        <v>0</v>
      </c>
      <c r="J12" s="15">
        <f>ROUND(G12/55-1,2)</f>
        <v>0.47</v>
      </c>
    </row>
    <row r="13" spans="1:10" x14ac:dyDescent="0.25">
      <c r="A13" s="1" t="s">
        <v>16</v>
      </c>
      <c r="B13" s="1" t="s">
        <v>19</v>
      </c>
      <c r="C13" s="10">
        <v>122600</v>
      </c>
      <c r="D13" s="10"/>
      <c r="E13" s="10">
        <v>7080</v>
      </c>
      <c r="F13" s="10">
        <v>60</v>
      </c>
      <c r="G13" s="10">
        <f t="shared" si="0"/>
        <v>129740</v>
      </c>
      <c r="H13" s="16">
        <f t="shared" si="1"/>
        <v>33.130000000000003</v>
      </c>
      <c r="I13" s="15">
        <f t="shared" si="2"/>
        <v>0.107</v>
      </c>
      <c r="J13" s="15">
        <f>ROUND(G13/122820-1,2)</f>
        <v>0.06</v>
      </c>
    </row>
    <row r="14" spans="1:10" x14ac:dyDescent="0.25">
      <c r="A14" s="1" t="s">
        <v>16</v>
      </c>
      <c r="B14" s="1" t="s">
        <v>20</v>
      </c>
      <c r="C14" s="10">
        <v>152100</v>
      </c>
      <c r="D14" s="10"/>
      <c r="E14" s="10"/>
      <c r="F14" s="10"/>
      <c r="G14" s="10">
        <f t="shared" si="0"/>
        <v>152100</v>
      </c>
      <c r="H14" s="16">
        <f t="shared" si="1"/>
        <v>38.840000000000003</v>
      </c>
      <c r="I14" s="15">
        <f t="shared" si="2"/>
        <v>0.126</v>
      </c>
      <c r="J14" s="15">
        <f>ROUND(G14/140800-1,2)</f>
        <v>0.08</v>
      </c>
    </row>
    <row r="15" spans="1:10" x14ac:dyDescent="0.25">
      <c r="A15" s="1" t="s">
        <v>16</v>
      </c>
      <c r="B15" s="1" t="s">
        <v>95</v>
      </c>
      <c r="C15" s="10"/>
      <c r="D15" s="10"/>
      <c r="E15" s="10">
        <v>258</v>
      </c>
      <c r="F15" s="10"/>
      <c r="G15" s="10">
        <f t="shared" si="0"/>
        <v>258</v>
      </c>
      <c r="H15" s="16">
        <f t="shared" si="1"/>
        <v>7.0000000000000007E-2</v>
      </c>
      <c r="I15" s="15">
        <f t="shared" si="2"/>
        <v>0</v>
      </c>
      <c r="J15" s="15">
        <f>ROUND(G15/208-1,2)</f>
        <v>0.24</v>
      </c>
    </row>
    <row r="16" spans="1:10" x14ac:dyDescent="0.25">
      <c r="A16" s="1" t="s">
        <v>16</v>
      </c>
      <c r="B16" s="1" t="s">
        <v>21</v>
      </c>
      <c r="C16" s="10"/>
      <c r="D16" s="10"/>
      <c r="E16" s="10">
        <v>416</v>
      </c>
      <c r="F16" s="10"/>
      <c r="G16" s="10">
        <f t="shared" si="0"/>
        <v>416</v>
      </c>
      <c r="H16" s="16">
        <f t="shared" si="1"/>
        <v>0.11</v>
      </c>
      <c r="I16" s="15">
        <f t="shared" si="2"/>
        <v>0</v>
      </c>
      <c r="J16" s="15">
        <f>ROUND(G16/385-1,2)</f>
        <v>0.08</v>
      </c>
    </row>
    <row r="17" spans="1:10" x14ac:dyDescent="0.25">
      <c r="A17" s="1" t="s">
        <v>16</v>
      </c>
      <c r="B17" s="1" t="s">
        <v>22</v>
      </c>
      <c r="C17" s="10"/>
      <c r="D17" s="10"/>
      <c r="E17" s="10">
        <v>2400</v>
      </c>
      <c r="F17" s="10"/>
      <c r="G17" s="10">
        <f t="shared" si="0"/>
        <v>2400</v>
      </c>
      <c r="H17" s="16">
        <f t="shared" si="1"/>
        <v>0.61</v>
      </c>
      <c r="I17" s="15">
        <f t="shared" si="2"/>
        <v>2E-3</v>
      </c>
      <c r="J17" s="15">
        <f>ROUND(G17/3900-1,2)</f>
        <v>-0.38</v>
      </c>
    </row>
    <row r="18" spans="1:10" x14ac:dyDescent="0.25">
      <c r="A18" s="1" t="s">
        <v>16</v>
      </c>
      <c r="B18" s="1" t="s">
        <v>98</v>
      </c>
      <c r="C18" s="10"/>
      <c r="D18" s="10"/>
      <c r="E18" s="10"/>
      <c r="F18" s="10">
        <v>142</v>
      </c>
      <c r="G18" s="10">
        <f t="shared" si="0"/>
        <v>142</v>
      </c>
      <c r="H18" s="16">
        <f t="shared" si="1"/>
        <v>0.04</v>
      </c>
      <c r="I18" s="15">
        <f t="shared" si="2"/>
        <v>0</v>
      </c>
      <c r="J18" s="15"/>
    </row>
    <row r="19" spans="1:10" x14ac:dyDescent="0.25">
      <c r="A19" s="1" t="s">
        <v>16</v>
      </c>
      <c r="B19" s="1" t="s">
        <v>23</v>
      </c>
      <c r="C19" s="10"/>
      <c r="D19" s="10"/>
      <c r="E19" s="10">
        <v>75820</v>
      </c>
      <c r="F19" s="10"/>
      <c r="G19" s="10">
        <f t="shared" si="0"/>
        <v>75820</v>
      </c>
      <c r="H19" s="16">
        <f t="shared" si="1"/>
        <v>19.36</v>
      </c>
      <c r="I19" s="15">
        <f t="shared" si="2"/>
        <v>6.3E-2</v>
      </c>
      <c r="J19" s="15">
        <f>ROUND(G19/66360-1,2)</f>
        <v>0.14000000000000001</v>
      </c>
    </row>
    <row r="20" spans="1:10" x14ac:dyDescent="0.25">
      <c r="A20" s="1" t="s">
        <v>16</v>
      </c>
      <c r="B20" s="1" t="s">
        <v>24</v>
      </c>
      <c r="C20" s="10">
        <v>150820</v>
      </c>
      <c r="D20" s="10"/>
      <c r="E20" s="10">
        <v>22200</v>
      </c>
      <c r="F20" s="10">
        <v>150</v>
      </c>
      <c r="G20" s="10">
        <f t="shared" si="0"/>
        <v>173170</v>
      </c>
      <c r="H20" s="16">
        <f t="shared" si="1"/>
        <v>44.22</v>
      </c>
      <c r="I20" s="15">
        <f t="shared" si="2"/>
        <v>0.14299999999999999</v>
      </c>
      <c r="J20" s="15">
        <f>ROUND(G20/166920-1,2)</f>
        <v>0.04</v>
      </c>
    </row>
    <row r="21" spans="1:10" x14ac:dyDescent="0.25">
      <c r="A21" s="1" t="s">
        <v>16</v>
      </c>
      <c r="B21" s="1" t="s">
        <v>25</v>
      </c>
      <c r="C21" s="10"/>
      <c r="D21" s="10"/>
      <c r="E21" s="10">
        <v>5695</v>
      </c>
      <c r="F21" s="10"/>
      <c r="G21" s="10">
        <f t="shared" si="0"/>
        <v>5695</v>
      </c>
      <c r="H21" s="16">
        <f t="shared" si="1"/>
        <v>1.45</v>
      </c>
      <c r="I21" s="15">
        <f t="shared" si="2"/>
        <v>5.0000000000000001E-3</v>
      </c>
      <c r="J21" s="15">
        <f>ROUND(G21/4360-1,2)</f>
        <v>0.31</v>
      </c>
    </row>
    <row r="22" spans="1:10" x14ac:dyDescent="0.25">
      <c r="A22" s="1" t="s">
        <v>16</v>
      </c>
      <c r="B22" s="1" t="s">
        <v>26</v>
      </c>
      <c r="C22" s="10">
        <v>120300</v>
      </c>
      <c r="D22" s="10"/>
      <c r="E22" s="10"/>
      <c r="F22" s="10">
        <v>100</v>
      </c>
      <c r="G22" s="10">
        <f t="shared" si="0"/>
        <v>120400</v>
      </c>
      <c r="H22" s="16">
        <f t="shared" si="1"/>
        <v>30.75</v>
      </c>
      <c r="I22" s="15">
        <f t="shared" si="2"/>
        <v>9.9000000000000005E-2</v>
      </c>
      <c r="J22" s="15">
        <f>ROUND(G22/121600-1,2)</f>
        <v>-0.01</v>
      </c>
    </row>
    <row r="23" spans="1:10" x14ac:dyDescent="0.25">
      <c r="A23" s="1" t="s">
        <v>16</v>
      </c>
      <c r="B23" s="1" t="s">
        <v>27</v>
      </c>
      <c r="C23" s="10"/>
      <c r="D23" s="10"/>
      <c r="E23" s="10">
        <v>1680</v>
      </c>
      <c r="F23" s="10"/>
      <c r="G23" s="10">
        <f t="shared" si="0"/>
        <v>1680</v>
      </c>
      <c r="H23" s="16">
        <f t="shared" si="1"/>
        <v>0.43</v>
      </c>
      <c r="I23" s="15">
        <f t="shared" si="2"/>
        <v>1E-3</v>
      </c>
      <c r="J23" s="15">
        <f>ROUND(G23/1438-1,2)</f>
        <v>0.17</v>
      </c>
    </row>
    <row r="24" spans="1:10" x14ac:dyDescent="0.25">
      <c r="A24" s="1" t="s">
        <v>16</v>
      </c>
      <c r="B24" s="1" t="s">
        <v>28</v>
      </c>
      <c r="C24" s="10"/>
      <c r="D24" s="10"/>
      <c r="E24" s="10">
        <v>1148</v>
      </c>
      <c r="F24" s="10"/>
      <c r="G24" s="10">
        <f t="shared" si="0"/>
        <v>1148</v>
      </c>
      <c r="H24" s="16">
        <f t="shared" si="1"/>
        <v>0.28999999999999998</v>
      </c>
      <c r="I24" s="15">
        <f t="shared" si="2"/>
        <v>1E-3</v>
      </c>
      <c r="J24" s="15">
        <f>ROUND(G24/785-1,2)</f>
        <v>0.46</v>
      </c>
    </row>
    <row r="25" spans="1:10" x14ac:dyDescent="0.25">
      <c r="A25" s="1" t="s">
        <v>16</v>
      </c>
      <c r="B25" s="1" t="s">
        <v>29</v>
      </c>
      <c r="C25" s="10"/>
      <c r="D25" s="10"/>
      <c r="E25" s="10">
        <v>3090</v>
      </c>
      <c r="F25" s="10"/>
      <c r="G25" s="10">
        <f t="shared" si="0"/>
        <v>3090</v>
      </c>
      <c r="H25" s="16">
        <f t="shared" si="1"/>
        <v>0.79</v>
      </c>
      <c r="I25" s="15">
        <f t="shared" si="2"/>
        <v>3.0000000000000001E-3</v>
      </c>
      <c r="J25" s="15">
        <f>ROUND(G25/6380-1,2)</f>
        <v>-0.52</v>
      </c>
    </row>
    <row r="26" spans="1:10" x14ac:dyDescent="0.25">
      <c r="A26" s="1" t="s">
        <v>16</v>
      </c>
      <c r="B26" s="1" t="s">
        <v>30</v>
      </c>
      <c r="C26" s="10"/>
      <c r="D26" s="10"/>
      <c r="E26" s="10">
        <v>1280</v>
      </c>
      <c r="F26" s="10"/>
      <c r="G26" s="10">
        <f t="shared" si="0"/>
        <v>1280</v>
      </c>
      <c r="H26" s="16">
        <f t="shared" si="1"/>
        <v>0.33</v>
      </c>
      <c r="I26" s="15">
        <f t="shared" si="2"/>
        <v>1E-3</v>
      </c>
      <c r="J26" s="15">
        <f>ROUND(G26/1210-1,2)</f>
        <v>0.06</v>
      </c>
    </row>
    <row r="27" spans="1:10" x14ac:dyDescent="0.25">
      <c r="A27" s="1" t="s">
        <v>16</v>
      </c>
      <c r="B27" s="1" t="s">
        <v>31</v>
      </c>
      <c r="C27" s="10"/>
      <c r="D27" s="10"/>
      <c r="E27" s="10">
        <v>770</v>
      </c>
      <c r="F27" s="10"/>
      <c r="G27" s="10">
        <f t="shared" si="0"/>
        <v>770</v>
      </c>
      <c r="H27" s="16">
        <f t="shared" si="1"/>
        <v>0.2</v>
      </c>
      <c r="I27" s="15">
        <f t="shared" si="2"/>
        <v>1E-3</v>
      </c>
      <c r="J27" s="15">
        <f>ROUND(G27/850-1,2)</f>
        <v>-0.09</v>
      </c>
    </row>
    <row r="28" spans="1:10" x14ac:dyDescent="0.25">
      <c r="A28" s="1" t="s">
        <v>16</v>
      </c>
      <c r="B28" s="1" t="s">
        <v>32</v>
      </c>
      <c r="C28" s="10"/>
      <c r="D28" s="10"/>
      <c r="E28" s="10">
        <v>2480</v>
      </c>
      <c r="F28" s="10"/>
      <c r="G28" s="10">
        <f t="shared" si="0"/>
        <v>2480</v>
      </c>
      <c r="H28" s="16">
        <f t="shared" si="1"/>
        <v>0.63</v>
      </c>
      <c r="I28" s="15">
        <f t="shared" si="2"/>
        <v>2E-3</v>
      </c>
      <c r="J28" s="15">
        <f>ROUND(G28/1300-1,2)</f>
        <v>0.91</v>
      </c>
    </row>
    <row r="29" spans="1:10" x14ac:dyDescent="0.25">
      <c r="A29" s="1" t="s">
        <v>16</v>
      </c>
      <c r="B29" s="1" t="s">
        <v>33</v>
      </c>
      <c r="C29" s="10"/>
      <c r="D29" s="10">
        <v>331</v>
      </c>
      <c r="E29" s="10">
        <v>186</v>
      </c>
      <c r="F29" s="10"/>
      <c r="G29" s="10">
        <f t="shared" si="0"/>
        <v>517</v>
      </c>
      <c r="H29" s="16">
        <f t="shared" si="1"/>
        <v>0.13</v>
      </c>
      <c r="I29" s="15">
        <f t="shared" si="2"/>
        <v>0</v>
      </c>
      <c r="J29" s="15">
        <f>ROUND(G29/435-1,2)</f>
        <v>0.19</v>
      </c>
    </row>
    <row r="30" spans="1:10" x14ac:dyDescent="0.25">
      <c r="A30" s="1" t="s">
        <v>16</v>
      </c>
      <c r="B30" s="1" t="s">
        <v>35</v>
      </c>
      <c r="C30" s="10"/>
      <c r="D30" s="10"/>
      <c r="E30" s="10">
        <v>240</v>
      </c>
      <c r="F30" s="10"/>
      <c r="G30" s="10">
        <f t="shared" si="0"/>
        <v>240</v>
      </c>
      <c r="H30" s="16">
        <f t="shared" si="1"/>
        <v>0.06</v>
      </c>
      <c r="I30" s="15">
        <f t="shared" si="2"/>
        <v>0</v>
      </c>
      <c r="J30" s="15">
        <f>ROUND(G30/576-1,2)</f>
        <v>-0.57999999999999996</v>
      </c>
    </row>
    <row r="31" spans="1:10" x14ac:dyDescent="0.25">
      <c r="A31" s="1" t="s">
        <v>16</v>
      </c>
      <c r="B31" s="1" t="s">
        <v>34</v>
      </c>
      <c r="C31" s="10"/>
      <c r="D31" s="10"/>
      <c r="E31" s="10">
        <v>1020</v>
      </c>
      <c r="F31" s="10"/>
      <c r="G31" s="10">
        <f t="shared" si="0"/>
        <v>1020</v>
      </c>
      <c r="H31" s="16">
        <f t="shared" si="1"/>
        <v>0.26</v>
      </c>
      <c r="I31" s="15">
        <f t="shared" si="2"/>
        <v>1E-3</v>
      </c>
      <c r="J31" s="15">
        <f>ROUND(G31/1230-1,2)</f>
        <v>-0.17</v>
      </c>
    </row>
    <row r="32" spans="1:10" x14ac:dyDescent="0.25">
      <c r="A32" s="1" t="s">
        <v>16</v>
      </c>
      <c r="B32" s="1" t="s">
        <v>37</v>
      </c>
      <c r="C32" s="10"/>
      <c r="D32" s="10"/>
      <c r="E32" s="10">
        <v>5380</v>
      </c>
      <c r="F32" s="10"/>
      <c r="G32" s="10">
        <f t="shared" si="0"/>
        <v>5380</v>
      </c>
      <c r="H32" s="16">
        <f t="shared" si="1"/>
        <v>1.37</v>
      </c>
      <c r="I32" s="15">
        <f t="shared" si="2"/>
        <v>4.0000000000000001E-3</v>
      </c>
      <c r="J32" s="15">
        <f>ROUND(G32/4120-1,2)</f>
        <v>0.31</v>
      </c>
    </row>
    <row r="33" spans="1:10" x14ac:dyDescent="0.25">
      <c r="A33" s="1" t="s">
        <v>16</v>
      </c>
      <c r="B33" s="1" t="s">
        <v>43</v>
      </c>
      <c r="C33" s="10"/>
      <c r="D33" s="10"/>
      <c r="E33" s="10">
        <v>5313</v>
      </c>
      <c r="F33" s="10"/>
      <c r="G33" s="10">
        <f t="shared" si="0"/>
        <v>5313</v>
      </c>
      <c r="H33" s="16">
        <f t="shared" si="1"/>
        <v>1.36</v>
      </c>
      <c r="I33" s="15">
        <f t="shared" si="2"/>
        <v>4.0000000000000001E-3</v>
      </c>
      <c r="J33" s="15">
        <f>ROUND(G33/11921-1,2)</f>
        <v>-0.55000000000000004</v>
      </c>
    </row>
    <row r="34" spans="1:10" x14ac:dyDescent="0.25">
      <c r="A34" s="1" t="s">
        <v>16</v>
      </c>
      <c r="B34" s="1" t="s">
        <v>38</v>
      </c>
      <c r="C34" s="10"/>
      <c r="D34" s="10"/>
      <c r="E34" s="10">
        <v>106455</v>
      </c>
      <c r="F34" s="10"/>
      <c r="G34" s="10">
        <f t="shared" si="0"/>
        <v>106455</v>
      </c>
      <c r="H34" s="16">
        <f t="shared" si="1"/>
        <v>27.18</v>
      </c>
      <c r="I34" s="15">
        <f t="shared" si="2"/>
        <v>8.7999999999999995E-2</v>
      </c>
      <c r="J34" s="15">
        <f>ROUND(G34/75840-1,2)</f>
        <v>0.4</v>
      </c>
    </row>
    <row r="35" spans="1:10" x14ac:dyDescent="0.25">
      <c r="A35" s="1" t="s">
        <v>16</v>
      </c>
      <c r="B35" s="1" t="s">
        <v>39</v>
      </c>
      <c r="C35" s="10"/>
      <c r="D35" s="10"/>
      <c r="E35" s="10">
        <v>6370</v>
      </c>
      <c r="F35" s="10"/>
      <c r="G35" s="10">
        <f t="shared" si="0"/>
        <v>6370</v>
      </c>
      <c r="H35" s="16">
        <f t="shared" si="1"/>
        <v>1.63</v>
      </c>
      <c r="I35" s="15">
        <f t="shared" si="2"/>
        <v>5.0000000000000001E-3</v>
      </c>
      <c r="J35" s="15">
        <f>ROUND(G35/6430-1,2)</f>
        <v>-0.01</v>
      </c>
    </row>
    <row r="36" spans="1:10" x14ac:dyDescent="0.25">
      <c r="A36" s="1" t="s">
        <v>16</v>
      </c>
      <c r="B36" s="1" t="s">
        <v>40</v>
      </c>
      <c r="C36" s="10"/>
      <c r="D36" s="10"/>
      <c r="E36" s="10">
        <v>22360</v>
      </c>
      <c r="F36" s="10"/>
      <c r="G36" s="10">
        <f t="shared" si="0"/>
        <v>22360</v>
      </c>
      <c r="H36" s="16">
        <f t="shared" si="1"/>
        <v>5.71</v>
      </c>
      <c r="I36" s="15">
        <f t="shared" si="2"/>
        <v>1.7999999999999999E-2</v>
      </c>
      <c r="J36" s="15">
        <f>ROUND(G36/16980-1,2)</f>
        <v>0.32</v>
      </c>
    </row>
    <row r="37" spans="1:10" x14ac:dyDescent="0.25">
      <c r="A37" s="1" t="s">
        <v>16</v>
      </c>
      <c r="B37" s="1" t="s">
        <v>41</v>
      </c>
      <c r="C37" s="10"/>
      <c r="D37" s="10"/>
      <c r="E37" s="10">
        <v>109210</v>
      </c>
      <c r="F37" s="10"/>
      <c r="G37" s="10">
        <f t="shared" si="0"/>
        <v>109210</v>
      </c>
      <c r="H37" s="16">
        <f t="shared" si="1"/>
        <v>27.89</v>
      </c>
      <c r="I37" s="15">
        <f t="shared" si="2"/>
        <v>0.09</v>
      </c>
      <c r="J37" s="15">
        <f>ROUND(G37/93280-1,2)</f>
        <v>0.17</v>
      </c>
    </row>
    <row r="38" spans="1:10" x14ac:dyDescent="0.25">
      <c r="A38" s="1" t="s">
        <v>16</v>
      </c>
      <c r="B38" s="1" t="s">
        <v>36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ROUND(G38/2088-1,2)</f>
        <v>-1</v>
      </c>
    </row>
    <row r="39" spans="1:10" x14ac:dyDescent="0.25">
      <c r="A39" s="1" t="s">
        <v>16</v>
      </c>
      <c r="B39" s="1" t="s">
        <v>262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16</v>
      </c>
      <c r="B40" s="1" t="s">
        <v>42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ROUND(G40/110-1,2)</f>
        <v>-1</v>
      </c>
    </row>
    <row r="41" spans="1:10" x14ac:dyDescent="0.25">
      <c r="A41" s="1" t="s">
        <v>44</v>
      </c>
      <c r="B41" s="1" t="s">
        <v>45</v>
      </c>
      <c r="C41" s="10">
        <v>173010</v>
      </c>
      <c r="D41" s="10"/>
      <c r="E41" s="10"/>
      <c r="F41" s="10">
        <v>1250</v>
      </c>
      <c r="G41" s="10">
        <f t="shared" si="0"/>
        <v>174260</v>
      </c>
      <c r="H41" s="16">
        <f t="shared" si="1"/>
        <v>44.5</v>
      </c>
      <c r="I41" s="15">
        <f t="shared" si="2"/>
        <v>0.14399999999999999</v>
      </c>
      <c r="J41" s="15">
        <f>ROUND(G41/189810-1,2)</f>
        <v>-0.08</v>
      </c>
    </row>
    <row r="42" spans="1:10" x14ac:dyDescent="0.25">
      <c r="A42" s="1" t="s">
        <v>44</v>
      </c>
      <c r="B42" s="1" t="s">
        <v>47</v>
      </c>
      <c r="C42" s="10"/>
      <c r="D42" s="10"/>
      <c r="E42" s="10"/>
      <c r="F42" s="10">
        <v>33620</v>
      </c>
      <c r="G42" s="10">
        <f t="shared" si="0"/>
        <v>33620</v>
      </c>
      <c r="H42" s="16">
        <f t="shared" si="1"/>
        <v>8.59</v>
      </c>
      <c r="I42" s="15">
        <f t="shared" si="2"/>
        <v>2.8000000000000001E-2</v>
      </c>
      <c r="J42" s="15">
        <f>ROUND(G42/42240-1,2)</f>
        <v>-0.2</v>
      </c>
    </row>
    <row r="43" spans="1:10" x14ac:dyDescent="0.25">
      <c r="A43" s="1" t="s">
        <v>44</v>
      </c>
      <c r="B43" s="1" t="s">
        <v>46</v>
      </c>
      <c r="C43" s="10"/>
      <c r="D43" s="10"/>
      <c r="E43" s="10">
        <v>74710</v>
      </c>
      <c r="F43" s="10"/>
      <c r="G43" s="10">
        <f t="shared" si="0"/>
        <v>74710</v>
      </c>
      <c r="H43" s="16">
        <f t="shared" si="1"/>
        <v>19.079999999999998</v>
      </c>
      <c r="I43" s="15">
        <f t="shared" si="2"/>
        <v>6.2E-2</v>
      </c>
      <c r="J43" s="15">
        <f>ROUND(G43/49450-1,2)</f>
        <v>0.51</v>
      </c>
    </row>
    <row r="44" spans="1:10" x14ac:dyDescent="0.25">
      <c r="A44" s="27" t="s">
        <v>12</v>
      </c>
      <c r="B44" s="27"/>
      <c r="C44" s="11">
        <f t="shared" ref="C44:H44" si="3">SUM(C8:C43)</f>
        <v>718830</v>
      </c>
      <c r="D44" s="11">
        <f t="shared" si="3"/>
        <v>331</v>
      </c>
      <c r="E44" s="11">
        <f t="shared" si="3"/>
        <v>455642</v>
      </c>
      <c r="F44" s="11">
        <f t="shared" si="3"/>
        <v>35522</v>
      </c>
      <c r="G44" s="11">
        <f t="shared" si="3"/>
        <v>1210325</v>
      </c>
      <c r="H44" s="14">
        <f t="shared" si="3"/>
        <v>309.07999999999993</v>
      </c>
      <c r="I44" s="17"/>
      <c r="J44" s="17"/>
    </row>
    <row r="45" spans="1:10" x14ac:dyDescent="0.25">
      <c r="A45" s="27" t="s">
        <v>14</v>
      </c>
      <c r="B45" s="27"/>
      <c r="C45" s="12">
        <f>ROUND(C44/G44,2)</f>
        <v>0.59</v>
      </c>
      <c r="D45" s="12">
        <f>ROUND(D44/G44,2)</f>
        <v>0</v>
      </c>
      <c r="E45" s="12">
        <f>ROUND(E44/G44,2)</f>
        <v>0.38</v>
      </c>
      <c r="F45" s="12">
        <f>ROUND(F44/G44,2)</f>
        <v>0.03</v>
      </c>
      <c r="G45" s="13"/>
      <c r="H45" s="13"/>
      <c r="I45" s="17"/>
      <c r="J45" s="17"/>
    </row>
    <row r="46" spans="1:10" x14ac:dyDescent="0.25">
      <c r="A46" s="2" t="s">
        <v>52</v>
      </c>
      <c r="B46" s="2"/>
      <c r="C46" s="13"/>
      <c r="D46" s="13"/>
      <c r="E46" s="13"/>
      <c r="F46" s="13"/>
      <c r="G46" s="13"/>
      <c r="H46" s="13"/>
      <c r="I46" s="17"/>
      <c r="J46" s="17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53</v>
      </c>
      <c r="B50" s="27"/>
      <c r="C50" s="11" t="s">
        <v>8</v>
      </c>
      <c r="D50" s="11" t="s">
        <v>9</v>
      </c>
      <c r="E50" s="11" t="s">
        <v>10</v>
      </c>
      <c r="F50" s="11" t="s">
        <v>11</v>
      </c>
      <c r="G50" s="11" t="s">
        <v>12</v>
      </c>
      <c r="H50" s="14" t="s">
        <v>13</v>
      </c>
      <c r="I50" s="17"/>
      <c r="J50" s="17"/>
    </row>
    <row r="51" spans="1:10" x14ac:dyDescent="0.25">
      <c r="A51" s="22" t="s">
        <v>54</v>
      </c>
      <c r="B51" s="22"/>
      <c r="C51" s="10">
        <v>545820</v>
      </c>
      <c r="D51" s="10">
        <v>331</v>
      </c>
      <c r="E51" s="10">
        <v>380932</v>
      </c>
      <c r="F51" s="10">
        <v>452</v>
      </c>
      <c r="G51" s="10">
        <f>SUM(C51:F51)</f>
        <v>927535</v>
      </c>
      <c r="H51" s="16">
        <f>ROUND(G51/3916,2)</f>
        <v>236.86</v>
      </c>
      <c r="I51" s="9"/>
      <c r="J51" s="9"/>
    </row>
    <row r="52" spans="1:10" x14ac:dyDescent="0.25">
      <c r="A52" s="22" t="s">
        <v>55</v>
      </c>
      <c r="B52" s="22"/>
      <c r="C52" s="10">
        <v>173010</v>
      </c>
      <c r="D52" s="10">
        <v>0</v>
      </c>
      <c r="E52" s="10">
        <v>74710</v>
      </c>
      <c r="F52" s="10">
        <v>34870</v>
      </c>
      <c r="G52" s="10">
        <f>SUM(C52:F52)</f>
        <v>282590</v>
      </c>
      <c r="H52" s="16">
        <f>ROUND(G52/3916,2)</f>
        <v>72.16</v>
      </c>
      <c r="I52" s="9"/>
      <c r="J52" s="9"/>
    </row>
    <row r="53" spans="1:10" x14ac:dyDescent="0.25">
      <c r="A53" s="22" t="s">
        <v>56</v>
      </c>
      <c r="B53" s="22"/>
      <c r="C53" s="10">
        <v>0</v>
      </c>
      <c r="D53" s="10">
        <v>0</v>
      </c>
      <c r="E53" s="10">
        <v>0</v>
      </c>
      <c r="F53" s="10">
        <v>200</v>
      </c>
      <c r="G53" s="10">
        <f>SUM(C53:F53)</f>
        <v>200</v>
      </c>
      <c r="H53" s="16">
        <f>ROUND(G53/3916,2)</f>
        <v>0.05</v>
      </c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57</v>
      </c>
      <c r="B58" s="27"/>
      <c r="C58" s="14" t="s">
        <v>2</v>
      </c>
      <c r="D58" s="14">
        <v>2023</v>
      </c>
      <c r="E58" s="14" t="s">
        <v>59</v>
      </c>
      <c r="F58" s="13"/>
      <c r="G58" s="14" t="s">
        <v>60</v>
      </c>
      <c r="H58" s="14" t="s">
        <v>2</v>
      </c>
      <c r="I58" s="12" t="s">
        <v>61</v>
      </c>
      <c r="J58" s="12" t="s">
        <v>59</v>
      </c>
    </row>
    <row r="59" spans="1:10" x14ac:dyDescent="0.25">
      <c r="A59" s="22" t="s">
        <v>58</v>
      </c>
      <c r="B59" s="22"/>
      <c r="C59" s="15">
        <f>ROUND(0.8355, 4)</f>
        <v>0.83550000000000002</v>
      </c>
      <c r="D59" s="15">
        <f>ROUND(0.8082, 4)</f>
        <v>0.80820000000000003</v>
      </c>
      <c r="E59" s="15">
        <f>ROUND(0.777, 4)</f>
        <v>0.77700000000000002</v>
      </c>
      <c r="F59" s="8"/>
      <c r="G59" s="14" t="s">
        <v>62</v>
      </c>
      <c r="H59" s="28" t="s">
        <v>63</v>
      </c>
      <c r="I59" s="25" t="s">
        <v>64</v>
      </c>
      <c r="J59" s="25" t="s">
        <v>65</v>
      </c>
    </row>
    <row r="60" spans="1:10" x14ac:dyDescent="0.25">
      <c r="A60" s="22" t="s">
        <v>66</v>
      </c>
      <c r="B60" s="22"/>
      <c r="C60" s="15">
        <f>ROUND(0.8208, 4)</f>
        <v>0.82079999999999997</v>
      </c>
      <c r="D60" s="15">
        <f>ROUND(0.7937, 4)</f>
        <v>0.79369999999999996</v>
      </c>
      <c r="E60" s="15">
        <f>ROUND(0.7608, 4)</f>
        <v>0.76080000000000003</v>
      </c>
      <c r="F60" s="8"/>
      <c r="G60" s="14" t="s">
        <v>67</v>
      </c>
      <c r="H60" s="29"/>
      <c r="I60" s="26"/>
      <c r="J60" s="26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7" t="s">
        <v>68</v>
      </c>
      <c r="B64" s="27"/>
      <c r="C64" s="14" t="s">
        <v>2</v>
      </c>
      <c r="D64" s="14" t="s">
        <v>263</v>
      </c>
      <c r="E64" s="14" t="s">
        <v>70</v>
      </c>
      <c r="F64" s="14" t="s">
        <v>71</v>
      </c>
      <c r="G64" s="14" t="s">
        <v>72</v>
      </c>
      <c r="H64" s="13"/>
      <c r="I64" s="17"/>
      <c r="J64" s="17"/>
    </row>
    <row r="65" spans="1:10" x14ac:dyDescent="0.25">
      <c r="A65" s="22" t="s">
        <v>73</v>
      </c>
      <c r="B65" s="22"/>
      <c r="C65" s="16">
        <v>44.5</v>
      </c>
      <c r="D65" s="16">
        <v>49.82</v>
      </c>
      <c r="E65" s="16">
        <v>92.53</v>
      </c>
      <c r="F65" s="16">
        <v>56.06</v>
      </c>
      <c r="G65" s="16">
        <f>12/11*C65</f>
        <v>48.54545454545454</v>
      </c>
      <c r="H65" s="8"/>
      <c r="I65" s="9"/>
      <c r="J65" s="9"/>
    </row>
    <row r="66" spans="1:10" x14ac:dyDescent="0.25">
      <c r="A66" s="22" t="s">
        <v>74</v>
      </c>
      <c r="B66" s="22"/>
      <c r="C66" s="16">
        <v>30.75</v>
      </c>
      <c r="D66" s="16">
        <v>32.57</v>
      </c>
      <c r="E66" s="16">
        <v>61.98</v>
      </c>
      <c r="F66" s="16">
        <v>64.09</v>
      </c>
      <c r="G66" s="16">
        <f>12/11*C66</f>
        <v>33.54545454545454</v>
      </c>
      <c r="H66" s="8"/>
      <c r="I66" s="9"/>
      <c r="J66" s="9"/>
    </row>
    <row r="67" spans="1:10" x14ac:dyDescent="0.25">
      <c r="A67" s="22" t="s">
        <v>75</v>
      </c>
      <c r="B67" s="22"/>
      <c r="C67" s="16">
        <v>236.86</v>
      </c>
      <c r="D67" s="16">
        <v>224.92</v>
      </c>
      <c r="E67" s="16">
        <v>291.51</v>
      </c>
      <c r="F67" s="16">
        <v>284.45</v>
      </c>
      <c r="G67" s="16">
        <f>12/11*C67</f>
        <v>258.39272727272726</v>
      </c>
      <c r="H67" s="8"/>
      <c r="I67" s="9"/>
      <c r="J67" s="9"/>
    </row>
    <row r="68" spans="1:10" x14ac:dyDescent="0.25">
      <c r="A68" s="22" t="s">
        <v>76</v>
      </c>
      <c r="B68" s="22"/>
      <c r="C68" s="16">
        <v>72.16</v>
      </c>
      <c r="D68" s="16">
        <v>73.180000000000007</v>
      </c>
      <c r="E68" s="16">
        <v>116.46</v>
      </c>
      <c r="F68" s="16">
        <v>79.959999999999994</v>
      </c>
      <c r="G68" s="16">
        <f>12/11*C68</f>
        <v>78.719999999999985</v>
      </c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1" spans="1:10" x14ac:dyDescent="0.25">
      <c r="A71" s="23" t="s">
        <v>60</v>
      </c>
      <c r="B71" s="24"/>
    </row>
    <row r="72" spans="1:10" x14ac:dyDescent="0.25">
      <c r="A72" s="3" t="s">
        <v>77</v>
      </c>
      <c r="B72" s="1" t="s">
        <v>264</v>
      </c>
    </row>
    <row r="73" spans="1:10" x14ac:dyDescent="0.25">
      <c r="A73" s="3" t="s">
        <v>70</v>
      </c>
      <c r="B73" s="1" t="s">
        <v>79</v>
      </c>
    </row>
    <row r="74" spans="1:10" x14ac:dyDescent="0.25">
      <c r="A74" s="3" t="s">
        <v>71</v>
      </c>
      <c r="B74" s="1" t="s">
        <v>80</v>
      </c>
    </row>
    <row r="75" spans="1:10" x14ac:dyDescent="0.25">
      <c r="A75" s="3" t="s">
        <v>72</v>
      </c>
      <c r="B75" s="1" t="s">
        <v>81</v>
      </c>
    </row>
  </sheetData>
  <mergeCells count="19">
    <mergeCell ref="C7:G7"/>
    <mergeCell ref="A44:B44"/>
    <mergeCell ref="A45:B45"/>
    <mergeCell ref="A50:B50"/>
    <mergeCell ref="A51:B51"/>
    <mergeCell ref="J59:J60"/>
    <mergeCell ref="A60:B60"/>
    <mergeCell ref="A64:B64"/>
    <mergeCell ref="A65:B65"/>
    <mergeCell ref="A52:B52"/>
    <mergeCell ref="A53:B53"/>
    <mergeCell ref="A58:B58"/>
    <mergeCell ref="A59:B59"/>
    <mergeCell ref="H59:H60"/>
    <mergeCell ref="A66:B66"/>
    <mergeCell ref="A67:B67"/>
    <mergeCell ref="A68:B68"/>
    <mergeCell ref="A71:B71"/>
    <mergeCell ref="I59:I60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J70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1.5703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265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254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5</v>
      </c>
      <c r="F9" s="10"/>
      <c r="G9" s="10">
        <f t="shared" ref="G9:G37" si="0">SUM(C9:F9)</f>
        <v>5</v>
      </c>
      <c r="H9" s="16">
        <f t="shared" ref="H9:H37" si="1">ROUND(G9/254,2)</f>
        <v>0.02</v>
      </c>
      <c r="I9" s="15">
        <f t="shared" ref="I9:I37" si="2">ROUND(G9/$G$38,3)</f>
        <v>0</v>
      </c>
      <c r="J9" s="15"/>
    </row>
    <row r="10" spans="1:10" x14ac:dyDescent="0.25">
      <c r="A10" s="1" t="s">
        <v>16</v>
      </c>
      <c r="B10" s="1" t="s">
        <v>19</v>
      </c>
      <c r="C10" s="10">
        <v>8620</v>
      </c>
      <c r="D10" s="10"/>
      <c r="E10" s="10">
        <v>1016</v>
      </c>
      <c r="F10" s="10"/>
      <c r="G10" s="10">
        <f t="shared" si="0"/>
        <v>9636</v>
      </c>
      <c r="H10" s="16">
        <f t="shared" si="1"/>
        <v>37.94</v>
      </c>
      <c r="I10" s="15">
        <f t="shared" si="2"/>
        <v>9.6000000000000002E-2</v>
      </c>
      <c r="J10" s="15">
        <f>ROUND(G10/7325.13-1,2)</f>
        <v>0.32</v>
      </c>
    </row>
    <row r="11" spans="1:10" x14ac:dyDescent="0.25">
      <c r="A11" s="1" t="s">
        <v>16</v>
      </c>
      <c r="B11" s="1" t="s">
        <v>20</v>
      </c>
      <c r="C11" s="10">
        <v>12540</v>
      </c>
      <c r="D11" s="10"/>
      <c r="E11" s="10">
        <v>144</v>
      </c>
      <c r="F11" s="10"/>
      <c r="G11" s="10">
        <f t="shared" si="0"/>
        <v>12684</v>
      </c>
      <c r="H11" s="16">
        <f t="shared" si="1"/>
        <v>49.94</v>
      </c>
      <c r="I11" s="15">
        <f t="shared" si="2"/>
        <v>0.126</v>
      </c>
      <c r="J11" s="15">
        <f>ROUND(G11/10760-1,2)</f>
        <v>0.18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23</v>
      </c>
      <c r="F12" s="10"/>
      <c r="G12" s="10">
        <f t="shared" si="0"/>
        <v>23</v>
      </c>
      <c r="H12" s="16">
        <f t="shared" si="1"/>
        <v>0.09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22</v>
      </c>
      <c r="C13" s="10"/>
      <c r="D13" s="10"/>
      <c r="E13" s="10">
        <v>282</v>
      </c>
      <c r="F13" s="10"/>
      <c r="G13" s="10">
        <f t="shared" si="0"/>
        <v>282</v>
      </c>
      <c r="H13" s="16">
        <f t="shared" si="1"/>
        <v>1.1100000000000001</v>
      </c>
      <c r="I13" s="15">
        <f t="shared" si="2"/>
        <v>3.0000000000000001E-3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7157</v>
      </c>
      <c r="F14" s="10"/>
      <c r="G14" s="10">
        <f t="shared" si="0"/>
        <v>7157</v>
      </c>
      <c r="H14" s="16">
        <f t="shared" si="1"/>
        <v>28.18</v>
      </c>
      <c r="I14" s="15">
        <f t="shared" si="2"/>
        <v>7.0999999999999994E-2</v>
      </c>
      <c r="J14" s="15">
        <f>ROUND(G14/2949.76-1,2)</f>
        <v>1.43</v>
      </c>
    </row>
    <row r="15" spans="1:10" x14ac:dyDescent="0.25">
      <c r="A15" s="1" t="s">
        <v>16</v>
      </c>
      <c r="B15" s="1" t="s">
        <v>24</v>
      </c>
      <c r="C15" s="10">
        <v>8440</v>
      </c>
      <c r="D15" s="10"/>
      <c r="E15" s="10">
        <v>2639</v>
      </c>
      <c r="F15" s="10"/>
      <c r="G15" s="10">
        <f t="shared" si="0"/>
        <v>11079</v>
      </c>
      <c r="H15" s="16">
        <f t="shared" si="1"/>
        <v>43.62</v>
      </c>
      <c r="I15" s="15">
        <f t="shared" si="2"/>
        <v>0.11</v>
      </c>
      <c r="J15" s="15">
        <f>ROUND(G15/10914.76-1,2)</f>
        <v>0.02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412</v>
      </c>
      <c r="F16" s="10"/>
      <c r="G16" s="10">
        <f t="shared" si="0"/>
        <v>412</v>
      </c>
      <c r="H16" s="16">
        <f t="shared" si="1"/>
        <v>1.62</v>
      </c>
      <c r="I16" s="15">
        <f t="shared" si="2"/>
        <v>4.0000000000000001E-3</v>
      </c>
      <c r="J16" s="15"/>
    </row>
    <row r="17" spans="1:10" x14ac:dyDescent="0.25">
      <c r="A17" s="1" t="s">
        <v>16</v>
      </c>
      <c r="B17" s="1" t="s">
        <v>26</v>
      </c>
      <c r="C17" s="10">
        <v>13290</v>
      </c>
      <c r="D17" s="10"/>
      <c r="E17" s="10"/>
      <c r="F17" s="10"/>
      <c r="G17" s="10">
        <f t="shared" si="0"/>
        <v>13290</v>
      </c>
      <c r="H17" s="16">
        <f t="shared" si="1"/>
        <v>52.32</v>
      </c>
      <c r="I17" s="15">
        <f t="shared" si="2"/>
        <v>0.13200000000000001</v>
      </c>
      <c r="J17" s="15">
        <f>ROUND(G17/11370-1,2)</f>
        <v>0.17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85</v>
      </c>
      <c r="F18" s="10"/>
      <c r="G18" s="10">
        <f t="shared" si="0"/>
        <v>85</v>
      </c>
      <c r="H18" s="16">
        <f t="shared" si="1"/>
        <v>0.33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55</v>
      </c>
      <c r="F19" s="10"/>
      <c r="G19" s="10">
        <f t="shared" si="0"/>
        <v>55</v>
      </c>
      <c r="H19" s="16">
        <f t="shared" si="1"/>
        <v>0.22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42</v>
      </c>
      <c r="C20" s="10"/>
      <c r="D20" s="10"/>
      <c r="E20" s="10">
        <v>8</v>
      </c>
      <c r="F20" s="10"/>
      <c r="G20" s="10">
        <f t="shared" si="0"/>
        <v>8</v>
      </c>
      <c r="H20" s="16">
        <f t="shared" si="1"/>
        <v>0.03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29</v>
      </c>
      <c r="C21" s="10"/>
      <c r="D21" s="10"/>
      <c r="E21" s="10">
        <v>194</v>
      </c>
      <c r="F21" s="10"/>
      <c r="G21" s="10">
        <f t="shared" si="0"/>
        <v>194</v>
      </c>
      <c r="H21" s="16">
        <f t="shared" si="1"/>
        <v>0.76</v>
      </c>
      <c r="I21" s="15">
        <f t="shared" si="2"/>
        <v>2E-3</v>
      </c>
      <c r="J21" s="15">
        <f>ROUND(G21/425-1,2)</f>
        <v>-0.54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59</v>
      </c>
      <c r="F22" s="10"/>
      <c r="G22" s="10">
        <f t="shared" si="0"/>
        <v>59</v>
      </c>
      <c r="H22" s="16">
        <f t="shared" si="1"/>
        <v>0.23</v>
      </c>
      <c r="I22" s="15">
        <f t="shared" si="2"/>
        <v>1E-3</v>
      </c>
      <c r="J22" s="15">
        <f>ROUND(G22/26.83-1,2)</f>
        <v>1.2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53</v>
      </c>
      <c r="F23" s="10"/>
      <c r="G23" s="10">
        <f t="shared" si="0"/>
        <v>53</v>
      </c>
      <c r="H23" s="16">
        <f t="shared" si="1"/>
        <v>0.21</v>
      </c>
      <c r="I23" s="15">
        <f t="shared" si="2"/>
        <v>1E-3</v>
      </c>
      <c r="J23" s="15"/>
    </row>
    <row r="24" spans="1:10" x14ac:dyDescent="0.25">
      <c r="A24" s="1" t="s">
        <v>16</v>
      </c>
      <c r="B24" s="1" t="s">
        <v>32</v>
      </c>
      <c r="C24" s="10"/>
      <c r="D24" s="10"/>
      <c r="E24" s="10">
        <v>153</v>
      </c>
      <c r="F24" s="10"/>
      <c r="G24" s="10">
        <f t="shared" si="0"/>
        <v>153</v>
      </c>
      <c r="H24" s="16">
        <f t="shared" si="1"/>
        <v>0.6</v>
      </c>
      <c r="I24" s="15">
        <f t="shared" si="2"/>
        <v>2E-3</v>
      </c>
      <c r="J24" s="15"/>
    </row>
    <row r="25" spans="1:10" x14ac:dyDescent="0.25">
      <c r="A25" s="1" t="s">
        <v>16</v>
      </c>
      <c r="B25" s="1" t="s">
        <v>33</v>
      </c>
      <c r="C25" s="10"/>
      <c r="D25" s="10"/>
      <c r="E25" s="10">
        <v>22</v>
      </c>
      <c r="F25" s="10"/>
      <c r="G25" s="10">
        <f t="shared" si="0"/>
        <v>22</v>
      </c>
      <c r="H25" s="16">
        <f t="shared" si="1"/>
        <v>0.09</v>
      </c>
      <c r="I25" s="15">
        <f t="shared" si="2"/>
        <v>0</v>
      </c>
      <c r="J25" s="15"/>
    </row>
    <row r="26" spans="1:10" x14ac:dyDescent="0.25">
      <c r="A26" s="1" t="s">
        <v>16</v>
      </c>
      <c r="B26" s="1" t="s">
        <v>37</v>
      </c>
      <c r="C26" s="10"/>
      <c r="D26" s="10"/>
      <c r="E26" s="10">
        <v>348</v>
      </c>
      <c r="F26" s="10"/>
      <c r="G26" s="10">
        <f t="shared" si="0"/>
        <v>348</v>
      </c>
      <c r="H26" s="16">
        <f t="shared" si="1"/>
        <v>1.37</v>
      </c>
      <c r="I26" s="15">
        <f t="shared" si="2"/>
        <v>3.0000000000000001E-3</v>
      </c>
      <c r="J26" s="15">
        <f>ROUND(G26/58.02-1,2)</f>
        <v>5</v>
      </c>
    </row>
    <row r="27" spans="1:10" x14ac:dyDescent="0.25">
      <c r="A27" s="1" t="s">
        <v>16</v>
      </c>
      <c r="B27" s="1" t="s">
        <v>43</v>
      </c>
      <c r="C27" s="10"/>
      <c r="D27" s="10"/>
      <c r="E27" s="10">
        <v>344</v>
      </c>
      <c r="F27" s="10"/>
      <c r="G27" s="10">
        <f t="shared" si="0"/>
        <v>344</v>
      </c>
      <c r="H27" s="16">
        <f t="shared" si="1"/>
        <v>1.35</v>
      </c>
      <c r="I27" s="15">
        <f t="shared" si="2"/>
        <v>3.0000000000000001E-3</v>
      </c>
      <c r="J27" s="15"/>
    </row>
    <row r="28" spans="1:10" x14ac:dyDescent="0.25">
      <c r="A28" s="1" t="s">
        <v>16</v>
      </c>
      <c r="B28" s="1" t="s">
        <v>38</v>
      </c>
      <c r="C28" s="10"/>
      <c r="D28" s="10"/>
      <c r="E28" s="10">
        <v>6870</v>
      </c>
      <c r="F28" s="10"/>
      <c r="G28" s="10">
        <f t="shared" si="0"/>
        <v>6870</v>
      </c>
      <c r="H28" s="16">
        <f t="shared" si="1"/>
        <v>27.05</v>
      </c>
      <c r="I28" s="15">
        <f t="shared" si="2"/>
        <v>6.8000000000000005E-2</v>
      </c>
      <c r="J28" s="15">
        <f>ROUND(G28/3846.28-1,2)</f>
        <v>0.79</v>
      </c>
    </row>
    <row r="29" spans="1:10" x14ac:dyDescent="0.25">
      <c r="A29" s="1" t="s">
        <v>16</v>
      </c>
      <c r="B29" s="1" t="s">
        <v>40</v>
      </c>
      <c r="C29" s="10"/>
      <c r="D29" s="10"/>
      <c r="E29" s="10">
        <v>2468</v>
      </c>
      <c r="F29" s="10"/>
      <c r="G29" s="10">
        <f t="shared" si="0"/>
        <v>2468</v>
      </c>
      <c r="H29" s="16">
        <f t="shared" si="1"/>
        <v>9.7200000000000006</v>
      </c>
      <c r="I29" s="15">
        <f t="shared" si="2"/>
        <v>2.5000000000000001E-2</v>
      </c>
      <c r="J29" s="15">
        <f>ROUND(G29/1368.72-1,2)</f>
        <v>0.8</v>
      </c>
    </row>
    <row r="30" spans="1:10" x14ac:dyDescent="0.25">
      <c r="A30" s="1" t="s">
        <v>16</v>
      </c>
      <c r="B30" s="1" t="s">
        <v>41</v>
      </c>
      <c r="C30" s="10"/>
      <c r="D30" s="10"/>
      <c r="E30" s="10">
        <v>4644</v>
      </c>
      <c r="F30" s="10"/>
      <c r="G30" s="10">
        <f t="shared" si="0"/>
        <v>4644</v>
      </c>
      <c r="H30" s="16">
        <f t="shared" si="1"/>
        <v>18.28</v>
      </c>
      <c r="I30" s="15">
        <f t="shared" si="2"/>
        <v>4.5999999999999999E-2</v>
      </c>
      <c r="J30" s="15">
        <f>ROUND(G30/235.95-1,2)</f>
        <v>18.68</v>
      </c>
    </row>
    <row r="31" spans="1:10" x14ac:dyDescent="0.25">
      <c r="A31" s="1" t="s">
        <v>16</v>
      </c>
      <c r="B31" s="1" t="s">
        <v>36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ROUND(G31/328.12-1,2)</f>
        <v>-1</v>
      </c>
    </row>
    <row r="32" spans="1:10" x14ac:dyDescent="0.25">
      <c r="A32" s="1" t="s">
        <v>16</v>
      </c>
      <c r="B32" s="1" t="s">
        <v>35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39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44</v>
      </c>
      <c r="B34" s="1" t="s">
        <v>45</v>
      </c>
      <c r="C34" s="10">
        <v>26700</v>
      </c>
      <c r="D34" s="10"/>
      <c r="E34" s="10"/>
      <c r="F34" s="10"/>
      <c r="G34" s="10">
        <f t="shared" si="0"/>
        <v>26700</v>
      </c>
      <c r="H34" s="16">
        <f t="shared" si="1"/>
        <v>105.12</v>
      </c>
      <c r="I34" s="15">
        <f t="shared" si="2"/>
        <v>0.26500000000000001</v>
      </c>
      <c r="J34" s="15">
        <f>ROUND(G34/24640-1,2)</f>
        <v>0.08</v>
      </c>
    </row>
    <row r="35" spans="1:10" x14ac:dyDescent="0.25">
      <c r="A35" s="1" t="s">
        <v>44</v>
      </c>
      <c r="B35" s="1" t="s">
        <v>46</v>
      </c>
      <c r="C35" s="10"/>
      <c r="D35" s="10"/>
      <c r="E35" s="10">
        <v>4063</v>
      </c>
      <c r="F35" s="10"/>
      <c r="G35" s="10">
        <f t="shared" si="0"/>
        <v>4063</v>
      </c>
      <c r="H35" s="16">
        <f t="shared" si="1"/>
        <v>16</v>
      </c>
      <c r="I35" s="15">
        <f t="shared" si="2"/>
        <v>0.04</v>
      </c>
      <c r="J35" s="15">
        <f>ROUND(G35/2038.72-1,2)</f>
        <v>0.99</v>
      </c>
    </row>
    <row r="36" spans="1:10" x14ac:dyDescent="0.25">
      <c r="A36" s="1" t="s">
        <v>44</v>
      </c>
      <c r="B36" s="1" t="s">
        <v>47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48</v>
      </c>
      <c r="B37" s="1" t="s">
        <v>51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27" t="s">
        <v>12</v>
      </c>
      <c r="B38" s="27"/>
      <c r="C38" s="11">
        <f t="shared" ref="C38:H38" si="3">SUM(C8:C37)</f>
        <v>69590</v>
      </c>
      <c r="D38" s="11">
        <f t="shared" si="3"/>
        <v>0</v>
      </c>
      <c r="E38" s="11">
        <f t="shared" si="3"/>
        <v>31044</v>
      </c>
      <c r="F38" s="11">
        <f t="shared" si="3"/>
        <v>0</v>
      </c>
      <c r="G38" s="11">
        <f t="shared" si="3"/>
        <v>100634</v>
      </c>
      <c r="H38" s="14">
        <f t="shared" si="3"/>
        <v>396.20000000000005</v>
      </c>
      <c r="I38" s="17"/>
      <c r="J38" s="17"/>
    </row>
    <row r="39" spans="1:10" x14ac:dyDescent="0.25">
      <c r="A39" s="27" t="s">
        <v>14</v>
      </c>
      <c r="B39" s="27"/>
      <c r="C39" s="12">
        <f>ROUND(C38/G38,2)</f>
        <v>0.69</v>
      </c>
      <c r="D39" s="12">
        <f>ROUND(D38/G38,2)</f>
        <v>0</v>
      </c>
      <c r="E39" s="12">
        <f>ROUND(E38/G38,2)</f>
        <v>0.31</v>
      </c>
      <c r="F39" s="12">
        <f>ROUND(F38/G38,2)</f>
        <v>0</v>
      </c>
      <c r="G39" s="13"/>
      <c r="H39" s="13"/>
      <c r="I39" s="17"/>
      <c r="J39" s="17"/>
    </row>
    <row r="40" spans="1:10" x14ac:dyDescent="0.25">
      <c r="A40" s="2" t="s">
        <v>52</v>
      </c>
      <c r="B40" s="2"/>
      <c r="C40" s="13"/>
      <c r="D40" s="13"/>
      <c r="E40" s="13"/>
      <c r="F40" s="13"/>
      <c r="G40" s="13"/>
      <c r="H40" s="13"/>
      <c r="I40" s="17"/>
      <c r="J40" s="17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A44" s="27" t="s">
        <v>53</v>
      </c>
      <c r="B44" s="27"/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4" t="s">
        <v>13</v>
      </c>
      <c r="I44" s="17"/>
      <c r="J44" s="17"/>
    </row>
    <row r="45" spans="1:10" x14ac:dyDescent="0.25">
      <c r="A45" s="22" t="s">
        <v>54</v>
      </c>
      <c r="B45" s="22"/>
      <c r="C45" s="10">
        <v>42890</v>
      </c>
      <c r="D45" s="10">
        <v>0</v>
      </c>
      <c r="E45" s="10">
        <v>26981</v>
      </c>
      <c r="F45" s="10">
        <v>0</v>
      </c>
      <c r="G45" s="10">
        <f>SUM(C45:F45)</f>
        <v>69871</v>
      </c>
      <c r="H45" s="16">
        <f>ROUND(G45/254,2)</f>
        <v>275.08</v>
      </c>
      <c r="I45" s="9"/>
      <c r="J45" s="9"/>
    </row>
    <row r="46" spans="1:10" x14ac:dyDescent="0.25">
      <c r="A46" s="22" t="s">
        <v>55</v>
      </c>
      <c r="B46" s="22"/>
      <c r="C46" s="10">
        <v>26700</v>
      </c>
      <c r="D46" s="10">
        <v>0</v>
      </c>
      <c r="E46" s="10">
        <v>4063</v>
      </c>
      <c r="F46" s="10">
        <v>0</v>
      </c>
      <c r="G46" s="10">
        <f>SUM(C46:F46)</f>
        <v>30763</v>
      </c>
      <c r="H46" s="16">
        <f>ROUND(G46/254,2)</f>
        <v>121.11</v>
      </c>
      <c r="I46" s="9"/>
      <c r="J46" s="9"/>
    </row>
    <row r="47" spans="1:10" x14ac:dyDescent="0.25">
      <c r="A47" s="22" t="s">
        <v>56</v>
      </c>
      <c r="B47" s="22"/>
      <c r="C47" s="10">
        <v>0</v>
      </c>
      <c r="D47" s="10">
        <v>0</v>
      </c>
      <c r="E47" s="10">
        <v>0</v>
      </c>
      <c r="F47" s="10">
        <v>0</v>
      </c>
      <c r="G47" s="10">
        <f>SUM(C47:F47)</f>
        <v>0</v>
      </c>
      <c r="H47" s="16">
        <f>ROUND(G47/254,2)</f>
        <v>0</v>
      </c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57</v>
      </c>
      <c r="B52" s="27"/>
      <c r="C52" s="14" t="s">
        <v>2</v>
      </c>
      <c r="D52" s="14">
        <v>2023</v>
      </c>
      <c r="E52" s="14" t="s">
        <v>59</v>
      </c>
      <c r="F52" s="13"/>
      <c r="G52" s="14" t="s">
        <v>60</v>
      </c>
      <c r="H52" s="14" t="s">
        <v>2</v>
      </c>
      <c r="I52" s="12" t="s">
        <v>61</v>
      </c>
      <c r="J52" s="12" t="s">
        <v>59</v>
      </c>
    </row>
    <row r="53" spans="1:10" x14ac:dyDescent="0.25">
      <c r="A53" s="22" t="s">
        <v>58</v>
      </c>
      <c r="B53" s="22"/>
      <c r="C53" s="15">
        <f>ROUND(0.7107, 4)</f>
        <v>0.7107</v>
      </c>
      <c r="D53" s="15">
        <f>ROUND(0.6531, 4)</f>
        <v>0.65310000000000001</v>
      </c>
      <c r="E53" s="15">
        <f>ROUND(0.777, 4)</f>
        <v>0.77700000000000002</v>
      </c>
      <c r="F53" s="8"/>
      <c r="G53" s="14" t="s">
        <v>62</v>
      </c>
      <c r="H53" s="28" t="s">
        <v>63</v>
      </c>
      <c r="I53" s="25" t="s">
        <v>64</v>
      </c>
      <c r="J53" s="25" t="s">
        <v>65</v>
      </c>
    </row>
    <row r="54" spans="1:10" x14ac:dyDescent="0.25">
      <c r="A54" s="22" t="s">
        <v>66</v>
      </c>
      <c r="B54" s="22"/>
      <c r="C54" s="15">
        <f>ROUND(0.6723, 4)</f>
        <v>0.67230000000000001</v>
      </c>
      <c r="D54" s="15">
        <f>ROUND(0.6157, 4)</f>
        <v>0.61570000000000003</v>
      </c>
      <c r="E54" s="15">
        <f>ROUND(0.7608, 4)</f>
        <v>0.76080000000000003</v>
      </c>
      <c r="F54" s="8"/>
      <c r="G54" s="14" t="s">
        <v>67</v>
      </c>
      <c r="H54" s="29"/>
      <c r="I54" s="26"/>
      <c r="J54" s="26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68</v>
      </c>
      <c r="B58" s="27"/>
      <c r="C58" s="14" t="s">
        <v>2</v>
      </c>
      <c r="D58" s="14" t="s">
        <v>266</v>
      </c>
      <c r="E58" s="14" t="s">
        <v>70</v>
      </c>
      <c r="F58" s="14" t="s">
        <v>71</v>
      </c>
      <c r="G58" s="14" t="s">
        <v>72</v>
      </c>
      <c r="H58" s="13"/>
      <c r="I58" s="17"/>
      <c r="J58" s="17"/>
    </row>
    <row r="59" spans="1:10" x14ac:dyDescent="0.25">
      <c r="A59" s="22" t="s">
        <v>73</v>
      </c>
      <c r="B59" s="22"/>
      <c r="C59" s="16">
        <v>105.12</v>
      </c>
      <c r="D59" s="16">
        <v>111.93</v>
      </c>
      <c r="E59" s="16">
        <v>92.53</v>
      </c>
      <c r="F59" s="16">
        <v>56.06</v>
      </c>
      <c r="G59" s="16">
        <f>12/11*C59</f>
        <v>114.67636363636363</v>
      </c>
      <c r="H59" s="8"/>
      <c r="I59" s="9"/>
      <c r="J59" s="9"/>
    </row>
    <row r="60" spans="1:10" x14ac:dyDescent="0.25">
      <c r="A60" s="22" t="s">
        <v>74</v>
      </c>
      <c r="B60" s="22"/>
      <c r="C60" s="16">
        <v>52.32</v>
      </c>
      <c r="D60" s="16">
        <v>71.02</v>
      </c>
      <c r="E60" s="16">
        <v>61.98</v>
      </c>
      <c r="F60" s="16">
        <v>64.09</v>
      </c>
      <c r="G60" s="16">
        <f>12/11*C60</f>
        <v>57.076363636363631</v>
      </c>
      <c r="H60" s="8"/>
      <c r="I60" s="9"/>
      <c r="J60" s="9"/>
    </row>
    <row r="61" spans="1:10" x14ac:dyDescent="0.25">
      <c r="A61" s="22" t="s">
        <v>75</v>
      </c>
      <c r="B61" s="22"/>
      <c r="C61" s="16">
        <v>275.08</v>
      </c>
      <c r="D61" s="16">
        <v>284.36</v>
      </c>
      <c r="E61" s="16">
        <v>291.51</v>
      </c>
      <c r="F61" s="16">
        <v>284.45</v>
      </c>
      <c r="G61" s="16">
        <f>12/11*C61</f>
        <v>300.0872727272727</v>
      </c>
      <c r="H61" s="8"/>
      <c r="I61" s="9"/>
      <c r="J61" s="9"/>
    </row>
    <row r="62" spans="1:10" x14ac:dyDescent="0.25">
      <c r="A62" s="22" t="s">
        <v>76</v>
      </c>
      <c r="B62" s="22"/>
      <c r="C62" s="16">
        <v>121.11</v>
      </c>
      <c r="D62" s="16">
        <v>127.38</v>
      </c>
      <c r="E62" s="16">
        <v>116.46</v>
      </c>
      <c r="F62" s="16">
        <v>79.959999999999994</v>
      </c>
      <c r="G62" s="16">
        <f>12/11*C62</f>
        <v>132.11999999999998</v>
      </c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3" t="s">
        <v>60</v>
      </c>
      <c r="B65" s="24"/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77</v>
      </c>
      <c r="B66" s="1" t="s">
        <v>267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70</v>
      </c>
      <c r="B67" s="1" t="s">
        <v>79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71</v>
      </c>
      <c r="B68" s="1" t="s">
        <v>80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72</v>
      </c>
      <c r="B69" s="1" t="s">
        <v>81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</sheetData>
  <mergeCells count="19">
    <mergeCell ref="C7:G7"/>
    <mergeCell ref="A38:B38"/>
    <mergeCell ref="A39:B39"/>
    <mergeCell ref="A44:B44"/>
    <mergeCell ref="A45:B45"/>
    <mergeCell ref="J53:J54"/>
    <mergeCell ref="A54:B54"/>
    <mergeCell ref="A58:B58"/>
    <mergeCell ref="A59:B59"/>
    <mergeCell ref="A46:B46"/>
    <mergeCell ref="A47:B47"/>
    <mergeCell ref="A52:B52"/>
    <mergeCell ref="A53:B53"/>
    <mergeCell ref="H53:H54"/>
    <mergeCell ref="A60:B60"/>
    <mergeCell ref="A61:B61"/>
    <mergeCell ref="A62:B62"/>
    <mergeCell ref="A65:B65"/>
    <mergeCell ref="I53:I5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J71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268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2820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94</v>
      </c>
      <c r="F9" s="10"/>
      <c r="G9" s="10">
        <f t="shared" ref="G9:G38" si="0">SUM(C9:F9)</f>
        <v>94</v>
      </c>
      <c r="H9" s="16">
        <f t="shared" ref="H9:H38" si="1">ROUND(G9/2820,2)</f>
        <v>0.03</v>
      </c>
      <c r="I9" s="15">
        <f t="shared" ref="I9:I38" si="2">ROUND(G9/$G$39,3)</f>
        <v>0</v>
      </c>
      <c r="J9" s="15">
        <f>ROUND(G9/20-1,2)</f>
        <v>3.7</v>
      </c>
    </row>
    <row r="10" spans="1:10" x14ac:dyDescent="0.25">
      <c r="A10" s="1" t="s">
        <v>16</v>
      </c>
      <c r="B10" s="1" t="s">
        <v>19</v>
      </c>
      <c r="C10" s="10">
        <v>81230</v>
      </c>
      <c r="D10" s="10"/>
      <c r="E10" s="10"/>
      <c r="F10" s="10"/>
      <c r="G10" s="10">
        <f t="shared" si="0"/>
        <v>81230</v>
      </c>
      <c r="H10" s="16">
        <f t="shared" si="1"/>
        <v>28.8</v>
      </c>
      <c r="I10" s="15">
        <f t="shared" si="2"/>
        <v>0.08</v>
      </c>
      <c r="J10" s="15">
        <f>ROUND(G10/76900-1,2)</f>
        <v>0.06</v>
      </c>
    </row>
    <row r="11" spans="1:10" x14ac:dyDescent="0.25">
      <c r="A11" s="1" t="s">
        <v>16</v>
      </c>
      <c r="B11" s="1" t="s">
        <v>20</v>
      </c>
      <c r="C11" s="10">
        <v>99790</v>
      </c>
      <c r="D11" s="10"/>
      <c r="E11" s="10"/>
      <c r="F11" s="10"/>
      <c r="G11" s="10">
        <f t="shared" si="0"/>
        <v>99790</v>
      </c>
      <c r="H11" s="16">
        <f t="shared" si="1"/>
        <v>35.39</v>
      </c>
      <c r="I11" s="15">
        <f t="shared" si="2"/>
        <v>9.8000000000000004E-2</v>
      </c>
      <c r="J11" s="15">
        <f>ROUND(G11/100340-1,2)</f>
        <v>-0.01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12</v>
      </c>
      <c r="F12" s="10"/>
      <c r="G12" s="10">
        <f t="shared" si="0"/>
        <v>12</v>
      </c>
      <c r="H12" s="16">
        <f t="shared" si="1"/>
        <v>0</v>
      </c>
      <c r="I12" s="15">
        <f t="shared" si="2"/>
        <v>0</v>
      </c>
      <c r="J12" s="15">
        <f>ROUND(G12/37-1,2)</f>
        <v>-0.68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220</v>
      </c>
      <c r="F13" s="10"/>
      <c r="G13" s="10">
        <f t="shared" si="0"/>
        <v>220</v>
      </c>
      <c r="H13" s="16">
        <f t="shared" si="1"/>
        <v>0.08</v>
      </c>
      <c r="I13" s="15">
        <f t="shared" si="2"/>
        <v>0</v>
      </c>
      <c r="J13" s="15">
        <f>ROUND(G13/221-1,2)</f>
        <v>0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900</v>
      </c>
      <c r="F14" s="10"/>
      <c r="G14" s="10">
        <f t="shared" si="0"/>
        <v>900</v>
      </c>
      <c r="H14" s="16">
        <f t="shared" si="1"/>
        <v>0.32</v>
      </c>
      <c r="I14" s="15">
        <f t="shared" si="2"/>
        <v>1E-3</v>
      </c>
      <c r="J14" s="15">
        <f>ROUND(G14/1600-1,2)</f>
        <v>-0.44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57020</v>
      </c>
      <c r="F15" s="10"/>
      <c r="G15" s="10">
        <f t="shared" si="0"/>
        <v>57020</v>
      </c>
      <c r="H15" s="16">
        <f t="shared" si="1"/>
        <v>20.22</v>
      </c>
      <c r="I15" s="15">
        <f t="shared" si="2"/>
        <v>5.6000000000000001E-2</v>
      </c>
      <c r="J15" s="15">
        <f>ROUND(G15/54390-1,2)</f>
        <v>0.05</v>
      </c>
    </row>
    <row r="16" spans="1:10" x14ac:dyDescent="0.25">
      <c r="A16" s="1" t="s">
        <v>16</v>
      </c>
      <c r="B16" s="1" t="s">
        <v>24</v>
      </c>
      <c r="C16" s="10">
        <v>103300</v>
      </c>
      <c r="D16" s="10"/>
      <c r="E16" s="10"/>
      <c r="F16" s="10"/>
      <c r="G16" s="10">
        <f t="shared" si="0"/>
        <v>103300</v>
      </c>
      <c r="H16" s="16">
        <f t="shared" si="1"/>
        <v>36.630000000000003</v>
      </c>
      <c r="I16" s="15">
        <f t="shared" si="2"/>
        <v>0.10100000000000001</v>
      </c>
      <c r="J16" s="15">
        <f>ROUND(G16/102080-1,2)</f>
        <v>0.01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5300</v>
      </c>
      <c r="F17" s="10"/>
      <c r="G17" s="10">
        <f t="shared" si="0"/>
        <v>5300</v>
      </c>
      <c r="H17" s="16">
        <f t="shared" si="1"/>
        <v>1.88</v>
      </c>
      <c r="I17" s="15">
        <f t="shared" si="2"/>
        <v>5.0000000000000001E-3</v>
      </c>
      <c r="J17" s="15">
        <f>ROUND(G17/4585-1,2)</f>
        <v>0.16</v>
      </c>
    </row>
    <row r="18" spans="1:10" x14ac:dyDescent="0.25">
      <c r="A18" s="1" t="s">
        <v>16</v>
      </c>
      <c r="B18" s="1" t="s">
        <v>26</v>
      </c>
      <c r="C18" s="10">
        <v>189800</v>
      </c>
      <c r="D18" s="10"/>
      <c r="E18" s="10"/>
      <c r="F18" s="10">
        <v>1360</v>
      </c>
      <c r="G18" s="10">
        <f t="shared" si="0"/>
        <v>191160</v>
      </c>
      <c r="H18" s="16">
        <f t="shared" si="1"/>
        <v>67.790000000000006</v>
      </c>
      <c r="I18" s="15">
        <f t="shared" si="2"/>
        <v>0.188</v>
      </c>
      <c r="J18" s="15">
        <f>ROUND(G18/192160-1,2)</f>
        <v>-0.01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238</v>
      </c>
      <c r="F19" s="10"/>
      <c r="G19" s="10">
        <f t="shared" si="0"/>
        <v>238</v>
      </c>
      <c r="H19" s="16">
        <f t="shared" si="1"/>
        <v>0.08</v>
      </c>
      <c r="I19" s="15">
        <f t="shared" si="2"/>
        <v>0</v>
      </c>
      <c r="J19" s="15">
        <f>ROUND(G19/656-1,2)</f>
        <v>-0.64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90</v>
      </c>
      <c r="F20" s="10"/>
      <c r="G20" s="10">
        <f t="shared" si="0"/>
        <v>90</v>
      </c>
      <c r="H20" s="16">
        <f t="shared" si="1"/>
        <v>0.03</v>
      </c>
      <c r="I20" s="15">
        <f t="shared" si="2"/>
        <v>0</v>
      </c>
      <c r="J20" s="15">
        <f>ROUND(G20/234-1,2)</f>
        <v>-0.62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4400</v>
      </c>
      <c r="F21" s="10"/>
      <c r="G21" s="10">
        <f t="shared" si="0"/>
        <v>4400</v>
      </c>
      <c r="H21" s="16">
        <f t="shared" si="1"/>
        <v>1.56</v>
      </c>
      <c r="I21" s="15">
        <f t="shared" si="2"/>
        <v>4.0000000000000001E-3</v>
      </c>
      <c r="J21" s="15">
        <f>ROUND(G21/5770-1,2)</f>
        <v>-0.24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580</v>
      </c>
      <c r="F22" s="10"/>
      <c r="G22" s="10">
        <f t="shared" si="0"/>
        <v>580</v>
      </c>
      <c r="H22" s="16">
        <f t="shared" si="1"/>
        <v>0.21</v>
      </c>
      <c r="I22" s="15">
        <f t="shared" si="2"/>
        <v>1E-3</v>
      </c>
      <c r="J22" s="15">
        <f>ROUND(G22/930-1,2)</f>
        <v>-0.38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1570</v>
      </c>
      <c r="F23" s="10"/>
      <c r="G23" s="10">
        <f t="shared" si="0"/>
        <v>1570</v>
      </c>
      <c r="H23" s="16">
        <f t="shared" si="1"/>
        <v>0.56000000000000005</v>
      </c>
      <c r="I23" s="15">
        <f t="shared" si="2"/>
        <v>2E-3</v>
      </c>
      <c r="J23" s="15">
        <f>ROUND(G23/1885-1,2)</f>
        <v>-0.17</v>
      </c>
    </row>
    <row r="24" spans="1:10" x14ac:dyDescent="0.25">
      <c r="A24" s="1" t="s">
        <v>16</v>
      </c>
      <c r="B24" s="1" t="s">
        <v>33</v>
      </c>
      <c r="C24" s="10"/>
      <c r="D24" s="10">
        <v>124</v>
      </c>
      <c r="E24" s="10">
        <v>52</v>
      </c>
      <c r="F24" s="10"/>
      <c r="G24" s="10">
        <f t="shared" si="0"/>
        <v>176</v>
      </c>
      <c r="H24" s="16">
        <f t="shared" si="1"/>
        <v>0.06</v>
      </c>
      <c r="I24" s="15">
        <f t="shared" si="2"/>
        <v>0</v>
      </c>
      <c r="J24" s="15">
        <f>ROUND(G24/192-1,2)</f>
        <v>-0.08</v>
      </c>
    </row>
    <row r="25" spans="1:10" x14ac:dyDescent="0.25">
      <c r="A25" s="1" t="s">
        <v>16</v>
      </c>
      <c r="B25" s="1" t="s">
        <v>34</v>
      </c>
      <c r="C25" s="10"/>
      <c r="D25" s="10"/>
      <c r="E25" s="10">
        <v>585</v>
      </c>
      <c r="F25" s="10"/>
      <c r="G25" s="10">
        <f t="shared" si="0"/>
        <v>585</v>
      </c>
      <c r="H25" s="16">
        <f t="shared" si="1"/>
        <v>0.21</v>
      </c>
      <c r="I25" s="15">
        <f t="shared" si="2"/>
        <v>1E-3</v>
      </c>
      <c r="J25" s="15">
        <f>ROUND(G25/705-1,2)</f>
        <v>-0.17</v>
      </c>
    </row>
    <row r="26" spans="1:10" x14ac:dyDescent="0.25">
      <c r="A26" s="1" t="s">
        <v>16</v>
      </c>
      <c r="B26" s="1" t="s">
        <v>35</v>
      </c>
      <c r="C26" s="10"/>
      <c r="D26" s="10">
        <v>50</v>
      </c>
      <c r="E26" s="10"/>
      <c r="F26" s="10"/>
      <c r="G26" s="10">
        <f t="shared" si="0"/>
        <v>50</v>
      </c>
      <c r="H26" s="16">
        <f t="shared" si="1"/>
        <v>0.02</v>
      </c>
      <c r="I26" s="15">
        <f t="shared" si="2"/>
        <v>0</v>
      </c>
      <c r="J26" s="15">
        <f>ROUND(G26/270-1,2)</f>
        <v>-0.81</v>
      </c>
    </row>
    <row r="27" spans="1:10" x14ac:dyDescent="0.25">
      <c r="A27" s="1" t="s">
        <v>16</v>
      </c>
      <c r="B27" s="1" t="s">
        <v>36</v>
      </c>
      <c r="C27" s="10"/>
      <c r="D27" s="10"/>
      <c r="E27" s="10">
        <v>1100</v>
      </c>
      <c r="F27" s="10"/>
      <c r="G27" s="10">
        <f t="shared" si="0"/>
        <v>1100</v>
      </c>
      <c r="H27" s="16">
        <f t="shared" si="1"/>
        <v>0.39</v>
      </c>
      <c r="I27" s="15">
        <f t="shared" si="2"/>
        <v>1E-3</v>
      </c>
      <c r="J27" s="15">
        <f>ROUND(G27/3184-1,2)</f>
        <v>-0.65</v>
      </c>
    </row>
    <row r="28" spans="1:10" x14ac:dyDescent="0.25">
      <c r="A28" s="1" t="s">
        <v>16</v>
      </c>
      <c r="B28" s="1" t="s">
        <v>43</v>
      </c>
      <c r="C28" s="10"/>
      <c r="D28" s="10"/>
      <c r="E28" s="10">
        <v>4540</v>
      </c>
      <c r="F28" s="10"/>
      <c r="G28" s="10">
        <f t="shared" si="0"/>
        <v>4540</v>
      </c>
      <c r="H28" s="16">
        <f t="shared" si="1"/>
        <v>1.61</v>
      </c>
      <c r="I28" s="15">
        <f t="shared" si="2"/>
        <v>4.0000000000000001E-3</v>
      </c>
      <c r="J28" s="15">
        <f>ROUND(G28/10385-1,2)</f>
        <v>-0.56000000000000005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2960</v>
      </c>
      <c r="F29" s="10"/>
      <c r="G29" s="10">
        <f t="shared" si="0"/>
        <v>2960</v>
      </c>
      <c r="H29" s="16">
        <f t="shared" si="1"/>
        <v>1.05</v>
      </c>
      <c r="I29" s="15">
        <f t="shared" si="2"/>
        <v>3.0000000000000001E-3</v>
      </c>
      <c r="J29" s="15">
        <f>ROUND(G29/3280-1,2)</f>
        <v>-0.1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70280</v>
      </c>
      <c r="F30" s="10"/>
      <c r="G30" s="10">
        <f t="shared" si="0"/>
        <v>70280</v>
      </c>
      <c r="H30" s="16">
        <f t="shared" si="1"/>
        <v>24.92</v>
      </c>
      <c r="I30" s="15">
        <f t="shared" si="2"/>
        <v>6.9000000000000006E-2</v>
      </c>
      <c r="J30" s="15">
        <f>ROUND(G30/71290-1,2)</f>
        <v>-0.01</v>
      </c>
    </row>
    <row r="31" spans="1:10" x14ac:dyDescent="0.25">
      <c r="A31" s="1" t="s">
        <v>16</v>
      </c>
      <c r="B31" s="1" t="s">
        <v>40</v>
      </c>
      <c r="C31" s="10"/>
      <c r="D31" s="10"/>
      <c r="E31" s="10">
        <v>28290</v>
      </c>
      <c r="F31" s="10"/>
      <c r="G31" s="10">
        <f t="shared" si="0"/>
        <v>28290</v>
      </c>
      <c r="H31" s="16">
        <f t="shared" si="1"/>
        <v>10.029999999999999</v>
      </c>
      <c r="I31" s="15">
        <f t="shared" si="2"/>
        <v>2.8000000000000001E-2</v>
      </c>
      <c r="J31" s="15">
        <f>ROUND(G31/22870-1,2)</f>
        <v>0.24</v>
      </c>
    </row>
    <row r="32" spans="1:10" x14ac:dyDescent="0.25">
      <c r="A32" s="1" t="s">
        <v>16</v>
      </c>
      <c r="B32" s="1" t="s">
        <v>41</v>
      </c>
      <c r="C32" s="10"/>
      <c r="D32" s="10"/>
      <c r="E32" s="10">
        <v>84690</v>
      </c>
      <c r="F32" s="10"/>
      <c r="G32" s="10">
        <f t="shared" si="0"/>
        <v>84690</v>
      </c>
      <c r="H32" s="16">
        <f t="shared" si="1"/>
        <v>30.03</v>
      </c>
      <c r="I32" s="15">
        <f t="shared" si="2"/>
        <v>8.3000000000000004E-2</v>
      </c>
      <c r="J32" s="15">
        <f>ROUND(G32/86880-1,2)</f>
        <v>-0.03</v>
      </c>
    </row>
    <row r="33" spans="1:10" x14ac:dyDescent="0.25">
      <c r="A33" s="1" t="s">
        <v>16</v>
      </c>
      <c r="B33" s="1" t="s">
        <v>42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ROUND(G33/110-1,2)</f>
        <v>-1</v>
      </c>
    </row>
    <row r="34" spans="1:10" x14ac:dyDescent="0.25">
      <c r="A34" s="1" t="s">
        <v>44</v>
      </c>
      <c r="B34" s="1" t="s">
        <v>45</v>
      </c>
      <c r="C34" s="10">
        <v>211820</v>
      </c>
      <c r="D34" s="10"/>
      <c r="E34" s="10"/>
      <c r="F34" s="10"/>
      <c r="G34" s="10">
        <f t="shared" si="0"/>
        <v>211820</v>
      </c>
      <c r="H34" s="16">
        <f t="shared" si="1"/>
        <v>75.11</v>
      </c>
      <c r="I34" s="15">
        <f t="shared" si="2"/>
        <v>0.20799999999999999</v>
      </c>
      <c r="J34" s="15">
        <f>ROUND(G34/200860-1,2)</f>
        <v>0.05</v>
      </c>
    </row>
    <row r="35" spans="1:10" x14ac:dyDescent="0.25">
      <c r="A35" s="1" t="s">
        <v>44</v>
      </c>
      <c r="B35" s="1" t="s">
        <v>46</v>
      </c>
      <c r="C35" s="10"/>
      <c r="D35" s="10"/>
      <c r="E35" s="10">
        <v>68740</v>
      </c>
      <c r="F35" s="10"/>
      <c r="G35" s="10">
        <f t="shared" si="0"/>
        <v>68740</v>
      </c>
      <c r="H35" s="16">
        <f t="shared" si="1"/>
        <v>24.38</v>
      </c>
      <c r="I35" s="15">
        <f t="shared" si="2"/>
        <v>6.7000000000000004E-2</v>
      </c>
      <c r="J35" s="15">
        <f>ROUND(G35/67840-1,2)</f>
        <v>0.01</v>
      </c>
    </row>
    <row r="36" spans="1:10" x14ac:dyDescent="0.25">
      <c r="A36" s="1" t="s">
        <v>48</v>
      </c>
      <c r="B36" s="1" t="s">
        <v>51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48</v>
      </c>
      <c r="B37" s="1" t="s">
        <v>159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48</v>
      </c>
      <c r="B38" s="1" t="s">
        <v>50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27" t="s">
        <v>12</v>
      </c>
      <c r="B39" s="27"/>
      <c r="C39" s="11">
        <f t="shared" ref="C39:H39" si="3">SUM(C8:C38)</f>
        <v>685940</v>
      </c>
      <c r="D39" s="11">
        <f t="shared" si="3"/>
        <v>174</v>
      </c>
      <c r="E39" s="11">
        <f t="shared" si="3"/>
        <v>331661</v>
      </c>
      <c r="F39" s="11">
        <f t="shared" si="3"/>
        <v>1360</v>
      </c>
      <c r="G39" s="11">
        <f t="shared" si="3"/>
        <v>1019135</v>
      </c>
      <c r="H39" s="14">
        <f t="shared" si="3"/>
        <v>361.39000000000004</v>
      </c>
      <c r="I39" s="17"/>
      <c r="J39" s="17"/>
    </row>
    <row r="40" spans="1:10" x14ac:dyDescent="0.25">
      <c r="A40" s="27" t="s">
        <v>14</v>
      </c>
      <c r="B40" s="27"/>
      <c r="C40" s="12">
        <f>ROUND(C39/G39,2)</f>
        <v>0.67</v>
      </c>
      <c r="D40" s="12">
        <f>ROUND(D39/G39,2)</f>
        <v>0</v>
      </c>
      <c r="E40" s="12">
        <f>ROUND(E39/G39,2)</f>
        <v>0.33</v>
      </c>
      <c r="F40" s="12">
        <f>ROUND(F39/G39,2)</f>
        <v>0</v>
      </c>
      <c r="G40" s="13"/>
      <c r="H40" s="13"/>
      <c r="I40" s="17"/>
      <c r="J40" s="17"/>
    </row>
    <row r="41" spans="1:10" x14ac:dyDescent="0.25">
      <c r="A41" s="2" t="s">
        <v>52</v>
      </c>
      <c r="B41" s="2"/>
      <c r="C41" s="13"/>
      <c r="D41" s="13"/>
      <c r="E41" s="13"/>
      <c r="F41" s="13"/>
      <c r="G41" s="13"/>
      <c r="H41" s="13"/>
      <c r="I41" s="17"/>
      <c r="J41" s="17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A45" s="27" t="s">
        <v>53</v>
      </c>
      <c r="B45" s="27"/>
      <c r="C45" s="11" t="s">
        <v>8</v>
      </c>
      <c r="D45" s="11" t="s">
        <v>9</v>
      </c>
      <c r="E45" s="11" t="s">
        <v>10</v>
      </c>
      <c r="F45" s="11" t="s">
        <v>11</v>
      </c>
      <c r="G45" s="11" t="s">
        <v>12</v>
      </c>
      <c r="H45" s="14" t="s">
        <v>13</v>
      </c>
      <c r="I45" s="17"/>
      <c r="J45" s="17"/>
    </row>
    <row r="46" spans="1:10" x14ac:dyDescent="0.25">
      <c r="A46" s="22" t="s">
        <v>54</v>
      </c>
      <c r="B46" s="22"/>
      <c r="C46" s="10">
        <v>474120</v>
      </c>
      <c r="D46" s="10">
        <v>174</v>
      </c>
      <c r="E46" s="10">
        <v>262921</v>
      </c>
      <c r="F46" s="10">
        <v>1360</v>
      </c>
      <c r="G46" s="10">
        <f>SUM(C46:F46)</f>
        <v>738575</v>
      </c>
      <c r="H46" s="16">
        <f>ROUND(G46/2820,2)</f>
        <v>261.91000000000003</v>
      </c>
      <c r="I46" s="9"/>
      <c r="J46" s="9"/>
    </row>
    <row r="47" spans="1:10" x14ac:dyDescent="0.25">
      <c r="A47" s="22" t="s">
        <v>55</v>
      </c>
      <c r="B47" s="22"/>
      <c r="C47" s="10">
        <v>211820</v>
      </c>
      <c r="D47" s="10">
        <v>0</v>
      </c>
      <c r="E47" s="10">
        <v>68740</v>
      </c>
      <c r="F47" s="10">
        <v>0</v>
      </c>
      <c r="G47" s="10">
        <f>SUM(C47:F47)</f>
        <v>280560</v>
      </c>
      <c r="H47" s="16">
        <f>ROUND(G47/2820,2)</f>
        <v>99.49</v>
      </c>
      <c r="I47" s="9"/>
      <c r="J47" s="9"/>
    </row>
    <row r="48" spans="1:10" x14ac:dyDescent="0.25">
      <c r="A48" s="22" t="s">
        <v>56</v>
      </c>
      <c r="B48" s="22"/>
      <c r="C48" s="10">
        <v>0</v>
      </c>
      <c r="D48" s="10">
        <v>0</v>
      </c>
      <c r="E48" s="10">
        <v>0</v>
      </c>
      <c r="F48" s="10">
        <v>0</v>
      </c>
      <c r="G48" s="10">
        <f>SUM(C48:F48)</f>
        <v>0</v>
      </c>
      <c r="H48" s="16">
        <f>ROUND(G48/2820,2)</f>
        <v>0</v>
      </c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A53" s="27" t="s">
        <v>57</v>
      </c>
      <c r="B53" s="27"/>
      <c r="C53" s="14" t="s">
        <v>2</v>
      </c>
      <c r="D53" s="14">
        <v>2023</v>
      </c>
      <c r="E53" s="14" t="s">
        <v>59</v>
      </c>
      <c r="F53" s="13"/>
      <c r="G53" s="14" t="s">
        <v>60</v>
      </c>
      <c r="H53" s="14" t="s">
        <v>2</v>
      </c>
      <c r="I53" s="12" t="s">
        <v>61</v>
      </c>
      <c r="J53" s="12" t="s">
        <v>59</v>
      </c>
    </row>
    <row r="54" spans="1:10" x14ac:dyDescent="0.25">
      <c r="A54" s="22" t="s">
        <v>58</v>
      </c>
      <c r="B54" s="22"/>
      <c r="C54" s="15">
        <f>ROUND(0.779, 4)</f>
        <v>0.77900000000000003</v>
      </c>
      <c r="D54" s="15">
        <f>ROUND(0.782, 4)</f>
        <v>0.78200000000000003</v>
      </c>
      <c r="E54" s="15">
        <f>ROUND(0.777, 4)</f>
        <v>0.77700000000000002</v>
      </c>
      <c r="F54" s="8"/>
      <c r="G54" s="14" t="s">
        <v>62</v>
      </c>
      <c r="H54" s="28" t="s">
        <v>63</v>
      </c>
      <c r="I54" s="25" t="s">
        <v>64</v>
      </c>
      <c r="J54" s="25" t="s">
        <v>65</v>
      </c>
    </row>
    <row r="55" spans="1:10" x14ac:dyDescent="0.25">
      <c r="A55" s="22" t="s">
        <v>66</v>
      </c>
      <c r="B55" s="22"/>
      <c r="C55" s="15">
        <f>ROUND(0.7681, 4)</f>
        <v>0.7681</v>
      </c>
      <c r="D55" s="15">
        <f>ROUND(0.7714, 4)</f>
        <v>0.77139999999999997</v>
      </c>
      <c r="E55" s="15">
        <f>ROUND(0.7608, 4)</f>
        <v>0.76080000000000003</v>
      </c>
      <c r="F55" s="8"/>
      <c r="G55" s="14" t="s">
        <v>67</v>
      </c>
      <c r="H55" s="29"/>
      <c r="I55" s="26"/>
      <c r="J55" s="26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68</v>
      </c>
      <c r="B59" s="27"/>
      <c r="C59" s="14" t="s">
        <v>2</v>
      </c>
      <c r="D59" s="14" t="s">
        <v>269</v>
      </c>
      <c r="E59" s="14" t="s">
        <v>70</v>
      </c>
      <c r="F59" s="14" t="s">
        <v>71</v>
      </c>
      <c r="G59" s="14" t="s">
        <v>72</v>
      </c>
      <c r="H59" s="13"/>
      <c r="I59" s="17"/>
      <c r="J59" s="17"/>
    </row>
    <row r="60" spans="1:10" x14ac:dyDescent="0.25">
      <c r="A60" s="22" t="s">
        <v>73</v>
      </c>
      <c r="B60" s="22"/>
      <c r="C60" s="16">
        <v>75.11</v>
      </c>
      <c r="D60" s="16">
        <v>75.36</v>
      </c>
      <c r="E60" s="16">
        <v>92.53</v>
      </c>
      <c r="F60" s="16">
        <v>56.06</v>
      </c>
      <c r="G60" s="16">
        <f>12/11*C60</f>
        <v>81.938181818181818</v>
      </c>
      <c r="H60" s="8"/>
      <c r="I60" s="9"/>
      <c r="J60" s="9"/>
    </row>
    <row r="61" spans="1:10" x14ac:dyDescent="0.25">
      <c r="A61" s="22" t="s">
        <v>74</v>
      </c>
      <c r="B61" s="22"/>
      <c r="C61" s="16">
        <v>67.790000000000006</v>
      </c>
      <c r="D61" s="16">
        <v>73.63</v>
      </c>
      <c r="E61" s="16">
        <v>61.98</v>
      </c>
      <c r="F61" s="16">
        <v>64.09</v>
      </c>
      <c r="G61" s="16">
        <f>12/11*C61</f>
        <v>73.952727272727273</v>
      </c>
      <c r="H61" s="8"/>
      <c r="I61" s="9"/>
      <c r="J61" s="9"/>
    </row>
    <row r="62" spans="1:10" x14ac:dyDescent="0.25">
      <c r="A62" s="22" t="s">
        <v>75</v>
      </c>
      <c r="B62" s="22"/>
      <c r="C62" s="16">
        <v>261.91000000000003</v>
      </c>
      <c r="D62" s="16">
        <v>268.27999999999997</v>
      </c>
      <c r="E62" s="16">
        <v>291.51</v>
      </c>
      <c r="F62" s="16">
        <v>284.45</v>
      </c>
      <c r="G62" s="16">
        <f>12/11*C62</f>
        <v>285.72000000000003</v>
      </c>
      <c r="H62" s="8"/>
      <c r="I62" s="9"/>
      <c r="J62" s="9"/>
    </row>
    <row r="63" spans="1:10" x14ac:dyDescent="0.25">
      <c r="A63" s="22" t="s">
        <v>76</v>
      </c>
      <c r="B63" s="22"/>
      <c r="C63" s="16">
        <v>99.49</v>
      </c>
      <c r="D63" s="16">
        <v>100.33</v>
      </c>
      <c r="E63" s="16">
        <v>116.46</v>
      </c>
      <c r="F63" s="16">
        <v>79.959999999999994</v>
      </c>
      <c r="G63" s="16">
        <f>12/11*C63</f>
        <v>108.53454545454544</v>
      </c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3" t="s">
        <v>60</v>
      </c>
      <c r="B66" s="24"/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77</v>
      </c>
      <c r="B67" s="1" t="s">
        <v>270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70</v>
      </c>
      <c r="B68" s="1" t="s">
        <v>79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71</v>
      </c>
      <c r="B69" s="1" t="s">
        <v>80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72</v>
      </c>
      <c r="B70" s="1" t="s">
        <v>81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</sheetData>
  <mergeCells count="19">
    <mergeCell ref="C7:G7"/>
    <mergeCell ref="A39:B39"/>
    <mergeCell ref="A40:B40"/>
    <mergeCell ref="A45:B45"/>
    <mergeCell ref="A46:B46"/>
    <mergeCell ref="J54:J55"/>
    <mergeCell ref="A55:B55"/>
    <mergeCell ref="A59:B59"/>
    <mergeCell ref="A60:B60"/>
    <mergeCell ref="A47:B47"/>
    <mergeCell ref="A48:B48"/>
    <mergeCell ref="A53:B53"/>
    <mergeCell ref="A54:B54"/>
    <mergeCell ref="H54:H55"/>
    <mergeCell ref="A61:B61"/>
    <mergeCell ref="A62:B62"/>
    <mergeCell ref="A63:B63"/>
    <mergeCell ref="A66:B66"/>
    <mergeCell ref="I54:I55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J71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7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271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509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11</v>
      </c>
      <c r="F9" s="10"/>
      <c r="G9" s="10">
        <f t="shared" ref="G9:G39" si="0">SUM(C9:F9)</f>
        <v>11</v>
      </c>
      <c r="H9" s="16">
        <f t="shared" ref="H9:H39" si="1">ROUND(G9/509,2)</f>
        <v>0.02</v>
      </c>
      <c r="I9" s="15">
        <f t="shared" ref="I9:I39" si="2">ROUND(G9/$G$40,3)</f>
        <v>0</v>
      </c>
      <c r="J9" s="15"/>
    </row>
    <row r="10" spans="1:10" x14ac:dyDescent="0.25">
      <c r="A10" s="1" t="s">
        <v>16</v>
      </c>
      <c r="B10" s="1" t="s">
        <v>19</v>
      </c>
      <c r="C10" s="10">
        <v>19670</v>
      </c>
      <c r="D10" s="10"/>
      <c r="E10" s="10">
        <v>2149</v>
      </c>
      <c r="F10" s="10"/>
      <c r="G10" s="10">
        <f t="shared" si="0"/>
        <v>21819</v>
      </c>
      <c r="H10" s="16">
        <f t="shared" si="1"/>
        <v>42.87</v>
      </c>
      <c r="I10" s="15">
        <f t="shared" si="2"/>
        <v>8.1000000000000003E-2</v>
      </c>
      <c r="J10" s="15">
        <f>ROUND(G10/20719.26-1,2)</f>
        <v>0.05</v>
      </c>
    </row>
    <row r="11" spans="1:10" x14ac:dyDescent="0.25">
      <c r="A11" s="1" t="s">
        <v>16</v>
      </c>
      <c r="B11" s="1" t="s">
        <v>20</v>
      </c>
      <c r="C11" s="10">
        <v>30010</v>
      </c>
      <c r="D11" s="10"/>
      <c r="E11" s="10"/>
      <c r="F11" s="10"/>
      <c r="G11" s="10">
        <f t="shared" si="0"/>
        <v>30010</v>
      </c>
      <c r="H11" s="16">
        <f t="shared" si="1"/>
        <v>58.96</v>
      </c>
      <c r="I11" s="15">
        <f t="shared" si="2"/>
        <v>0.112</v>
      </c>
      <c r="J11" s="15">
        <f>ROUND(G11/29005-1,2)</f>
        <v>0.03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70</v>
      </c>
      <c r="F12" s="10"/>
      <c r="G12" s="10">
        <f t="shared" si="0"/>
        <v>70</v>
      </c>
      <c r="H12" s="16">
        <f t="shared" si="1"/>
        <v>0.14000000000000001</v>
      </c>
      <c r="I12" s="15">
        <f t="shared" si="2"/>
        <v>0</v>
      </c>
      <c r="J12" s="15">
        <f>ROUND(G12/26.35-1,2)</f>
        <v>1.66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365</v>
      </c>
      <c r="F13" s="10"/>
      <c r="G13" s="10">
        <f t="shared" si="0"/>
        <v>365</v>
      </c>
      <c r="H13" s="16">
        <f t="shared" si="1"/>
        <v>0.72</v>
      </c>
      <c r="I13" s="15">
        <f t="shared" si="2"/>
        <v>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18996</v>
      </c>
      <c r="F14" s="10"/>
      <c r="G14" s="10">
        <f t="shared" si="0"/>
        <v>18996</v>
      </c>
      <c r="H14" s="16">
        <f t="shared" si="1"/>
        <v>37.32</v>
      </c>
      <c r="I14" s="15">
        <f t="shared" si="2"/>
        <v>7.0999999999999994E-2</v>
      </c>
      <c r="J14" s="15">
        <f>ROUND(G14/8129.05-1,2)</f>
        <v>1.34</v>
      </c>
    </row>
    <row r="15" spans="1:10" x14ac:dyDescent="0.25">
      <c r="A15" s="1" t="s">
        <v>16</v>
      </c>
      <c r="B15" s="1" t="s">
        <v>24</v>
      </c>
      <c r="C15" s="10">
        <v>26530</v>
      </c>
      <c r="D15" s="10"/>
      <c r="E15" s="10">
        <v>7061</v>
      </c>
      <c r="F15" s="10"/>
      <c r="G15" s="10">
        <f t="shared" si="0"/>
        <v>33591</v>
      </c>
      <c r="H15" s="16">
        <f t="shared" si="1"/>
        <v>65.989999999999995</v>
      </c>
      <c r="I15" s="15">
        <f t="shared" si="2"/>
        <v>0.125</v>
      </c>
      <c r="J15" s="15">
        <f>ROUND(G15/28631.26-1,2)</f>
        <v>0.17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2001</v>
      </c>
      <c r="F16" s="10"/>
      <c r="G16" s="10">
        <f t="shared" si="0"/>
        <v>2001</v>
      </c>
      <c r="H16" s="16">
        <f t="shared" si="1"/>
        <v>3.93</v>
      </c>
      <c r="I16" s="15">
        <f t="shared" si="2"/>
        <v>7.0000000000000001E-3</v>
      </c>
      <c r="J16" s="15"/>
    </row>
    <row r="17" spans="1:10" x14ac:dyDescent="0.25">
      <c r="A17" s="1" t="s">
        <v>16</v>
      </c>
      <c r="B17" s="1" t="s">
        <v>26</v>
      </c>
      <c r="C17" s="10">
        <v>15270</v>
      </c>
      <c r="D17" s="10"/>
      <c r="E17" s="10"/>
      <c r="F17" s="10"/>
      <c r="G17" s="10">
        <f t="shared" si="0"/>
        <v>15270</v>
      </c>
      <c r="H17" s="16">
        <f t="shared" si="1"/>
        <v>30</v>
      </c>
      <c r="I17" s="15">
        <f t="shared" si="2"/>
        <v>5.7000000000000002E-2</v>
      </c>
      <c r="J17" s="15">
        <f>ROUND(G17/21280-1,2)</f>
        <v>-0.28000000000000003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221</v>
      </c>
      <c r="F18" s="10"/>
      <c r="G18" s="10">
        <f t="shared" si="0"/>
        <v>221</v>
      </c>
      <c r="H18" s="16">
        <f t="shared" si="1"/>
        <v>0.43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109</v>
      </c>
      <c r="F19" s="10"/>
      <c r="G19" s="10">
        <f t="shared" si="0"/>
        <v>109</v>
      </c>
      <c r="H19" s="16">
        <f t="shared" si="1"/>
        <v>0.21</v>
      </c>
      <c r="I19" s="15">
        <f t="shared" si="2"/>
        <v>0</v>
      </c>
      <c r="J19" s="15"/>
    </row>
    <row r="20" spans="1:10" x14ac:dyDescent="0.25">
      <c r="A20" s="1" t="s">
        <v>16</v>
      </c>
      <c r="B20" s="1" t="s">
        <v>42</v>
      </c>
      <c r="C20" s="10"/>
      <c r="D20" s="10"/>
      <c r="E20" s="10">
        <v>27</v>
      </c>
      <c r="F20" s="10"/>
      <c r="G20" s="10">
        <f t="shared" si="0"/>
        <v>27</v>
      </c>
      <c r="H20" s="16">
        <f t="shared" si="1"/>
        <v>0.05</v>
      </c>
      <c r="I20" s="15">
        <f t="shared" si="2"/>
        <v>0</v>
      </c>
      <c r="J20" s="15">
        <f>ROUND(G20/12.25-1,2)</f>
        <v>1.2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329</v>
      </c>
      <c r="F21" s="10"/>
      <c r="G21" s="10">
        <f t="shared" si="0"/>
        <v>329</v>
      </c>
      <c r="H21" s="16">
        <f t="shared" si="1"/>
        <v>0.65</v>
      </c>
      <c r="I21" s="15">
        <f t="shared" si="2"/>
        <v>1E-3</v>
      </c>
      <c r="J21" s="15">
        <f>ROUND(G21/331.98-1,2)</f>
        <v>-0.01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129</v>
      </c>
      <c r="F22" s="10"/>
      <c r="G22" s="10">
        <f t="shared" si="0"/>
        <v>129</v>
      </c>
      <c r="H22" s="16">
        <f t="shared" si="1"/>
        <v>0.25</v>
      </c>
      <c r="I22" s="15">
        <f t="shared" si="2"/>
        <v>0</v>
      </c>
      <c r="J22" s="15">
        <f>ROUND(G22/9.23-1,2)</f>
        <v>12.98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29</v>
      </c>
      <c r="F23" s="10"/>
      <c r="G23" s="10">
        <f t="shared" si="0"/>
        <v>29</v>
      </c>
      <c r="H23" s="16">
        <f t="shared" si="1"/>
        <v>0.06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32</v>
      </c>
      <c r="C24" s="10"/>
      <c r="D24" s="10"/>
      <c r="E24" s="10">
        <v>648</v>
      </c>
      <c r="F24" s="10"/>
      <c r="G24" s="10">
        <f t="shared" si="0"/>
        <v>648</v>
      </c>
      <c r="H24" s="16">
        <f t="shared" si="1"/>
        <v>1.27</v>
      </c>
      <c r="I24" s="15">
        <f t="shared" si="2"/>
        <v>2E-3</v>
      </c>
      <c r="J24" s="15">
        <f>ROUND(G24/154.02-1,2)</f>
        <v>3.21</v>
      </c>
    </row>
    <row r="25" spans="1:10" x14ac:dyDescent="0.25">
      <c r="A25" s="1" t="s">
        <v>16</v>
      </c>
      <c r="B25" s="1" t="s">
        <v>33</v>
      </c>
      <c r="C25" s="10"/>
      <c r="D25" s="10"/>
      <c r="E25" s="10">
        <v>37</v>
      </c>
      <c r="F25" s="10"/>
      <c r="G25" s="10">
        <f t="shared" si="0"/>
        <v>37</v>
      </c>
      <c r="H25" s="16">
        <f t="shared" si="1"/>
        <v>7.0000000000000007E-2</v>
      </c>
      <c r="I25" s="15">
        <f t="shared" si="2"/>
        <v>0</v>
      </c>
      <c r="J25" s="15">
        <f>ROUND(G25/21.82-1,2)</f>
        <v>0.7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55</v>
      </c>
      <c r="F26" s="10"/>
      <c r="G26" s="10">
        <f t="shared" si="0"/>
        <v>55</v>
      </c>
      <c r="H26" s="16">
        <f t="shared" si="1"/>
        <v>0.11</v>
      </c>
      <c r="I26" s="15">
        <f t="shared" si="2"/>
        <v>0</v>
      </c>
      <c r="J26" s="15"/>
    </row>
    <row r="27" spans="1:10" x14ac:dyDescent="0.25">
      <c r="A27" s="1" t="s">
        <v>16</v>
      </c>
      <c r="B27" s="1" t="s">
        <v>35</v>
      </c>
      <c r="C27" s="10"/>
      <c r="D27" s="10"/>
      <c r="E27" s="10">
        <v>82</v>
      </c>
      <c r="F27" s="10"/>
      <c r="G27" s="10">
        <f t="shared" si="0"/>
        <v>82</v>
      </c>
      <c r="H27" s="16">
        <f t="shared" si="1"/>
        <v>0.16</v>
      </c>
      <c r="I27" s="15">
        <f t="shared" si="2"/>
        <v>0</v>
      </c>
      <c r="J27" s="15"/>
    </row>
    <row r="28" spans="1:10" x14ac:dyDescent="0.25">
      <c r="A28" s="1" t="s">
        <v>16</v>
      </c>
      <c r="B28" s="1" t="s">
        <v>37</v>
      </c>
      <c r="C28" s="10"/>
      <c r="D28" s="10"/>
      <c r="E28" s="10">
        <v>1022</v>
      </c>
      <c r="F28" s="10"/>
      <c r="G28" s="10">
        <f t="shared" si="0"/>
        <v>1022</v>
      </c>
      <c r="H28" s="16">
        <f t="shared" si="1"/>
        <v>2.0099999999999998</v>
      </c>
      <c r="I28" s="15">
        <f t="shared" si="2"/>
        <v>4.0000000000000001E-3</v>
      </c>
      <c r="J28" s="15">
        <f>ROUND(G28/315.38-1,2)</f>
        <v>2.2400000000000002</v>
      </c>
    </row>
    <row r="29" spans="1:10" x14ac:dyDescent="0.25">
      <c r="A29" s="1" t="s">
        <v>16</v>
      </c>
      <c r="B29" s="1" t="s">
        <v>43</v>
      </c>
      <c r="C29" s="10"/>
      <c r="D29" s="10"/>
      <c r="E29" s="10">
        <v>574</v>
      </c>
      <c r="F29" s="10"/>
      <c r="G29" s="10">
        <f t="shared" si="0"/>
        <v>574</v>
      </c>
      <c r="H29" s="16">
        <f t="shared" si="1"/>
        <v>1.1299999999999999</v>
      </c>
      <c r="I29" s="15">
        <f t="shared" si="2"/>
        <v>2E-3</v>
      </c>
      <c r="J29" s="15"/>
    </row>
    <row r="30" spans="1:10" x14ac:dyDescent="0.25">
      <c r="A30" s="1" t="s">
        <v>16</v>
      </c>
      <c r="B30" s="1" t="s">
        <v>38</v>
      </c>
      <c r="C30" s="10"/>
      <c r="D30" s="10"/>
      <c r="E30" s="10">
        <v>18759</v>
      </c>
      <c r="F30" s="10"/>
      <c r="G30" s="10">
        <f t="shared" si="0"/>
        <v>18759</v>
      </c>
      <c r="H30" s="16">
        <f t="shared" si="1"/>
        <v>36.85</v>
      </c>
      <c r="I30" s="15">
        <f t="shared" si="2"/>
        <v>7.0000000000000007E-2</v>
      </c>
      <c r="J30" s="15">
        <f>ROUND(G30/6878.4-1,2)</f>
        <v>1.73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1380</v>
      </c>
      <c r="F31" s="10"/>
      <c r="G31" s="10">
        <f t="shared" si="0"/>
        <v>1380</v>
      </c>
      <c r="H31" s="16">
        <f t="shared" si="1"/>
        <v>2.71</v>
      </c>
      <c r="I31" s="15">
        <f t="shared" si="2"/>
        <v>5.0000000000000001E-3</v>
      </c>
      <c r="J31" s="15">
        <f>ROUND(G31/383.53-1,2)</f>
        <v>2.6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4658</v>
      </c>
      <c r="F32" s="10"/>
      <c r="G32" s="10">
        <f t="shared" si="0"/>
        <v>4658</v>
      </c>
      <c r="H32" s="16">
        <f t="shared" si="1"/>
        <v>9.15</v>
      </c>
      <c r="I32" s="15">
        <f t="shared" si="2"/>
        <v>1.7000000000000001E-2</v>
      </c>
      <c r="J32" s="15">
        <f>ROUND(G32/1575.16-1,2)</f>
        <v>1.96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5859</v>
      </c>
      <c r="F33" s="10"/>
      <c r="G33" s="10">
        <f t="shared" si="0"/>
        <v>5859</v>
      </c>
      <c r="H33" s="16">
        <f t="shared" si="1"/>
        <v>11.51</v>
      </c>
      <c r="I33" s="15">
        <f t="shared" si="2"/>
        <v>2.1999999999999999E-2</v>
      </c>
      <c r="J33" s="15">
        <f>ROUND(G33/589.29-1,2)</f>
        <v>8.94</v>
      </c>
    </row>
    <row r="34" spans="1:10" x14ac:dyDescent="0.25">
      <c r="A34" s="1" t="s">
        <v>16</v>
      </c>
      <c r="B34" s="1" t="s">
        <v>36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ROUND(G34/347.5-1,2)</f>
        <v>-1</v>
      </c>
    </row>
    <row r="35" spans="1:10" x14ac:dyDescent="0.25">
      <c r="A35" s="1" t="s">
        <v>16</v>
      </c>
      <c r="B35" s="1" t="s">
        <v>120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44</v>
      </c>
      <c r="B36" s="1" t="s">
        <v>45</v>
      </c>
      <c r="C36" s="10">
        <v>102280</v>
      </c>
      <c r="D36" s="10"/>
      <c r="E36" s="10"/>
      <c r="F36" s="10"/>
      <c r="G36" s="10">
        <f t="shared" si="0"/>
        <v>102280</v>
      </c>
      <c r="H36" s="16">
        <f t="shared" si="1"/>
        <v>200.94</v>
      </c>
      <c r="I36" s="15">
        <f t="shared" si="2"/>
        <v>0.38100000000000001</v>
      </c>
      <c r="J36" s="15">
        <f>ROUND(G36/93960-1,2)</f>
        <v>0.09</v>
      </c>
    </row>
    <row r="37" spans="1:10" x14ac:dyDescent="0.25">
      <c r="A37" s="1" t="s">
        <v>44</v>
      </c>
      <c r="B37" s="1" t="s">
        <v>46</v>
      </c>
      <c r="C37" s="10"/>
      <c r="D37" s="10"/>
      <c r="E37" s="10">
        <v>10019</v>
      </c>
      <c r="F37" s="10"/>
      <c r="G37" s="10">
        <f t="shared" si="0"/>
        <v>10019</v>
      </c>
      <c r="H37" s="16">
        <f t="shared" si="1"/>
        <v>19.68</v>
      </c>
      <c r="I37" s="15">
        <f t="shared" si="2"/>
        <v>3.6999999999999998E-2</v>
      </c>
      <c r="J37" s="15">
        <f>ROUND(G37/3751.58-1,2)</f>
        <v>1.67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27" t="s">
        <v>12</v>
      </c>
      <c r="B40" s="27"/>
      <c r="C40" s="11">
        <f t="shared" ref="C40:H40" si="3">SUM(C8:C39)</f>
        <v>193760</v>
      </c>
      <c r="D40" s="11">
        <f t="shared" si="3"/>
        <v>0</v>
      </c>
      <c r="E40" s="11">
        <f t="shared" si="3"/>
        <v>74590</v>
      </c>
      <c r="F40" s="11">
        <f t="shared" si="3"/>
        <v>0</v>
      </c>
      <c r="G40" s="11">
        <f t="shared" si="3"/>
        <v>268350</v>
      </c>
      <c r="H40" s="14">
        <f t="shared" si="3"/>
        <v>527.18999999999994</v>
      </c>
      <c r="I40" s="17"/>
      <c r="J40" s="17"/>
    </row>
    <row r="41" spans="1:10" x14ac:dyDescent="0.25">
      <c r="A41" s="27" t="s">
        <v>14</v>
      </c>
      <c r="B41" s="27"/>
      <c r="C41" s="12">
        <f>ROUND(C40/G40,2)</f>
        <v>0.72</v>
      </c>
      <c r="D41" s="12">
        <f>ROUND(D40/G40,2)</f>
        <v>0</v>
      </c>
      <c r="E41" s="12">
        <f>ROUND(E40/G40,2)</f>
        <v>0.28000000000000003</v>
      </c>
      <c r="F41" s="12">
        <f>ROUND(F40/G40,2)</f>
        <v>0</v>
      </c>
      <c r="G41" s="13"/>
      <c r="H41" s="13"/>
      <c r="I41" s="17"/>
      <c r="J41" s="17"/>
    </row>
    <row r="42" spans="1:10" x14ac:dyDescent="0.25">
      <c r="A42" s="2" t="s">
        <v>52</v>
      </c>
      <c r="B42" s="2"/>
      <c r="C42" s="13"/>
      <c r="D42" s="13"/>
      <c r="E42" s="13"/>
      <c r="F42" s="13"/>
      <c r="G42" s="13"/>
      <c r="H42" s="13"/>
      <c r="I42" s="17"/>
      <c r="J42" s="17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7" t="s">
        <v>53</v>
      </c>
      <c r="B46" s="27"/>
      <c r="C46" s="11" t="s">
        <v>8</v>
      </c>
      <c r="D46" s="11" t="s">
        <v>9</v>
      </c>
      <c r="E46" s="11" t="s">
        <v>10</v>
      </c>
      <c r="F46" s="11" t="s">
        <v>11</v>
      </c>
      <c r="G46" s="11" t="s">
        <v>12</v>
      </c>
      <c r="H46" s="14" t="s">
        <v>13</v>
      </c>
      <c r="I46" s="17"/>
      <c r="J46" s="17"/>
    </row>
    <row r="47" spans="1:10" x14ac:dyDescent="0.25">
      <c r="A47" s="22" t="s">
        <v>54</v>
      </c>
      <c r="B47" s="22"/>
      <c r="C47" s="10">
        <v>91480</v>
      </c>
      <c r="D47" s="10">
        <v>0</v>
      </c>
      <c r="E47" s="10">
        <v>64571</v>
      </c>
      <c r="F47" s="10">
        <v>0</v>
      </c>
      <c r="G47" s="10">
        <f>SUM(C47:F47)</f>
        <v>156051</v>
      </c>
      <c r="H47" s="16">
        <f>ROUND(G47/509,2)</f>
        <v>306.58</v>
      </c>
      <c r="I47" s="9"/>
      <c r="J47" s="9"/>
    </row>
    <row r="48" spans="1:10" x14ac:dyDescent="0.25">
      <c r="A48" s="22" t="s">
        <v>55</v>
      </c>
      <c r="B48" s="22"/>
      <c r="C48" s="10">
        <v>102280</v>
      </c>
      <c r="D48" s="10">
        <v>0</v>
      </c>
      <c r="E48" s="10">
        <v>10019</v>
      </c>
      <c r="F48" s="10">
        <v>0</v>
      </c>
      <c r="G48" s="10">
        <f>SUM(C48:F48)</f>
        <v>112299</v>
      </c>
      <c r="H48" s="16">
        <f>ROUND(G48/509,2)</f>
        <v>220.63</v>
      </c>
      <c r="I48" s="9"/>
      <c r="J48" s="9"/>
    </row>
    <row r="49" spans="1:10" x14ac:dyDescent="0.25">
      <c r="A49" s="22" t="s">
        <v>56</v>
      </c>
      <c r="B49" s="22"/>
      <c r="C49" s="10">
        <v>0</v>
      </c>
      <c r="D49" s="10">
        <v>0</v>
      </c>
      <c r="E49" s="10">
        <v>0</v>
      </c>
      <c r="F49" s="10">
        <v>0</v>
      </c>
      <c r="G49" s="10">
        <f>SUM(C49:F49)</f>
        <v>0</v>
      </c>
      <c r="H49" s="16">
        <f>ROUND(G49/509,2)</f>
        <v>0</v>
      </c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57</v>
      </c>
      <c r="B54" s="27"/>
      <c r="C54" s="14" t="s">
        <v>2</v>
      </c>
      <c r="D54" s="14">
        <v>2023</v>
      </c>
      <c r="E54" s="14" t="s">
        <v>59</v>
      </c>
      <c r="F54" s="13"/>
      <c r="G54" s="14" t="s">
        <v>60</v>
      </c>
      <c r="H54" s="14" t="s">
        <v>2</v>
      </c>
      <c r="I54" s="12" t="s">
        <v>61</v>
      </c>
      <c r="J54" s="12" t="s">
        <v>59</v>
      </c>
    </row>
    <row r="55" spans="1:10" x14ac:dyDescent="0.25">
      <c r="A55" s="22" t="s">
        <v>58</v>
      </c>
      <c r="B55" s="22"/>
      <c r="C55" s="15">
        <f>ROUND(0.5881, 4)</f>
        <v>0.58809999999999996</v>
      </c>
      <c r="D55" s="15">
        <f>ROUND(0.5397, 4)</f>
        <v>0.53969999999999996</v>
      </c>
      <c r="E55" s="15">
        <f>ROUND(0.777, 4)</f>
        <v>0.77700000000000002</v>
      </c>
      <c r="F55" s="8"/>
      <c r="G55" s="14" t="s">
        <v>62</v>
      </c>
      <c r="H55" s="28" t="s">
        <v>63</v>
      </c>
      <c r="I55" s="25" t="s">
        <v>64</v>
      </c>
      <c r="J55" s="25" t="s">
        <v>65</v>
      </c>
    </row>
    <row r="56" spans="1:10" x14ac:dyDescent="0.25">
      <c r="A56" s="22" t="s">
        <v>66</v>
      </c>
      <c r="B56" s="22"/>
      <c r="C56" s="15">
        <f>ROUND(0.5555, 4)</f>
        <v>0.55549999999999999</v>
      </c>
      <c r="D56" s="15">
        <f>ROUND(0.5026, 4)</f>
        <v>0.50260000000000005</v>
      </c>
      <c r="E56" s="15">
        <f>ROUND(0.7608, 4)</f>
        <v>0.76080000000000003</v>
      </c>
      <c r="F56" s="8"/>
      <c r="G56" s="14" t="s">
        <v>67</v>
      </c>
      <c r="H56" s="29"/>
      <c r="I56" s="26"/>
      <c r="J56" s="26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68</v>
      </c>
      <c r="B60" s="27"/>
      <c r="C60" s="14" t="s">
        <v>2</v>
      </c>
      <c r="D60" s="14" t="s">
        <v>272</v>
      </c>
      <c r="E60" s="14" t="s">
        <v>70</v>
      </c>
      <c r="F60" s="14" t="s">
        <v>71</v>
      </c>
      <c r="G60" s="14" t="s">
        <v>72</v>
      </c>
      <c r="H60" s="13"/>
      <c r="I60" s="17"/>
      <c r="J60" s="17"/>
    </row>
    <row r="61" spans="1:10" x14ac:dyDescent="0.25">
      <c r="A61" s="22" t="s">
        <v>73</v>
      </c>
      <c r="B61" s="22"/>
      <c r="C61" s="16">
        <v>200.94</v>
      </c>
      <c r="D61" s="16">
        <v>163.26</v>
      </c>
      <c r="E61" s="16">
        <v>92.53</v>
      </c>
      <c r="F61" s="16">
        <v>56.06</v>
      </c>
      <c r="G61" s="16">
        <f>12/11*C61</f>
        <v>219.20727272727271</v>
      </c>
      <c r="H61" s="8"/>
      <c r="I61" s="9"/>
      <c r="J61" s="9"/>
    </row>
    <row r="62" spans="1:10" x14ac:dyDescent="0.25">
      <c r="A62" s="22" t="s">
        <v>74</v>
      </c>
      <c r="B62" s="22"/>
      <c r="C62" s="16">
        <v>30</v>
      </c>
      <c r="D62" s="16">
        <v>51.24</v>
      </c>
      <c r="E62" s="16">
        <v>61.98</v>
      </c>
      <c r="F62" s="16">
        <v>64.09</v>
      </c>
      <c r="G62" s="16">
        <f>12/11*C62</f>
        <v>32.727272727272727</v>
      </c>
      <c r="H62" s="8"/>
      <c r="I62" s="9"/>
      <c r="J62" s="9"/>
    </row>
    <row r="63" spans="1:10" x14ac:dyDescent="0.25">
      <c r="A63" s="22" t="s">
        <v>75</v>
      </c>
      <c r="B63" s="22"/>
      <c r="C63" s="16">
        <v>306.58</v>
      </c>
      <c r="D63" s="16">
        <v>312.7</v>
      </c>
      <c r="E63" s="16">
        <v>291.51</v>
      </c>
      <c r="F63" s="16">
        <v>284.45</v>
      </c>
      <c r="G63" s="16">
        <f>12/11*C63</f>
        <v>334.45090909090902</v>
      </c>
      <c r="H63" s="8"/>
      <c r="I63" s="9"/>
      <c r="J63" s="9"/>
    </row>
    <row r="64" spans="1:10" x14ac:dyDescent="0.25">
      <c r="A64" s="22" t="s">
        <v>76</v>
      </c>
      <c r="B64" s="22"/>
      <c r="C64" s="16">
        <v>220.63</v>
      </c>
      <c r="D64" s="16">
        <v>180.6</v>
      </c>
      <c r="E64" s="16">
        <v>116.46</v>
      </c>
      <c r="F64" s="16">
        <v>79.959999999999994</v>
      </c>
      <c r="G64" s="16">
        <f>12/11*C64</f>
        <v>240.6872727272727</v>
      </c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3" t="s">
        <v>60</v>
      </c>
      <c r="B67" s="24"/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77</v>
      </c>
      <c r="B68" s="1" t="s">
        <v>273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70</v>
      </c>
      <c r="B69" s="1" t="s">
        <v>79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71</v>
      </c>
      <c r="B70" s="1" t="s">
        <v>80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72</v>
      </c>
      <c r="B71" s="1" t="s">
        <v>81</v>
      </c>
      <c r="C71" s="8"/>
      <c r="D71" s="8"/>
      <c r="E71" s="8"/>
      <c r="F71" s="8"/>
      <c r="G71" s="8"/>
      <c r="H71" s="8"/>
      <c r="I71" s="9"/>
      <c r="J71" s="9"/>
    </row>
  </sheetData>
  <mergeCells count="19">
    <mergeCell ref="C7:G7"/>
    <mergeCell ref="A40:B40"/>
    <mergeCell ref="A41:B41"/>
    <mergeCell ref="A46:B46"/>
    <mergeCell ref="A47:B47"/>
    <mergeCell ref="J55:J56"/>
    <mergeCell ref="A56:B56"/>
    <mergeCell ref="A60:B60"/>
    <mergeCell ref="A61:B61"/>
    <mergeCell ref="A48:B48"/>
    <mergeCell ref="A49:B49"/>
    <mergeCell ref="A54:B54"/>
    <mergeCell ref="A55:B55"/>
    <mergeCell ref="H55:H56"/>
    <mergeCell ref="A62:B62"/>
    <mergeCell ref="A63:B63"/>
    <mergeCell ref="A64:B64"/>
    <mergeCell ref="A67:B67"/>
    <mergeCell ref="I55:I5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0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274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437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10</v>
      </c>
      <c r="F9" s="10"/>
      <c r="G9" s="10">
        <f t="shared" ref="G9:G39" si="0">SUM(C9:F9)</f>
        <v>10</v>
      </c>
      <c r="H9" s="16">
        <f t="shared" ref="H9:H39" si="1">ROUND(G9/437,2)</f>
        <v>0.02</v>
      </c>
      <c r="I9" s="15">
        <f t="shared" ref="I9:I39" si="2">ROUND(G9/$G$40,3)</f>
        <v>0</v>
      </c>
      <c r="J9" s="15"/>
    </row>
    <row r="10" spans="1:10" x14ac:dyDescent="0.25">
      <c r="A10" s="1" t="s">
        <v>16</v>
      </c>
      <c r="B10" s="1" t="s">
        <v>19</v>
      </c>
      <c r="C10" s="10">
        <v>11950</v>
      </c>
      <c r="D10" s="10"/>
      <c r="E10" s="10">
        <v>1748</v>
      </c>
      <c r="F10" s="10"/>
      <c r="G10" s="10">
        <f t="shared" si="0"/>
        <v>13698</v>
      </c>
      <c r="H10" s="16">
        <f t="shared" si="1"/>
        <v>31.35</v>
      </c>
      <c r="I10" s="15">
        <f t="shared" si="2"/>
        <v>7.1999999999999995E-2</v>
      </c>
      <c r="J10" s="15">
        <f>ROUND(G10/12598.16-1,2)</f>
        <v>0.09</v>
      </c>
    </row>
    <row r="11" spans="1:10" x14ac:dyDescent="0.25">
      <c r="A11" s="1" t="s">
        <v>16</v>
      </c>
      <c r="B11" s="1" t="s">
        <v>20</v>
      </c>
      <c r="C11" s="10">
        <v>15685</v>
      </c>
      <c r="D11" s="10"/>
      <c r="E11" s="10">
        <v>247</v>
      </c>
      <c r="F11" s="10"/>
      <c r="G11" s="10">
        <f t="shared" si="0"/>
        <v>15932</v>
      </c>
      <c r="H11" s="16">
        <f t="shared" si="1"/>
        <v>36.46</v>
      </c>
      <c r="I11" s="15">
        <f t="shared" si="2"/>
        <v>8.4000000000000005E-2</v>
      </c>
      <c r="J11" s="15">
        <f>ROUND(G11/16125-1,2)</f>
        <v>-0.01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38</v>
      </c>
      <c r="F12" s="10"/>
      <c r="G12" s="10">
        <f t="shared" si="0"/>
        <v>38</v>
      </c>
      <c r="H12" s="16">
        <f t="shared" si="1"/>
        <v>0.09</v>
      </c>
      <c r="I12" s="15">
        <f t="shared" si="2"/>
        <v>0</v>
      </c>
      <c r="J12" s="15">
        <f>ROUND(G12/35-1,2)</f>
        <v>0.09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485</v>
      </c>
      <c r="F13" s="10"/>
      <c r="G13" s="10">
        <f t="shared" si="0"/>
        <v>485</v>
      </c>
      <c r="H13" s="16">
        <f t="shared" si="1"/>
        <v>1.1100000000000001</v>
      </c>
      <c r="I13" s="15">
        <f t="shared" si="2"/>
        <v>3.0000000000000001E-3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34012</v>
      </c>
      <c r="F14" s="10"/>
      <c r="G14" s="10">
        <f t="shared" si="0"/>
        <v>34012</v>
      </c>
      <c r="H14" s="16">
        <f t="shared" si="1"/>
        <v>77.83</v>
      </c>
      <c r="I14" s="15">
        <f t="shared" si="2"/>
        <v>0.17799999999999999</v>
      </c>
      <c r="J14" s="15">
        <f>ROUND(G14/32264.54-1,2)</f>
        <v>0.05</v>
      </c>
    </row>
    <row r="15" spans="1:10" x14ac:dyDescent="0.25">
      <c r="A15" s="1" t="s">
        <v>16</v>
      </c>
      <c r="B15" s="1" t="s">
        <v>24</v>
      </c>
      <c r="C15" s="10">
        <v>14440</v>
      </c>
      <c r="D15" s="10"/>
      <c r="E15" s="10">
        <v>4540</v>
      </c>
      <c r="F15" s="10"/>
      <c r="G15" s="10">
        <f t="shared" si="0"/>
        <v>18980</v>
      </c>
      <c r="H15" s="16">
        <f t="shared" si="1"/>
        <v>43.43</v>
      </c>
      <c r="I15" s="15">
        <f t="shared" si="2"/>
        <v>0.1</v>
      </c>
      <c r="J15" s="15">
        <f>ROUND(G15/14273.67-1,2)</f>
        <v>0.33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4488</v>
      </c>
      <c r="F16" s="10"/>
      <c r="G16" s="10">
        <f t="shared" si="0"/>
        <v>4488</v>
      </c>
      <c r="H16" s="16">
        <f t="shared" si="1"/>
        <v>10.27</v>
      </c>
      <c r="I16" s="15">
        <f t="shared" si="2"/>
        <v>2.4E-2</v>
      </c>
      <c r="J16" s="15">
        <f>ROUND(G16/1860-1,2)</f>
        <v>1.41</v>
      </c>
    </row>
    <row r="17" spans="1:10" x14ac:dyDescent="0.25">
      <c r="A17" s="1" t="s">
        <v>16</v>
      </c>
      <c r="B17" s="1" t="s">
        <v>26</v>
      </c>
      <c r="C17" s="10">
        <v>15240</v>
      </c>
      <c r="D17" s="10"/>
      <c r="E17" s="10"/>
      <c r="F17" s="10"/>
      <c r="G17" s="10">
        <f t="shared" si="0"/>
        <v>15240</v>
      </c>
      <c r="H17" s="16">
        <f t="shared" si="1"/>
        <v>34.869999999999997</v>
      </c>
      <c r="I17" s="15">
        <f t="shared" si="2"/>
        <v>0.08</v>
      </c>
      <c r="J17" s="15">
        <f>ROUND(G17/16070-1,2)</f>
        <v>-0.05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332</v>
      </c>
      <c r="F18" s="10"/>
      <c r="G18" s="10">
        <f t="shared" si="0"/>
        <v>332</v>
      </c>
      <c r="H18" s="16">
        <f t="shared" si="1"/>
        <v>0.76</v>
      </c>
      <c r="I18" s="15">
        <f t="shared" si="2"/>
        <v>2E-3</v>
      </c>
      <c r="J18" s="15">
        <f>ROUND(G18/534-1,2)</f>
        <v>-0.38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287</v>
      </c>
      <c r="F19" s="10"/>
      <c r="G19" s="10">
        <f t="shared" si="0"/>
        <v>287</v>
      </c>
      <c r="H19" s="16">
        <f t="shared" si="1"/>
        <v>0.66</v>
      </c>
      <c r="I19" s="15">
        <f t="shared" si="2"/>
        <v>2E-3</v>
      </c>
      <c r="J19" s="15">
        <f>ROUND(G19/127-1,2)</f>
        <v>1.26</v>
      </c>
    </row>
    <row r="20" spans="1:10" x14ac:dyDescent="0.25">
      <c r="A20" s="1" t="s">
        <v>16</v>
      </c>
      <c r="B20" s="1" t="s">
        <v>42</v>
      </c>
      <c r="C20" s="10"/>
      <c r="D20" s="10"/>
      <c r="E20" s="10">
        <v>14</v>
      </c>
      <c r="F20" s="10"/>
      <c r="G20" s="10">
        <f t="shared" si="0"/>
        <v>14</v>
      </c>
      <c r="H20" s="16">
        <f t="shared" si="1"/>
        <v>0.03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29</v>
      </c>
      <c r="C21" s="10"/>
      <c r="D21" s="10"/>
      <c r="E21" s="10">
        <v>333</v>
      </c>
      <c r="F21" s="10"/>
      <c r="G21" s="10">
        <f t="shared" si="0"/>
        <v>333</v>
      </c>
      <c r="H21" s="16">
        <f t="shared" si="1"/>
        <v>0.76</v>
      </c>
      <c r="I21" s="15">
        <f t="shared" si="2"/>
        <v>2E-3</v>
      </c>
      <c r="J21" s="15">
        <f>ROUND(G21/495-1,2)</f>
        <v>-0.33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102</v>
      </c>
      <c r="F22" s="10"/>
      <c r="G22" s="10">
        <f t="shared" si="0"/>
        <v>102</v>
      </c>
      <c r="H22" s="16">
        <f t="shared" si="1"/>
        <v>0.23</v>
      </c>
      <c r="I22" s="15">
        <f t="shared" si="2"/>
        <v>1E-3</v>
      </c>
      <c r="J22" s="15">
        <f>ROUND(G22/60.65-1,2)</f>
        <v>0.68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91</v>
      </c>
      <c r="F23" s="10"/>
      <c r="G23" s="10">
        <f t="shared" si="0"/>
        <v>91</v>
      </c>
      <c r="H23" s="16">
        <f t="shared" si="1"/>
        <v>0.21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32</v>
      </c>
      <c r="C24" s="10"/>
      <c r="D24" s="10"/>
      <c r="E24" s="10">
        <v>264</v>
      </c>
      <c r="F24" s="10"/>
      <c r="G24" s="10">
        <f t="shared" si="0"/>
        <v>264</v>
      </c>
      <c r="H24" s="16">
        <f t="shared" si="1"/>
        <v>0.6</v>
      </c>
      <c r="I24" s="15">
        <f t="shared" si="2"/>
        <v>1E-3</v>
      </c>
      <c r="J24" s="15"/>
    </row>
    <row r="25" spans="1:10" x14ac:dyDescent="0.25">
      <c r="A25" s="1" t="s">
        <v>16</v>
      </c>
      <c r="B25" s="1" t="s">
        <v>33</v>
      </c>
      <c r="C25" s="10"/>
      <c r="D25" s="10"/>
      <c r="E25" s="10">
        <v>37</v>
      </c>
      <c r="F25" s="10"/>
      <c r="G25" s="10">
        <f t="shared" si="0"/>
        <v>37</v>
      </c>
      <c r="H25" s="16">
        <f t="shared" si="1"/>
        <v>0.08</v>
      </c>
      <c r="I25" s="15">
        <f t="shared" si="2"/>
        <v>0</v>
      </c>
      <c r="J25" s="15"/>
    </row>
    <row r="26" spans="1:10" x14ac:dyDescent="0.25">
      <c r="A26" s="1" t="s">
        <v>16</v>
      </c>
      <c r="B26" s="1" t="s">
        <v>37</v>
      </c>
      <c r="C26" s="10"/>
      <c r="D26" s="10"/>
      <c r="E26" s="10">
        <v>991</v>
      </c>
      <c r="F26" s="10"/>
      <c r="G26" s="10">
        <f t="shared" si="0"/>
        <v>991</v>
      </c>
      <c r="H26" s="16">
        <f t="shared" si="1"/>
        <v>2.27</v>
      </c>
      <c r="I26" s="15">
        <f t="shared" si="2"/>
        <v>5.0000000000000001E-3</v>
      </c>
      <c r="J26" s="15">
        <f>ROUND(G26/23.21-1,2)</f>
        <v>41.7</v>
      </c>
    </row>
    <row r="27" spans="1:10" x14ac:dyDescent="0.25">
      <c r="A27" s="1" t="s">
        <v>16</v>
      </c>
      <c r="B27" s="1" t="s">
        <v>43</v>
      </c>
      <c r="C27" s="10"/>
      <c r="D27" s="10"/>
      <c r="E27" s="10">
        <v>1395</v>
      </c>
      <c r="F27" s="10"/>
      <c r="G27" s="10">
        <f t="shared" si="0"/>
        <v>1395</v>
      </c>
      <c r="H27" s="16">
        <f t="shared" si="1"/>
        <v>3.19</v>
      </c>
      <c r="I27" s="15">
        <f t="shared" si="2"/>
        <v>7.0000000000000001E-3</v>
      </c>
      <c r="J27" s="15">
        <f>ROUND(G27/630-1,2)</f>
        <v>1.21</v>
      </c>
    </row>
    <row r="28" spans="1:10" x14ac:dyDescent="0.25">
      <c r="A28" s="1" t="s">
        <v>16</v>
      </c>
      <c r="B28" s="1" t="s">
        <v>38</v>
      </c>
      <c r="C28" s="10"/>
      <c r="D28" s="10"/>
      <c r="E28" s="10">
        <v>11826</v>
      </c>
      <c r="F28" s="10"/>
      <c r="G28" s="10">
        <f t="shared" si="0"/>
        <v>11826</v>
      </c>
      <c r="H28" s="16">
        <f t="shared" si="1"/>
        <v>27.06</v>
      </c>
      <c r="I28" s="15">
        <f t="shared" si="2"/>
        <v>6.2E-2</v>
      </c>
      <c r="J28" s="15">
        <f>ROUND(G28/1423.95-1,2)</f>
        <v>7.31</v>
      </c>
    </row>
    <row r="29" spans="1:10" x14ac:dyDescent="0.25">
      <c r="A29" s="1" t="s">
        <v>16</v>
      </c>
      <c r="B29" s="1" t="s">
        <v>40</v>
      </c>
      <c r="C29" s="10"/>
      <c r="D29" s="10"/>
      <c r="E29" s="10">
        <v>9077</v>
      </c>
      <c r="F29" s="10"/>
      <c r="G29" s="10">
        <f t="shared" si="0"/>
        <v>9077</v>
      </c>
      <c r="H29" s="16">
        <f t="shared" si="1"/>
        <v>20.77</v>
      </c>
      <c r="I29" s="15">
        <f t="shared" si="2"/>
        <v>4.8000000000000001E-2</v>
      </c>
      <c r="J29" s="15">
        <f>ROUND(G29/7965.93-1,2)</f>
        <v>0.14000000000000001</v>
      </c>
    </row>
    <row r="30" spans="1:10" x14ac:dyDescent="0.25">
      <c r="A30" s="1" t="s">
        <v>16</v>
      </c>
      <c r="B30" s="1" t="s">
        <v>41</v>
      </c>
      <c r="C30" s="10"/>
      <c r="D30" s="10"/>
      <c r="E30" s="10">
        <v>7992</v>
      </c>
      <c r="F30" s="10"/>
      <c r="G30" s="10">
        <f t="shared" si="0"/>
        <v>7992</v>
      </c>
      <c r="H30" s="16">
        <f t="shared" si="1"/>
        <v>18.29</v>
      </c>
      <c r="I30" s="15">
        <f t="shared" si="2"/>
        <v>4.2000000000000003E-2</v>
      </c>
      <c r="J30" s="15">
        <f>ROUND(G30/2703.68-1,2)</f>
        <v>1.96</v>
      </c>
    </row>
    <row r="31" spans="1:10" x14ac:dyDescent="0.25">
      <c r="A31" s="1" t="s">
        <v>16</v>
      </c>
      <c r="B31" s="1" t="s">
        <v>34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/>
    </row>
    <row r="32" spans="1:10" x14ac:dyDescent="0.25">
      <c r="A32" s="1" t="s">
        <v>16</v>
      </c>
      <c r="B32" s="1" t="s">
        <v>36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ROUND(G32/336-1,2)</f>
        <v>-1</v>
      </c>
    </row>
    <row r="33" spans="1:10" x14ac:dyDescent="0.25">
      <c r="A33" s="1" t="s">
        <v>16</v>
      </c>
      <c r="B33" s="1" t="s">
        <v>35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39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44</v>
      </c>
      <c r="B35" s="1" t="s">
        <v>45</v>
      </c>
      <c r="C35" s="10">
        <v>40060</v>
      </c>
      <c r="D35" s="10"/>
      <c r="E35" s="10"/>
      <c r="F35" s="10"/>
      <c r="G35" s="10">
        <f t="shared" si="0"/>
        <v>40060</v>
      </c>
      <c r="H35" s="16">
        <f t="shared" si="1"/>
        <v>91.67</v>
      </c>
      <c r="I35" s="15">
        <f t="shared" si="2"/>
        <v>0.21</v>
      </c>
      <c r="J35" s="15">
        <f>ROUND(G35/30190-1,2)</f>
        <v>0.33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15049</v>
      </c>
      <c r="F36" s="10"/>
      <c r="G36" s="10">
        <f t="shared" si="0"/>
        <v>15049</v>
      </c>
      <c r="H36" s="16">
        <f t="shared" si="1"/>
        <v>34.44</v>
      </c>
      <c r="I36" s="15">
        <f t="shared" si="2"/>
        <v>7.9000000000000001E-2</v>
      </c>
      <c r="J36" s="15">
        <f>ROUND(G36/11702.34-1,2)</f>
        <v>0.28999999999999998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ROUND(G37/10690-1,2)</f>
        <v>-1</v>
      </c>
    </row>
    <row r="38" spans="1:10" x14ac:dyDescent="0.25">
      <c r="A38" s="1" t="s">
        <v>48</v>
      </c>
      <c r="B38" s="1" t="s">
        <v>86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ROUND(G38/494-1,2)</f>
        <v>-1</v>
      </c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27" t="s">
        <v>12</v>
      </c>
      <c r="B40" s="27"/>
      <c r="C40" s="11">
        <f t="shared" ref="C40:H40" si="3">SUM(C8:C39)</f>
        <v>97375</v>
      </c>
      <c r="D40" s="11">
        <f t="shared" si="3"/>
        <v>0</v>
      </c>
      <c r="E40" s="11">
        <f t="shared" si="3"/>
        <v>93358</v>
      </c>
      <c r="F40" s="11">
        <f t="shared" si="3"/>
        <v>0</v>
      </c>
      <c r="G40" s="11">
        <f t="shared" si="3"/>
        <v>190733</v>
      </c>
      <c r="H40" s="14">
        <f t="shared" si="3"/>
        <v>436.45000000000005</v>
      </c>
      <c r="I40" s="17"/>
      <c r="J40" s="17"/>
    </row>
    <row r="41" spans="1:10" x14ac:dyDescent="0.25">
      <c r="A41" s="27" t="s">
        <v>14</v>
      </c>
      <c r="B41" s="27"/>
      <c r="C41" s="12">
        <f>ROUND(C40/G40,2)</f>
        <v>0.51</v>
      </c>
      <c r="D41" s="12">
        <f>ROUND(D40/G40,2)</f>
        <v>0</v>
      </c>
      <c r="E41" s="12">
        <f>ROUND(E40/G40,2)</f>
        <v>0.49</v>
      </c>
      <c r="F41" s="12">
        <f>ROUND(F40/G40,2)</f>
        <v>0</v>
      </c>
      <c r="G41" s="13"/>
      <c r="H41" s="13"/>
      <c r="I41" s="17"/>
      <c r="J41" s="17"/>
    </row>
    <row r="42" spans="1:10" x14ac:dyDescent="0.25">
      <c r="A42" s="2" t="s">
        <v>52</v>
      </c>
      <c r="B42" s="2"/>
      <c r="C42" s="13"/>
      <c r="D42" s="13"/>
      <c r="E42" s="13"/>
      <c r="F42" s="13"/>
      <c r="G42" s="13"/>
      <c r="H42" s="13"/>
      <c r="I42" s="17"/>
      <c r="J42" s="17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7" t="s">
        <v>53</v>
      </c>
      <c r="B46" s="27"/>
      <c r="C46" s="11" t="s">
        <v>8</v>
      </c>
      <c r="D46" s="11" t="s">
        <v>9</v>
      </c>
      <c r="E46" s="11" t="s">
        <v>10</v>
      </c>
      <c r="F46" s="11" t="s">
        <v>11</v>
      </c>
      <c r="G46" s="11" t="s">
        <v>12</v>
      </c>
      <c r="H46" s="14" t="s">
        <v>13</v>
      </c>
      <c r="I46" s="17"/>
      <c r="J46" s="17"/>
    </row>
    <row r="47" spans="1:10" x14ac:dyDescent="0.25">
      <c r="A47" s="22" t="s">
        <v>54</v>
      </c>
      <c r="B47" s="22"/>
      <c r="C47" s="10">
        <v>57315</v>
      </c>
      <c r="D47" s="10">
        <v>0</v>
      </c>
      <c r="E47" s="10">
        <v>78309</v>
      </c>
      <c r="F47" s="10">
        <v>0</v>
      </c>
      <c r="G47" s="10">
        <f>SUM(C47:F47)</f>
        <v>135624</v>
      </c>
      <c r="H47" s="16">
        <f>ROUND(G47/437,2)</f>
        <v>310.35000000000002</v>
      </c>
      <c r="I47" s="9"/>
      <c r="J47" s="9"/>
    </row>
    <row r="48" spans="1:10" x14ac:dyDescent="0.25">
      <c r="A48" s="22" t="s">
        <v>55</v>
      </c>
      <c r="B48" s="22"/>
      <c r="C48" s="10">
        <v>40060</v>
      </c>
      <c r="D48" s="10">
        <v>0</v>
      </c>
      <c r="E48" s="10">
        <v>15049</v>
      </c>
      <c r="F48" s="10">
        <v>0</v>
      </c>
      <c r="G48" s="10">
        <f>SUM(C48:F48)</f>
        <v>55109</v>
      </c>
      <c r="H48" s="16">
        <f>ROUND(G48/437,2)</f>
        <v>126.11</v>
      </c>
      <c r="I48" s="9"/>
      <c r="J48" s="9"/>
    </row>
    <row r="49" spans="1:10" x14ac:dyDescent="0.25">
      <c r="A49" s="22" t="s">
        <v>56</v>
      </c>
      <c r="B49" s="22"/>
      <c r="C49" s="10">
        <v>0</v>
      </c>
      <c r="D49" s="10">
        <v>0</v>
      </c>
      <c r="E49" s="10">
        <v>0</v>
      </c>
      <c r="F49" s="10">
        <v>0</v>
      </c>
      <c r="G49" s="10">
        <f>SUM(C49:F49)</f>
        <v>0</v>
      </c>
      <c r="H49" s="16">
        <f>ROUND(G49/437,2)</f>
        <v>0</v>
      </c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57</v>
      </c>
      <c r="B54" s="27"/>
      <c r="C54" s="14" t="s">
        <v>2</v>
      </c>
      <c r="D54" s="14">
        <v>2023</v>
      </c>
      <c r="E54" s="14" t="s">
        <v>59</v>
      </c>
      <c r="F54" s="13"/>
      <c r="G54" s="14" t="s">
        <v>60</v>
      </c>
      <c r="H54" s="14" t="s">
        <v>2</v>
      </c>
      <c r="I54" s="12" t="s">
        <v>61</v>
      </c>
      <c r="J54" s="12" t="s">
        <v>59</v>
      </c>
    </row>
    <row r="55" spans="1:10" x14ac:dyDescent="0.25">
      <c r="A55" s="22" t="s">
        <v>58</v>
      </c>
      <c r="B55" s="22"/>
      <c r="C55" s="15">
        <f>ROUND(0.7352, 4)</f>
        <v>0.73519999999999996</v>
      </c>
      <c r="D55" s="15">
        <f>ROUND(0.7282, 4)</f>
        <v>0.72819999999999996</v>
      </c>
      <c r="E55" s="15">
        <f>ROUND(0.777, 4)</f>
        <v>0.77700000000000002</v>
      </c>
      <c r="F55" s="8"/>
      <c r="G55" s="14" t="s">
        <v>62</v>
      </c>
      <c r="H55" s="28" t="s">
        <v>63</v>
      </c>
      <c r="I55" s="25" t="s">
        <v>64</v>
      </c>
      <c r="J55" s="25" t="s">
        <v>65</v>
      </c>
    </row>
    <row r="56" spans="1:10" x14ac:dyDescent="0.25">
      <c r="A56" s="22" t="s">
        <v>66</v>
      </c>
      <c r="B56" s="22"/>
      <c r="C56" s="15">
        <f>ROUND(0.7026, 4)</f>
        <v>0.7026</v>
      </c>
      <c r="D56" s="15">
        <f>ROUND(0.6909, 4)</f>
        <v>0.69089999999999996</v>
      </c>
      <c r="E56" s="15">
        <f>ROUND(0.7608, 4)</f>
        <v>0.76080000000000003</v>
      </c>
      <c r="F56" s="8"/>
      <c r="G56" s="14" t="s">
        <v>67</v>
      </c>
      <c r="H56" s="29"/>
      <c r="I56" s="26"/>
      <c r="J56" s="26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68</v>
      </c>
      <c r="B60" s="27"/>
      <c r="C60" s="14" t="s">
        <v>2</v>
      </c>
      <c r="D60" s="14" t="s">
        <v>275</v>
      </c>
      <c r="E60" s="14" t="s">
        <v>70</v>
      </c>
      <c r="F60" s="14" t="s">
        <v>71</v>
      </c>
      <c r="G60" s="14" t="s">
        <v>72</v>
      </c>
      <c r="H60" s="13"/>
      <c r="I60" s="17"/>
      <c r="J60" s="17"/>
    </row>
    <row r="61" spans="1:10" x14ac:dyDescent="0.25">
      <c r="A61" s="22" t="s">
        <v>73</v>
      </c>
      <c r="B61" s="22"/>
      <c r="C61" s="16">
        <v>91.67</v>
      </c>
      <c r="D61" s="16">
        <v>74.11</v>
      </c>
      <c r="E61" s="16">
        <v>92.53</v>
      </c>
      <c r="F61" s="16">
        <v>56.06</v>
      </c>
      <c r="G61" s="16">
        <f>12/11*C61</f>
        <v>100.00363636363636</v>
      </c>
      <c r="H61" s="8"/>
      <c r="I61" s="9"/>
      <c r="J61" s="9"/>
    </row>
    <row r="62" spans="1:10" x14ac:dyDescent="0.25">
      <c r="A62" s="22" t="s">
        <v>74</v>
      </c>
      <c r="B62" s="22"/>
      <c r="C62" s="16">
        <v>34.869999999999997</v>
      </c>
      <c r="D62" s="16">
        <v>38.44</v>
      </c>
      <c r="E62" s="16">
        <v>61.98</v>
      </c>
      <c r="F62" s="16">
        <v>64.09</v>
      </c>
      <c r="G62" s="16">
        <f>12/11*C62</f>
        <v>38.039999999999992</v>
      </c>
      <c r="H62" s="8"/>
      <c r="I62" s="9"/>
      <c r="J62" s="9"/>
    </row>
    <row r="63" spans="1:10" x14ac:dyDescent="0.25">
      <c r="A63" s="22" t="s">
        <v>75</v>
      </c>
      <c r="B63" s="22"/>
      <c r="C63" s="16">
        <v>310.35000000000002</v>
      </c>
      <c r="D63" s="16">
        <v>259.82</v>
      </c>
      <c r="E63" s="16">
        <v>291.51</v>
      </c>
      <c r="F63" s="16">
        <v>284.45</v>
      </c>
      <c r="G63" s="16">
        <f>12/11*C63</f>
        <v>338.56363636363636</v>
      </c>
      <c r="H63" s="8"/>
      <c r="I63" s="9"/>
      <c r="J63" s="9"/>
    </row>
    <row r="64" spans="1:10" x14ac:dyDescent="0.25">
      <c r="A64" s="22" t="s">
        <v>76</v>
      </c>
      <c r="B64" s="22"/>
      <c r="C64" s="16">
        <v>126.11</v>
      </c>
      <c r="D64" s="16">
        <v>131.68</v>
      </c>
      <c r="E64" s="16">
        <v>116.46</v>
      </c>
      <c r="F64" s="16">
        <v>79.959999999999994</v>
      </c>
      <c r="G64" s="16">
        <f>12/11*C64</f>
        <v>137.57454545454544</v>
      </c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3" t="s">
        <v>60</v>
      </c>
      <c r="B67" s="24"/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77</v>
      </c>
      <c r="B68" s="1" t="s">
        <v>276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70</v>
      </c>
      <c r="B69" s="1" t="s">
        <v>79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71</v>
      </c>
      <c r="B70" s="1" t="s">
        <v>80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72</v>
      </c>
      <c r="B71" s="1" t="s">
        <v>81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</sheetData>
  <mergeCells count="19">
    <mergeCell ref="C7:G7"/>
    <mergeCell ref="A40:B40"/>
    <mergeCell ref="A41:B41"/>
    <mergeCell ref="A46:B46"/>
    <mergeCell ref="A47:B47"/>
    <mergeCell ref="J55:J56"/>
    <mergeCell ref="A56:B56"/>
    <mergeCell ref="A60:B60"/>
    <mergeCell ref="A61:B61"/>
    <mergeCell ref="A48:B48"/>
    <mergeCell ref="A49:B49"/>
    <mergeCell ref="A54:B54"/>
    <mergeCell ref="A55:B55"/>
    <mergeCell ref="H55:H56"/>
    <mergeCell ref="A62:B62"/>
    <mergeCell ref="A63:B63"/>
    <mergeCell ref="A64:B64"/>
    <mergeCell ref="A67:B67"/>
    <mergeCell ref="I55:I5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J76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1.28515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277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4638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136</v>
      </c>
      <c r="F9" s="10"/>
      <c r="G9" s="10">
        <f t="shared" ref="G9:G43" si="0">SUM(C9:F9)</f>
        <v>136</v>
      </c>
      <c r="H9" s="16">
        <f t="shared" ref="H9:H43" si="1">ROUND(G9/4638,2)</f>
        <v>0.03</v>
      </c>
      <c r="I9" s="15">
        <f t="shared" ref="I9:I43" si="2">ROUND(G9/$G$44,3)</f>
        <v>0</v>
      </c>
      <c r="J9" s="15">
        <f>ROUND(G9/45-1,2)</f>
        <v>2.02</v>
      </c>
    </row>
    <row r="10" spans="1:10" x14ac:dyDescent="0.25">
      <c r="A10" s="1" t="s">
        <v>16</v>
      </c>
      <c r="B10" s="1" t="s">
        <v>19</v>
      </c>
      <c r="C10" s="10">
        <v>151935</v>
      </c>
      <c r="D10" s="10"/>
      <c r="E10" s="10">
        <v>6840</v>
      </c>
      <c r="F10" s="10"/>
      <c r="G10" s="10">
        <f t="shared" si="0"/>
        <v>158775</v>
      </c>
      <c r="H10" s="16">
        <f t="shared" si="1"/>
        <v>34.229999999999997</v>
      </c>
      <c r="I10" s="15">
        <f t="shared" si="2"/>
        <v>9.8000000000000004E-2</v>
      </c>
      <c r="J10" s="15">
        <f>ROUND(G10/143125-1,2)</f>
        <v>0.11</v>
      </c>
    </row>
    <row r="11" spans="1:10" x14ac:dyDescent="0.25">
      <c r="A11" s="1" t="s">
        <v>16</v>
      </c>
      <c r="B11" s="1" t="s">
        <v>20</v>
      </c>
      <c r="C11" s="10">
        <v>176440</v>
      </c>
      <c r="D11" s="10"/>
      <c r="E11" s="10"/>
      <c r="F11" s="10"/>
      <c r="G11" s="10">
        <f t="shared" si="0"/>
        <v>176440</v>
      </c>
      <c r="H11" s="16">
        <f t="shared" si="1"/>
        <v>38.04</v>
      </c>
      <c r="I11" s="15">
        <f t="shared" si="2"/>
        <v>0.108</v>
      </c>
      <c r="J11" s="15">
        <f>ROUND(G11/174830-1,2)</f>
        <v>0.01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80</v>
      </c>
      <c r="F12" s="10"/>
      <c r="G12" s="10">
        <f t="shared" si="0"/>
        <v>80</v>
      </c>
      <c r="H12" s="16">
        <f t="shared" si="1"/>
        <v>0.02</v>
      </c>
      <c r="I12" s="15">
        <f t="shared" si="2"/>
        <v>0</v>
      </c>
      <c r="J12" s="15">
        <f>ROUND(G12/63-1,2)</f>
        <v>0.27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343</v>
      </c>
      <c r="F13" s="10"/>
      <c r="G13" s="10">
        <f t="shared" si="0"/>
        <v>343</v>
      </c>
      <c r="H13" s="16">
        <f t="shared" si="1"/>
        <v>7.0000000000000007E-2</v>
      </c>
      <c r="I13" s="15">
        <f t="shared" si="2"/>
        <v>0</v>
      </c>
      <c r="J13" s="15">
        <f>ROUND(G13/173-1,2)</f>
        <v>0.98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2900</v>
      </c>
      <c r="F14" s="10"/>
      <c r="G14" s="10">
        <f t="shared" si="0"/>
        <v>2900</v>
      </c>
      <c r="H14" s="16">
        <f t="shared" si="1"/>
        <v>0.63</v>
      </c>
      <c r="I14" s="15">
        <f t="shared" si="2"/>
        <v>2E-3</v>
      </c>
      <c r="J14" s="15">
        <f>ROUND(G14/1600-1,2)</f>
        <v>0.81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46320</v>
      </c>
      <c r="F15" s="10"/>
      <c r="G15" s="10">
        <f t="shared" si="0"/>
        <v>46320</v>
      </c>
      <c r="H15" s="16">
        <f t="shared" si="1"/>
        <v>9.99</v>
      </c>
      <c r="I15" s="15">
        <f t="shared" si="2"/>
        <v>2.8000000000000001E-2</v>
      </c>
      <c r="J15" s="15">
        <f>ROUND(G15/50760-1,2)</f>
        <v>-0.09</v>
      </c>
    </row>
    <row r="16" spans="1:10" x14ac:dyDescent="0.25">
      <c r="A16" s="1" t="s">
        <v>16</v>
      </c>
      <c r="B16" s="1" t="s">
        <v>24</v>
      </c>
      <c r="C16" s="10">
        <v>218390</v>
      </c>
      <c r="D16" s="10"/>
      <c r="E16" s="10">
        <v>1200</v>
      </c>
      <c r="F16" s="10">
        <v>1020</v>
      </c>
      <c r="G16" s="10">
        <f t="shared" si="0"/>
        <v>220610</v>
      </c>
      <c r="H16" s="16">
        <f t="shared" si="1"/>
        <v>47.57</v>
      </c>
      <c r="I16" s="15">
        <f t="shared" si="2"/>
        <v>0.13600000000000001</v>
      </c>
      <c r="J16" s="15">
        <f>ROUND(G16/223830-1,2)</f>
        <v>-0.01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8400</v>
      </c>
      <c r="F17" s="10"/>
      <c r="G17" s="10">
        <f t="shared" si="0"/>
        <v>8400</v>
      </c>
      <c r="H17" s="16">
        <f t="shared" si="1"/>
        <v>1.81</v>
      </c>
      <c r="I17" s="15">
        <f t="shared" si="2"/>
        <v>5.0000000000000001E-3</v>
      </c>
      <c r="J17" s="15">
        <f>ROUND(G17/7055-1,2)</f>
        <v>0.19</v>
      </c>
    </row>
    <row r="18" spans="1:10" x14ac:dyDescent="0.25">
      <c r="A18" s="1" t="s">
        <v>16</v>
      </c>
      <c r="B18" s="1" t="s">
        <v>26</v>
      </c>
      <c r="C18" s="10">
        <v>304160</v>
      </c>
      <c r="D18" s="10"/>
      <c r="E18" s="10"/>
      <c r="F18" s="10">
        <v>1890</v>
      </c>
      <c r="G18" s="10">
        <f t="shared" si="0"/>
        <v>306050</v>
      </c>
      <c r="H18" s="16">
        <f t="shared" si="1"/>
        <v>65.989999999999995</v>
      </c>
      <c r="I18" s="15">
        <f t="shared" si="2"/>
        <v>0.188</v>
      </c>
      <c r="J18" s="15">
        <f>ROUND(G18/282690-1,2)</f>
        <v>0.08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1310</v>
      </c>
      <c r="F19" s="10"/>
      <c r="G19" s="10">
        <f t="shared" si="0"/>
        <v>1310</v>
      </c>
      <c r="H19" s="16">
        <f t="shared" si="1"/>
        <v>0.28000000000000003</v>
      </c>
      <c r="I19" s="15">
        <f t="shared" si="2"/>
        <v>1E-3</v>
      </c>
      <c r="J19" s="15">
        <f>ROUND(G19/3777-1,2)</f>
        <v>-0.65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998</v>
      </c>
      <c r="F20" s="10"/>
      <c r="G20" s="10">
        <f t="shared" si="0"/>
        <v>998</v>
      </c>
      <c r="H20" s="16">
        <f t="shared" si="1"/>
        <v>0.22</v>
      </c>
      <c r="I20" s="15">
        <f t="shared" si="2"/>
        <v>1E-3</v>
      </c>
      <c r="J20" s="15">
        <f>ROUND(G20/397-1,2)</f>
        <v>1.51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1020</v>
      </c>
      <c r="F21" s="10"/>
      <c r="G21" s="10">
        <f t="shared" si="0"/>
        <v>1020</v>
      </c>
      <c r="H21" s="16">
        <f t="shared" si="1"/>
        <v>0.22</v>
      </c>
      <c r="I21" s="15">
        <f t="shared" si="2"/>
        <v>1E-3</v>
      </c>
      <c r="J21" s="15">
        <f>ROUND(G21/1120-1,2)</f>
        <v>-0.09</v>
      </c>
    </row>
    <row r="22" spans="1:10" x14ac:dyDescent="0.25">
      <c r="A22" s="1" t="s">
        <v>16</v>
      </c>
      <c r="B22" s="1" t="s">
        <v>31</v>
      </c>
      <c r="C22" s="10"/>
      <c r="D22" s="10"/>
      <c r="E22" s="10">
        <v>470</v>
      </c>
      <c r="F22" s="10"/>
      <c r="G22" s="10">
        <f t="shared" si="0"/>
        <v>470</v>
      </c>
      <c r="H22" s="16">
        <f t="shared" si="1"/>
        <v>0.1</v>
      </c>
      <c r="I22" s="15">
        <f t="shared" si="2"/>
        <v>0</v>
      </c>
      <c r="J22" s="15">
        <f>ROUND(G22/440-1,2)</f>
        <v>7.0000000000000007E-2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2565</v>
      </c>
      <c r="F23" s="10"/>
      <c r="G23" s="10">
        <f t="shared" si="0"/>
        <v>2565</v>
      </c>
      <c r="H23" s="16">
        <f t="shared" si="1"/>
        <v>0.55000000000000004</v>
      </c>
      <c r="I23" s="15">
        <f t="shared" si="2"/>
        <v>2E-3</v>
      </c>
      <c r="J23" s="15">
        <f>ROUND(G23/2210-1,2)</f>
        <v>0.16</v>
      </c>
    </row>
    <row r="24" spans="1:10" x14ac:dyDescent="0.25">
      <c r="A24" s="1" t="s">
        <v>16</v>
      </c>
      <c r="B24" s="1" t="s">
        <v>33</v>
      </c>
      <c r="C24" s="10"/>
      <c r="D24" s="10">
        <v>248</v>
      </c>
      <c r="E24" s="10">
        <v>162</v>
      </c>
      <c r="F24" s="10"/>
      <c r="G24" s="10">
        <f t="shared" si="0"/>
        <v>410</v>
      </c>
      <c r="H24" s="16">
        <f t="shared" si="1"/>
        <v>0.09</v>
      </c>
      <c r="I24" s="15">
        <f t="shared" si="2"/>
        <v>0</v>
      </c>
      <c r="J24" s="15">
        <f>ROUND(G24/489-1,2)</f>
        <v>-0.16</v>
      </c>
    </row>
    <row r="25" spans="1:10" x14ac:dyDescent="0.25">
      <c r="A25" s="1" t="s">
        <v>16</v>
      </c>
      <c r="B25" s="1" t="s">
        <v>35</v>
      </c>
      <c r="C25" s="10"/>
      <c r="D25" s="10"/>
      <c r="E25" s="10">
        <v>305</v>
      </c>
      <c r="F25" s="10"/>
      <c r="G25" s="10">
        <f t="shared" si="0"/>
        <v>305</v>
      </c>
      <c r="H25" s="16">
        <f t="shared" si="1"/>
        <v>7.0000000000000007E-2</v>
      </c>
      <c r="I25" s="15">
        <f t="shared" si="2"/>
        <v>0</v>
      </c>
      <c r="J25" s="15">
        <f>ROUND(G25/728-1,2)</f>
        <v>-0.57999999999999996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2810</v>
      </c>
      <c r="F26" s="10"/>
      <c r="G26" s="10">
        <f t="shared" si="0"/>
        <v>2810</v>
      </c>
      <c r="H26" s="16">
        <f t="shared" si="1"/>
        <v>0.61</v>
      </c>
      <c r="I26" s="15">
        <f t="shared" si="2"/>
        <v>2E-3</v>
      </c>
      <c r="J26" s="15">
        <f>ROUND(G26/2110-1,2)</f>
        <v>0.33</v>
      </c>
    </row>
    <row r="27" spans="1:10" x14ac:dyDescent="0.25">
      <c r="A27" s="1" t="s">
        <v>16</v>
      </c>
      <c r="B27" s="1" t="s">
        <v>37</v>
      </c>
      <c r="C27" s="10"/>
      <c r="D27" s="10"/>
      <c r="E27" s="10">
        <v>3000</v>
      </c>
      <c r="F27" s="10"/>
      <c r="G27" s="10">
        <f t="shared" si="0"/>
        <v>3000</v>
      </c>
      <c r="H27" s="16">
        <f t="shared" si="1"/>
        <v>0.65</v>
      </c>
      <c r="I27" s="15">
        <f t="shared" si="2"/>
        <v>2E-3</v>
      </c>
      <c r="J27" s="15">
        <f>ROUND(G27/3728-1,2)</f>
        <v>-0.2</v>
      </c>
    </row>
    <row r="28" spans="1:10" x14ac:dyDescent="0.25">
      <c r="A28" s="1" t="s">
        <v>16</v>
      </c>
      <c r="B28" s="1" t="s">
        <v>43</v>
      </c>
      <c r="C28" s="10"/>
      <c r="D28" s="10"/>
      <c r="E28" s="10">
        <v>3100</v>
      </c>
      <c r="F28" s="10"/>
      <c r="G28" s="10">
        <f t="shared" si="0"/>
        <v>3100</v>
      </c>
      <c r="H28" s="16">
        <f t="shared" si="1"/>
        <v>0.67</v>
      </c>
      <c r="I28" s="15">
        <f t="shared" si="2"/>
        <v>2E-3</v>
      </c>
      <c r="J28" s="15">
        <f>ROUND(G28/6699-1,2)</f>
        <v>-0.54</v>
      </c>
    </row>
    <row r="29" spans="1:10" x14ac:dyDescent="0.25">
      <c r="A29" s="1" t="s">
        <v>16</v>
      </c>
      <c r="B29" s="1" t="s">
        <v>38</v>
      </c>
      <c r="C29" s="10"/>
      <c r="D29" s="10"/>
      <c r="E29" s="10">
        <v>94480</v>
      </c>
      <c r="F29" s="10"/>
      <c r="G29" s="10">
        <f t="shared" si="0"/>
        <v>94480</v>
      </c>
      <c r="H29" s="16">
        <f t="shared" si="1"/>
        <v>20.37</v>
      </c>
      <c r="I29" s="15">
        <f t="shared" si="2"/>
        <v>5.8000000000000003E-2</v>
      </c>
      <c r="J29" s="15">
        <f>ROUND(G29/84235-1,2)</f>
        <v>0.12</v>
      </c>
    </row>
    <row r="30" spans="1:10" x14ac:dyDescent="0.25">
      <c r="A30" s="1" t="s">
        <v>16</v>
      </c>
      <c r="B30" s="1" t="s">
        <v>39</v>
      </c>
      <c r="C30" s="10"/>
      <c r="D30" s="10"/>
      <c r="E30" s="10">
        <v>6400</v>
      </c>
      <c r="F30" s="10"/>
      <c r="G30" s="10">
        <f t="shared" si="0"/>
        <v>6400</v>
      </c>
      <c r="H30" s="16">
        <f t="shared" si="1"/>
        <v>1.38</v>
      </c>
      <c r="I30" s="15">
        <f t="shared" si="2"/>
        <v>4.0000000000000001E-3</v>
      </c>
      <c r="J30" s="15">
        <f>ROUND(G30/8570-1,2)</f>
        <v>-0.25</v>
      </c>
    </row>
    <row r="31" spans="1:10" x14ac:dyDescent="0.25">
      <c r="A31" s="1" t="s">
        <v>16</v>
      </c>
      <c r="B31" s="1" t="s">
        <v>40</v>
      </c>
      <c r="C31" s="10"/>
      <c r="D31" s="10"/>
      <c r="E31" s="10">
        <v>21300</v>
      </c>
      <c r="F31" s="10"/>
      <c r="G31" s="10">
        <f t="shared" si="0"/>
        <v>21300</v>
      </c>
      <c r="H31" s="16">
        <f t="shared" si="1"/>
        <v>4.59</v>
      </c>
      <c r="I31" s="15">
        <f t="shared" si="2"/>
        <v>1.2999999999999999E-2</v>
      </c>
      <c r="J31" s="15">
        <f>ROUND(G31/26130-1,2)</f>
        <v>-0.18</v>
      </c>
    </row>
    <row r="32" spans="1:10" x14ac:dyDescent="0.25">
      <c r="A32" s="1" t="s">
        <v>16</v>
      </c>
      <c r="B32" s="1" t="s">
        <v>41</v>
      </c>
      <c r="C32" s="10"/>
      <c r="D32" s="10"/>
      <c r="E32" s="10">
        <v>196860</v>
      </c>
      <c r="F32" s="10">
        <v>3200</v>
      </c>
      <c r="G32" s="10">
        <f t="shared" si="0"/>
        <v>200060</v>
      </c>
      <c r="H32" s="16">
        <f t="shared" si="1"/>
        <v>43.13</v>
      </c>
      <c r="I32" s="15">
        <f t="shared" si="2"/>
        <v>0.123</v>
      </c>
      <c r="J32" s="15">
        <f>ROUND(G32/229570-1,2)</f>
        <v>-0.13</v>
      </c>
    </row>
    <row r="33" spans="1:10" x14ac:dyDescent="0.25">
      <c r="A33" s="1" t="s">
        <v>16</v>
      </c>
      <c r="B33" s="1" t="s">
        <v>29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ROUND(G33/5770-1,2)</f>
        <v>-1</v>
      </c>
    </row>
    <row r="34" spans="1:10" x14ac:dyDescent="0.25">
      <c r="A34" s="1" t="s">
        <v>16</v>
      </c>
      <c r="B34" s="1" t="s">
        <v>36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ROUND(G34/3780-1,2)</f>
        <v>-1</v>
      </c>
    </row>
    <row r="35" spans="1:10" x14ac:dyDescent="0.25">
      <c r="A35" s="1" t="s">
        <v>16</v>
      </c>
      <c r="B35" s="1" t="s">
        <v>42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ROUND(G35/143-1,2)</f>
        <v>-1</v>
      </c>
    </row>
    <row r="36" spans="1:10" x14ac:dyDescent="0.25">
      <c r="A36" s="1" t="s">
        <v>16</v>
      </c>
      <c r="B36" s="1" t="s">
        <v>98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ROUND(G36/400-1,2)</f>
        <v>-1</v>
      </c>
    </row>
    <row r="37" spans="1:10" x14ac:dyDescent="0.25">
      <c r="A37" s="1" t="s">
        <v>44</v>
      </c>
      <c r="B37" s="1" t="s">
        <v>45</v>
      </c>
      <c r="C37" s="10">
        <v>257440</v>
      </c>
      <c r="D37" s="10"/>
      <c r="E37" s="10"/>
      <c r="F37" s="10"/>
      <c r="G37" s="10">
        <f t="shared" si="0"/>
        <v>257440</v>
      </c>
      <c r="H37" s="16">
        <f t="shared" si="1"/>
        <v>55.51</v>
      </c>
      <c r="I37" s="15">
        <f t="shared" si="2"/>
        <v>0.158</v>
      </c>
      <c r="J37" s="15">
        <f>ROUND(G37/241710-1,2)</f>
        <v>7.0000000000000007E-2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>
        <v>45220</v>
      </c>
      <c r="G38" s="10">
        <f t="shared" si="0"/>
        <v>45220</v>
      </c>
      <c r="H38" s="16">
        <f t="shared" si="1"/>
        <v>9.75</v>
      </c>
      <c r="I38" s="15">
        <f t="shared" si="2"/>
        <v>2.8000000000000001E-2</v>
      </c>
      <c r="J38" s="15">
        <f>ROUND(G38/76460-1,2)</f>
        <v>-0.41</v>
      </c>
    </row>
    <row r="39" spans="1:10" x14ac:dyDescent="0.25">
      <c r="A39" s="1" t="s">
        <v>44</v>
      </c>
      <c r="B39" s="1" t="s">
        <v>46</v>
      </c>
      <c r="C39" s="10"/>
      <c r="D39" s="10"/>
      <c r="E39" s="10">
        <v>65360</v>
      </c>
      <c r="F39" s="10"/>
      <c r="G39" s="10">
        <f t="shared" si="0"/>
        <v>65360</v>
      </c>
      <c r="H39" s="16">
        <f t="shared" si="1"/>
        <v>14.09</v>
      </c>
      <c r="I39" s="15">
        <f t="shared" si="2"/>
        <v>0.04</v>
      </c>
      <c r="J39" s="15">
        <f>ROUND(G39/59860-1,2)</f>
        <v>0.09</v>
      </c>
    </row>
    <row r="40" spans="1:10" x14ac:dyDescent="0.25">
      <c r="A40" s="1" t="s">
        <v>48</v>
      </c>
      <c r="B40" s="1" t="s">
        <v>49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ROUND(G40/200-1,2)</f>
        <v>-1</v>
      </c>
    </row>
    <row r="41" spans="1:10" x14ac:dyDescent="0.25">
      <c r="A41" s="1" t="s">
        <v>48</v>
      </c>
      <c r="B41" s="1" t="s">
        <v>50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ROUND(G41/160-1,2)</f>
        <v>-1</v>
      </c>
    </row>
    <row r="42" spans="1:10" x14ac:dyDescent="0.25">
      <c r="A42" s="1" t="s">
        <v>48</v>
      </c>
      <c r="B42" s="1" t="s">
        <v>51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1" t="s">
        <v>48</v>
      </c>
      <c r="B43" s="1" t="s">
        <v>86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/>
    </row>
    <row r="44" spans="1:10" x14ac:dyDescent="0.25">
      <c r="A44" s="27" t="s">
        <v>12</v>
      </c>
      <c r="B44" s="27"/>
      <c r="C44" s="11">
        <f t="shared" ref="C44:H44" si="3">SUM(C8:C43)</f>
        <v>1108365</v>
      </c>
      <c r="D44" s="11">
        <f t="shared" si="3"/>
        <v>248</v>
      </c>
      <c r="E44" s="11">
        <f t="shared" si="3"/>
        <v>466359</v>
      </c>
      <c r="F44" s="11">
        <f t="shared" si="3"/>
        <v>51330</v>
      </c>
      <c r="G44" s="11">
        <f t="shared" si="3"/>
        <v>1626302</v>
      </c>
      <c r="H44" s="14">
        <f t="shared" si="3"/>
        <v>350.65999999999997</v>
      </c>
      <c r="I44" s="17"/>
      <c r="J44" s="17"/>
    </row>
    <row r="45" spans="1:10" x14ac:dyDescent="0.25">
      <c r="A45" s="27" t="s">
        <v>14</v>
      </c>
      <c r="B45" s="27"/>
      <c r="C45" s="12">
        <f>ROUND(C44/G44,2)</f>
        <v>0.68</v>
      </c>
      <c r="D45" s="12">
        <f>ROUND(D44/G44,2)</f>
        <v>0</v>
      </c>
      <c r="E45" s="12">
        <f>ROUND(E44/G44,2)</f>
        <v>0.28999999999999998</v>
      </c>
      <c r="F45" s="12">
        <f>ROUND(F44/G44,2)</f>
        <v>0.03</v>
      </c>
      <c r="G45" s="13"/>
      <c r="H45" s="13"/>
      <c r="I45" s="17"/>
      <c r="J45" s="17"/>
    </row>
    <row r="46" spans="1:10" x14ac:dyDescent="0.25">
      <c r="A46" s="2" t="s">
        <v>52</v>
      </c>
      <c r="B46" s="2"/>
      <c r="C46" s="13"/>
      <c r="D46" s="13"/>
      <c r="E46" s="13"/>
      <c r="F46" s="13"/>
      <c r="G46" s="13"/>
      <c r="H46" s="13"/>
      <c r="I46" s="17"/>
      <c r="J46" s="17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53</v>
      </c>
      <c r="B50" s="27"/>
      <c r="C50" s="11" t="s">
        <v>8</v>
      </c>
      <c r="D50" s="11" t="s">
        <v>9</v>
      </c>
      <c r="E50" s="11" t="s">
        <v>10</v>
      </c>
      <c r="F50" s="11" t="s">
        <v>11</v>
      </c>
      <c r="G50" s="11" t="s">
        <v>12</v>
      </c>
      <c r="H50" s="14" t="s">
        <v>13</v>
      </c>
      <c r="I50" s="17"/>
      <c r="J50" s="17"/>
    </row>
    <row r="51" spans="1:10" x14ac:dyDescent="0.25">
      <c r="A51" s="22" t="s">
        <v>54</v>
      </c>
      <c r="B51" s="22"/>
      <c r="C51" s="10">
        <v>850925</v>
      </c>
      <c r="D51" s="10">
        <v>248</v>
      </c>
      <c r="E51" s="10">
        <v>400999</v>
      </c>
      <c r="F51" s="10">
        <v>6110</v>
      </c>
      <c r="G51" s="10">
        <f>SUM(C51:F51)</f>
        <v>1258282</v>
      </c>
      <c r="H51" s="16">
        <f>ROUND(G51/4638,2)</f>
        <v>271.3</v>
      </c>
      <c r="I51" s="9"/>
      <c r="J51" s="9"/>
    </row>
    <row r="52" spans="1:10" x14ac:dyDescent="0.25">
      <c r="A52" s="22" t="s">
        <v>55</v>
      </c>
      <c r="B52" s="22"/>
      <c r="C52" s="10">
        <v>257440</v>
      </c>
      <c r="D52" s="10">
        <v>0</v>
      </c>
      <c r="E52" s="10">
        <v>65360</v>
      </c>
      <c r="F52" s="10">
        <v>45220</v>
      </c>
      <c r="G52" s="10">
        <f>SUM(C52:F52)</f>
        <v>368020</v>
      </c>
      <c r="H52" s="16">
        <f>ROUND(G52/4638,2)</f>
        <v>79.349999999999994</v>
      </c>
      <c r="I52" s="9"/>
      <c r="J52" s="9"/>
    </row>
    <row r="53" spans="1:10" x14ac:dyDescent="0.25">
      <c r="A53" s="22" t="s">
        <v>56</v>
      </c>
      <c r="B53" s="22"/>
      <c r="C53" s="10">
        <v>0</v>
      </c>
      <c r="D53" s="10">
        <v>0</v>
      </c>
      <c r="E53" s="10">
        <v>0</v>
      </c>
      <c r="F53" s="10">
        <v>0</v>
      </c>
      <c r="G53" s="10">
        <f>SUM(C53:F53)</f>
        <v>0</v>
      </c>
      <c r="H53" s="16">
        <f>ROUND(G53/4638,2)</f>
        <v>0</v>
      </c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57</v>
      </c>
      <c r="B58" s="27"/>
      <c r="C58" s="14" t="s">
        <v>2</v>
      </c>
      <c r="D58" s="14">
        <v>2023</v>
      </c>
      <c r="E58" s="14" t="s">
        <v>59</v>
      </c>
      <c r="F58" s="13"/>
      <c r="G58" s="14" t="s">
        <v>60</v>
      </c>
      <c r="H58" s="14" t="s">
        <v>2</v>
      </c>
      <c r="I58" s="12" t="s">
        <v>61</v>
      </c>
      <c r="J58" s="12" t="s">
        <v>59</v>
      </c>
    </row>
    <row r="59" spans="1:10" x14ac:dyDescent="0.25">
      <c r="A59" s="22" t="s">
        <v>58</v>
      </c>
      <c r="B59" s="22"/>
      <c r="C59" s="15">
        <f>ROUND(0.8285, 4)</f>
        <v>0.82850000000000001</v>
      </c>
      <c r="D59" s="15">
        <f>ROUND(0.8355, 4)</f>
        <v>0.83550000000000002</v>
      </c>
      <c r="E59" s="15">
        <f>ROUND(0.777, 4)</f>
        <v>0.77700000000000002</v>
      </c>
      <c r="F59" s="8"/>
      <c r="G59" s="14" t="s">
        <v>62</v>
      </c>
      <c r="H59" s="28" t="s">
        <v>63</v>
      </c>
      <c r="I59" s="25" t="s">
        <v>64</v>
      </c>
      <c r="J59" s="25" t="s">
        <v>65</v>
      </c>
    </row>
    <row r="60" spans="1:10" x14ac:dyDescent="0.25">
      <c r="A60" s="22" t="s">
        <v>66</v>
      </c>
      <c r="B60" s="22"/>
      <c r="C60" s="15">
        <f>ROUND(0.8156, 4)</f>
        <v>0.81559999999999999</v>
      </c>
      <c r="D60" s="15">
        <f>ROUND(0.8233, 4)</f>
        <v>0.82330000000000003</v>
      </c>
      <c r="E60" s="15">
        <f>ROUND(0.7608, 4)</f>
        <v>0.76080000000000003</v>
      </c>
      <c r="F60" s="8"/>
      <c r="G60" s="14" t="s">
        <v>67</v>
      </c>
      <c r="H60" s="29"/>
      <c r="I60" s="26"/>
      <c r="J60" s="26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7" t="s">
        <v>68</v>
      </c>
      <c r="B64" s="27"/>
      <c r="C64" s="14" t="s">
        <v>2</v>
      </c>
      <c r="D64" s="14" t="s">
        <v>278</v>
      </c>
      <c r="E64" s="14" t="s">
        <v>70</v>
      </c>
      <c r="F64" s="14" t="s">
        <v>71</v>
      </c>
      <c r="G64" s="14" t="s">
        <v>72</v>
      </c>
      <c r="H64" s="13"/>
      <c r="I64" s="17"/>
      <c r="J64" s="17"/>
    </row>
    <row r="65" spans="1:10" x14ac:dyDescent="0.25">
      <c r="A65" s="22" t="s">
        <v>73</v>
      </c>
      <c r="B65" s="22"/>
      <c r="C65" s="16">
        <v>55.51</v>
      </c>
      <c r="D65" s="16">
        <v>79.56</v>
      </c>
      <c r="E65" s="16">
        <v>92.53</v>
      </c>
      <c r="F65" s="16">
        <v>56.06</v>
      </c>
      <c r="G65" s="16">
        <f>12/11*C65</f>
        <v>60.556363636363628</v>
      </c>
      <c r="H65" s="8"/>
      <c r="I65" s="9"/>
      <c r="J65" s="9"/>
    </row>
    <row r="66" spans="1:10" x14ac:dyDescent="0.25">
      <c r="A66" s="22" t="s">
        <v>74</v>
      </c>
      <c r="B66" s="22"/>
      <c r="C66" s="16">
        <v>65.989999999999995</v>
      </c>
      <c r="D66" s="16">
        <v>64.78</v>
      </c>
      <c r="E66" s="16">
        <v>61.98</v>
      </c>
      <c r="F66" s="16">
        <v>64.09</v>
      </c>
      <c r="G66" s="16">
        <f>12/11*C66</f>
        <v>71.989090909090905</v>
      </c>
      <c r="H66" s="8"/>
      <c r="I66" s="9"/>
      <c r="J66" s="9"/>
    </row>
    <row r="67" spans="1:10" x14ac:dyDescent="0.25">
      <c r="A67" s="22" t="s">
        <v>75</v>
      </c>
      <c r="B67" s="22"/>
      <c r="C67" s="16">
        <v>271.3</v>
      </c>
      <c r="D67" s="16">
        <v>303.69</v>
      </c>
      <c r="E67" s="16">
        <v>291.51</v>
      </c>
      <c r="F67" s="16">
        <v>284.45</v>
      </c>
      <c r="G67" s="16">
        <f>12/11*C67</f>
        <v>295.96363636363634</v>
      </c>
      <c r="H67" s="8"/>
      <c r="I67" s="9"/>
      <c r="J67" s="9"/>
    </row>
    <row r="68" spans="1:10" x14ac:dyDescent="0.25">
      <c r="A68" s="22" t="s">
        <v>76</v>
      </c>
      <c r="B68" s="22"/>
      <c r="C68" s="16">
        <v>79.349999999999994</v>
      </c>
      <c r="D68" s="16">
        <v>108.21</v>
      </c>
      <c r="E68" s="16">
        <v>116.46</v>
      </c>
      <c r="F68" s="16">
        <v>79.959999999999994</v>
      </c>
      <c r="G68" s="16">
        <f>12/11*C68</f>
        <v>86.563636363636348</v>
      </c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23" t="s">
        <v>60</v>
      </c>
      <c r="B71" s="24"/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77</v>
      </c>
      <c r="B72" s="1" t="s">
        <v>279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70</v>
      </c>
      <c r="B73" s="1" t="s">
        <v>79</v>
      </c>
      <c r="C73" s="8"/>
      <c r="D73" s="8"/>
      <c r="E73" s="8"/>
      <c r="F73" s="8"/>
      <c r="G73" s="8"/>
      <c r="H73" s="8"/>
      <c r="I73" s="9"/>
      <c r="J73" s="9"/>
    </row>
    <row r="74" spans="1:10" x14ac:dyDescent="0.25">
      <c r="A74" s="3" t="s">
        <v>71</v>
      </c>
      <c r="B74" s="1" t="s">
        <v>80</v>
      </c>
      <c r="C74" s="8"/>
      <c r="D74" s="8"/>
      <c r="E74" s="8"/>
      <c r="F74" s="8"/>
      <c r="G74" s="8"/>
      <c r="H74" s="8"/>
      <c r="I74" s="9"/>
      <c r="J74" s="9"/>
    </row>
    <row r="75" spans="1:10" x14ac:dyDescent="0.25">
      <c r="A75" s="3" t="s">
        <v>72</v>
      </c>
      <c r="B75" s="1" t="s">
        <v>81</v>
      </c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</sheetData>
  <mergeCells count="19">
    <mergeCell ref="C7:G7"/>
    <mergeCell ref="A44:B44"/>
    <mergeCell ref="A45:B45"/>
    <mergeCell ref="A50:B50"/>
    <mergeCell ref="A51:B51"/>
    <mergeCell ref="J59:J60"/>
    <mergeCell ref="A60:B60"/>
    <mergeCell ref="A64:B64"/>
    <mergeCell ref="A65:B65"/>
    <mergeCell ref="A52:B52"/>
    <mergeCell ref="A53:B53"/>
    <mergeCell ref="A58:B58"/>
    <mergeCell ref="A59:B59"/>
    <mergeCell ref="H59:H60"/>
    <mergeCell ref="A66:B66"/>
    <mergeCell ref="A67:B67"/>
    <mergeCell ref="A68:B68"/>
    <mergeCell ref="A71:B71"/>
    <mergeCell ref="I59:I60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J76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7.28515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280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6015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49</v>
      </c>
      <c r="C9" s="10"/>
      <c r="D9" s="10"/>
      <c r="E9" s="10"/>
      <c r="F9" s="10">
        <v>6</v>
      </c>
      <c r="G9" s="10">
        <f t="shared" ref="G9:G44" si="0">SUM(C9:F9)</f>
        <v>6</v>
      </c>
      <c r="H9" s="16">
        <f t="shared" ref="H9:H44" si="1">ROUND(G9/6015,2)</f>
        <v>0</v>
      </c>
      <c r="I9" s="15">
        <f t="shared" ref="I9:I44" si="2">ROUND(G9/$G$45,3)</f>
        <v>0</v>
      </c>
      <c r="J9" s="15"/>
    </row>
    <row r="10" spans="1:10" x14ac:dyDescent="0.25">
      <c r="A10" s="1" t="s">
        <v>48</v>
      </c>
      <c r="B10" s="1" t="s">
        <v>86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/>
    </row>
    <row r="11" spans="1:10" x14ac:dyDescent="0.25">
      <c r="A11" s="1" t="s">
        <v>48</v>
      </c>
      <c r="B11" s="1" t="s">
        <v>50</v>
      </c>
      <c r="C11" s="10"/>
      <c r="D11" s="10"/>
      <c r="E11" s="10"/>
      <c r="F11" s="10"/>
      <c r="G11" s="10">
        <f t="shared" si="0"/>
        <v>0</v>
      </c>
      <c r="H11" s="16">
        <f t="shared" si="1"/>
        <v>0</v>
      </c>
      <c r="I11" s="15">
        <f t="shared" si="2"/>
        <v>0</v>
      </c>
      <c r="J11" s="15">
        <f>ROUND(G11/635-1,2)</f>
        <v>-1</v>
      </c>
    </row>
    <row r="12" spans="1:10" x14ac:dyDescent="0.25">
      <c r="A12" s="1" t="s">
        <v>48</v>
      </c>
      <c r="B12" s="1" t="s">
        <v>51</v>
      </c>
      <c r="C12" s="10"/>
      <c r="D12" s="10"/>
      <c r="E12" s="10"/>
      <c r="F12" s="10"/>
      <c r="G12" s="10">
        <f t="shared" si="0"/>
        <v>0</v>
      </c>
      <c r="H12" s="16">
        <f t="shared" si="1"/>
        <v>0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17</v>
      </c>
      <c r="C13" s="10"/>
      <c r="D13" s="10"/>
      <c r="E13" s="10">
        <v>40</v>
      </c>
      <c r="F13" s="10"/>
      <c r="G13" s="10">
        <f t="shared" si="0"/>
        <v>40</v>
      </c>
      <c r="H13" s="16">
        <f t="shared" si="1"/>
        <v>0.01</v>
      </c>
      <c r="I13" s="15">
        <f t="shared" si="2"/>
        <v>0</v>
      </c>
      <c r="J13" s="15">
        <f>ROUND(G13/111-1,2)</f>
        <v>-0.64</v>
      </c>
    </row>
    <row r="14" spans="1:10" x14ac:dyDescent="0.25">
      <c r="A14" s="1" t="s">
        <v>16</v>
      </c>
      <c r="B14" s="1" t="s">
        <v>19</v>
      </c>
      <c r="C14" s="10">
        <v>200055</v>
      </c>
      <c r="D14" s="10"/>
      <c r="E14" s="10">
        <v>6930</v>
      </c>
      <c r="F14" s="10">
        <v>1925</v>
      </c>
      <c r="G14" s="10">
        <f t="shared" si="0"/>
        <v>208910</v>
      </c>
      <c r="H14" s="16">
        <f t="shared" si="1"/>
        <v>34.729999999999997</v>
      </c>
      <c r="I14" s="15">
        <f t="shared" si="2"/>
        <v>9.8000000000000004E-2</v>
      </c>
      <c r="J14" s="15">
        <f>ROUND(G14/196430-1,2)</f>
        <v>0.06</v>
      </c>
    </row>
    <row r="15" spans="1:10" x14ac:dyDescent="0.25">
      <c r="A15" s="1" t="s">
        <v>16</v>
      </c>
      <c r="B15" s="1" t="s">
        <v>20</v>
      </c>
      <c r="C15" s="10">
        <v>215680</v>
      </c>
      <c r="D15" s="10"/>
      <c r="E15" s="10"/>
      <c r="F15" s="10"/>
      <c r="G15" s="10">
        <f t="shared" si="0"/>
        <v>215680</v>
      </c>
      <c r="H15" s="16">
        <f t="shared" si="1"/>
        <v>35.86</v>
      </c>
      <c r="I15" s="15">
        <f t="shared" si="2"/>
        <v>0.10199999999999999</v>
      </c>
      <c r="J15" s="15">
        <f>ROUND(G15/221590-1,2)</f>
        <v>-0.03</v>
      </c>
    </row>
    <row r="16" spans="1:10" x14ac:dyDescent="0.25">
      <c r="A16" s="1" t="s">
        <v>16</v>
      </c>
      <c r="B16" s="1" t="s">
        <v>95</v>
      </c>
      <c r="C16" s="10"/>
      <c r="D16" s="10"/>
      <c r="E16" s="10">
        <v>358</v>
      </c>
      <c r="F16" s="10"/>
      <c r="G16" s="10">
        <f t="shared" si="0"/>
        <v>358</v>
      </c>
      <c r="H16" s="16">
        <f t="shared" si="1"/>
        <v>0.06</v>
      </c>
      <c r="I16" s="15">
        <f t="shared" si="2"/>
        <v>0</v>
      </c>
      <c r="J16" s="15">
        <f>ROUND(G16/211-1,2)</f>
        <v>0.7</v>
      </c>
    </row>
    <row r="17" spans="1:10" x14ac:dyDescent="0.25">
      <c r="A17" s="1" t="s">
        <v>16</v>
      </c>
      <c r="B17" s="1" t="s">
        <v>21</v>
      </c>
      <c r="C17" s="10"/>
      <c r="D17" s="10"/>
      <c r="E17" s="10">
        <v>304</v>
      </c>
      <c r="F17" s="10"/>
      <c r="G17" s="10">
        <f t="shared" si="0"/>
        <v>304</v>
      </c>
      <c r="H17" s="16">
        <f t="shared" si="1"/>
        <v>0.05</v>
      </c>
      <c r="I17" s="15">
        <f t="shared" si="2"/>
        <v>0</v>
      </c>
      <c r="J17" s="15">
        <f>ROUND(G17/323-1,2)</f>
        <v>-0.06</v>
      </c>
    </row>
    <row r="18" spans="1:10" x14ac:dyDescent="0.25">
      <c r="A18" s="1" t="s">
        <v>16</v>
      </c>
      <c r="B18" s="1" t="s">
        <v>22</v>
      </c>
      <c r="C18" s="10"/>
      <c r="D18" s="10"/>
      <c r="E18" s="10">
        <v>2580</v>
      </c>
      <c r="F18" s="10"/>
      <c r="G18" s="10">
        <f t="shared" si="0"/>
        <v>2580</v>
      </c>
      <c r="H18" s="16">
        <f t="shared" si="1"/>
        <v>0.43</v>
      </c>
      <c r="I18" s="15">
        <f t="shared" si="2"/>
        <v>1E-3</v>
      </c>
      <c r="J18" s="15">
        <f>ROUND(G18/5400-1,2)</f>
        <v>-0.52</v>
      </c>
    </row>
    <row r="19" spans="1:10" x14ac:dyDescent="0.25">
      <c r="A19" s="1" t="s">
        <v>16</v>
      </c>
      <c r="B19" s="1" t="s">
        <v>23</v>
      </c>
      <c r="C19" s="10"/>
      <c r="D19" s="10"/>
      <c r="E19" s="10">
        <v>58480</v>
      </c>
      <c r="F19" s="10"/>
      <c r="G19" s="10">
        <f t="shared" si="0"/>
        <v>58480</v>
      </c>
      <c r="H19" s="16">
        <f t="shared" si="1"/>
        <v>9.7200000000000006</v>
      </c>
      <c r="I19" s="15">
        <f t="shared" si="2"/>
        <v>2.8000000000000001E-2</v>
      </c>
      <c r="J19" s="15">
        <f>ROUND(G19/57700-1,2)</f>
        <v>0.01</v>
      </c>
    </row>
    <row r="20" spans="1:10" x14ac:dyDescent="0.25">
      <c r="A20" s="1" t="s">
        <v>16</v>
      </c>
      <c r="B20" s="1" t="s">
        <v>24</v>
      </c>
      <c r="C20" s="10">
        <v>325130</v>
      </c>
      <c r="D20" s="10"/>
      <c r="E20" s="10">
        <v>32540</v>
      </c>
      <c r="F20" s="10">
        <v>5460</v>
      </c>
      <c r="G20" s="10">
        <f t="shared" si="0"/>
        <v>363130</v>
      </c>
      <c r="H20" s="16">
        <f t="shared" si="1"/>
        <v>60.37</v>
      </c>
      <c r="I20" s="15">
        <f t="shared" si="2"/>
        <v>0.17100000000000001</v>
      </c>
      <c r="J20" s="15">
        <f>ROUND(G20/354750-1,2)</f>
        <v>0.02</v>
      </c>
    </row>
    <row r="21" spans="1:10" x14ac:dyDescent="0.25">
      <c r="A21" s="1" t="s">
        <v>16</v>
      </c>
      <c r="B21" s="1" t="s">
        <v>25</v>
      </c>
      <c r="C21" s="10"/>
      <c r="D21" s="10"/>
      <c r="E21" s="10">
        <v>9960</v>
      </c>
      <c r="F21" s="10"/>
      <c r="G21" s="10">
        <f t="shared" si="0"/>
        <v>9960</v>
      </c>
      <c r="H21" s="16">
        <f t="shared" si="1"/>
        <v>1.66</v>
      </c>
      <c r="I21" s="15">
        <f t="shared" si="2"/>
        <v>5.0000000000000001E-3</v>
      </c>
      <c r="J21" s="15">
        <f>ROUND(G21/9875-1,2)</f>
        <v>0.01</v>
      </c>
    </row>
    <row r="22" spans="1:10" x14ac:dyDescent="0.25">
      <c r="A22" s="1" t="s">
        <v>16</v>
      </c>
      <c r="B22" s="1" t="s">
        <v>26</v>
      </c>
      <c r="C22" s="10">
        <v>404150</v>
      </c>
      <c r="D22" s="10"/>
      <c r="E22" s="10"/>
      <c r="F22" s="10">
        <v>1510</v>
      </c>
      <c r="G22" s="10">
        <f t="shared" si="0"/>
        <v>405660</v>
      </c>
      <c r="H22" s="16">
        <f t="shared" si="1"/>
        <v>67.44</v>
      </c>
      <c r="I22" s="15">
        <f t="shared" si="2"/>
        <v>0.191</v>
      </c>
      <c r="J22" s="15">
        <f>ROUND(G22/386520-1,2)</f>
        <v>0.05</v>
      </c>
    </row>
    <row r="23" spans="1:10" x14ac:dyDescent="0.25">
      <c r="A23" s="1" t="s">
        <v>16</v>
      </c>
      <c r="B23" s="1" t="s">
        <v>27</v>
      </c>
      <c r="C23" s="10"/>
      <c r="D23" s="10"/>
      <c r="E23" s="10">
        <v>2448</v>
      </c>
      <c r="F23" s="10"/>
      <c r="G23" s="10">
        <f t="shared" si="0"/>
        <v>2448</v>
      </c>
      <c r="H23" s="16">
        <f t="shared" si="1"/>
        <v>0.41</v>
      </c>
      <c r="I23" s="15">
        <f t="shared" si="2"/>
        <v>1E-3</v>
      </c>
      <c r="J23" s="15">
        <f>ROUND(G23/2866-1,2)</f>
        <v>-0.15</v>
      </c>
    </row>
    <row r="24" spans="1:10" x14ac:dyDescent="0.25">
      <c r="A24" s="1" t="s">
        <v>16</v>
      </c>
      <c r="B24" s="1" t="s">
        <v>28</v>
      </c>
      <c r="C24" s="10"/>
      <c r="D24" s="10"/>
      <c r="E24" s="10">
        <v>1770</v>
      </c>
      <c r="F24" s="10"/>
      <c r="G24" s="10">
        <f t="shared" si="0"/>
        <v>1770</v>
      </c>
      <c r="H24" s="16">
        <f t="shared" si="1"/>
        <v>0.28999999999999998</v>
      </c>
      <c r="I24" s="15">
        <f t="shared" si="2"/>
        <v>1E-3</v>
      </c>
      <c r="J24" s="15">
        <f>ROUND(G24/1845-1,2)</f>
        <v>-0.04</v>
      </c>
    </row>
    <row r="25" spans="1:10" x14ac:dyDescent="0.25">
      <c r="A25" s="1" t="s">
        <v>16</v>
      </c>
      <c r="B25" s="1" t="s">
        <v>42</v>
      </c>
      <c r="C25" s="10"/>
      <c r="D25" s="10"/>
      <c r="E25" s="10">
        <v>180</v>
      </c>
      <c r="F25" s="10"/>
      <c r="G25" s="10">
        <f t="shared" si="0"/>
        <v>180</v>
      </c>
      <c r="H25" s="16">
        <f t="shared" si="1"/>
        <v>0.03</v>
      </c>
      <c r="I25" s="15">
        <f t="shared" si="2"/>
        <v>0</v>
      </c>
      <c r="J25" s="15">
        <f>ROUND(G25/373-1,2)</f>
        <v>-0.52</v>
      </c>
    </row>
    <row r="26" spans="1:10" x14ac:dyDescent="0.25">
      <c r="A26" s="1" t="s">
        <v>16</v>
      </c>
      <c r="B26" s="1" t="s">
        <v>29</v>
      </c>
      <c r="C26" s="10"/>
      <c r="D26" s="10"/>
      <c r="E26" s="10">
        <v>3300</v>
      </c>
      <c r="F26" s="10"/>
      <c r="G26" s="10">
        <f t="shared" si="0"/>
        <v>3300</v>
      </c>
      <c r="H26" s="16">
        <f t="shared" si="1"/>
        <v>0.55000000000000004</v>
      </c>
      <c r="I26" s="15">
        <f t="shared" si="2"/>
        <v>2E-3</v>
      </c>
      <c r="J26" s="15">
        <f>ROUND(G26/7820-1,2)</f>
        <v>-0.57999999999999996</v>
      </c>
    </row>
    <row r="27" spans="1:10" x14ac:dyDescent="0.25">
      <c r="A27" s="1" t="s">
        <v>16</v>
      </c>
      <c r="B27" s="1" t="s">
        <v>30</v>
      </c>
      <c r="C27" s="10"/>
      <c r="D27" s="10"/>
      <c r="E27" s="10">
        <v>1560</v>
      </c>
      <c r="F27" s="10"/>
      <c r="G27" s="10">
        <f t="shared" si="0"/>
        <v>1560</v>
      </c>
      <c r="H27" s="16">
        <f t="shared" si="1"/>
        <v>0.26</v>
      </c>
      <c r="I27" s="15">
        <f t="shared" si="2"/>
        <v>1E-3</v>
      </c>
      <c r="J27" s="15">
        <f>ROUND(G27/2000-1,2)</f>
        <v>-0.22</v>
      </c>
    </row>
    <row r="28" spans="1:10" x14ac:dyDescent="0.25">
      <c r="A28" s="1" t="s">
        <v>16</v>
      </c>
      <c r="B28" s="1" t="s">
        <v>31</v>
      </c>
      <c r="C28" s="10"/>
      <c r="D28" s="10"/>
      <c r="E28" s="10">
        <v>490</v>
      </c>
      <c r="F28" s="10"/>
      <c r="G28" s="10">
        <f t="shared" si="0"/>
        <v>490</v>
      </c>
      <c r="H28" s="16">
        <f t="shared" si="1"/>
        <v>0.08</v>
      </c>
      <c r="I28" s="15">
        <f t="shared" si="2"/>
        <v>0</v>
      </c>
      <c r="J28" s="15">
        <f>ROUND(G28/580-1,2)</f>
        <v>-0.16</v>
      </c>
    </row>
    <row r="29" spans="1:10" x14ac:dyDescent="0.25">
      <c r="A29" s="1" t="s">
        <v>16</v>
      </c>
      <c r="B29" s="1" t="s">
        <v>32</v>
      </c>
      <c r="C29" s="10"/>
      <c r="D29" s="10"/>
      <c r="E29" s="10">
        <v>2250</v>
      </c>
      <c r="F29" s="10"/>
      <c r="G29" s="10">
        <f t="shared" si="0"/>
        <v>2250</v>
      </c>
      <c r="H29" s="16">
        <f t="shared" si="1"/>
        <v>0.37</v>
      </c>
      <c r="I29" s="15">
        <f t="shared" si="2"/>
        <v>1E-3</v>
      </c>
      <c r="J29" s="15">
        <f>ROUND(G29/3185-1,2)</f>
        <v>-0.28999999999999998</v>
      </c>
    </row>
    <row r="30" spans="1:10" x14ac:dyDescent="0.25">
      <c r="A30" s="1" t="s">
        <v>16</v>
      </c>
      <c r="B30" s="1" t="s">
        <v>33</v>
      </c>
      <c r="C30" s="10"/>
      <c r="D30" s="10">
        <v>475</v>
      </c>
      <c r="E30" s="10">
        <v>92</v>
      </c>
      <c r="F30" s="10"/>
      <c r="G30" s="10">
        <f t="shared" si="0"/>
        <v>567</v>
      </c>
      <c r="H30" s="16">
        <f t="shared" si="1"/>
        <v>0.09</v>
      </c>
      <c r="I30" s="15">
        <f t="shared" si="2"/>
        <v>0</v>
      </c>
      <c r="J30" s="15">
        <f>ROUND(G30/470-1,2)</f>
        <v>0.21</v>
      </c>
    </row>
    <row r="31" spans="1:10" x14ac:dyDescent="0.25">
      <c r="A31" s="1" t="s">
        <v>16</v>
      </c>
      <c r="B31" s="1" t="s">
        <v>34</v>
      </c>
      <c r="C31" s="10"/>
      <c r="D31" s="10"/>
      <c r="E31" s="10">
        <v>740</v>
      </c>
      <c r="F31" s="10"/>
      <c r="G31" s="10">
        <f t="shared" si="0"/>
        <v>740</v>
      </c>
      <c r="H31" s="16">
        <f t="shared" si="1"/>
        <v>0.12</v>
      </c>
      <c r="I31" s="15">
        <f t="shared" si="2"/>
        <v>0</v>
      </c>
      <c r="J31" s="15">
        <f>ROUND(G31/2050-1,2)</f>
        <v>-0.64</v>
      </c>
    </row>
    <row r="32" spans="1:10" x14ac:dyDescent="0.25">
      <c r="A32" s="1" t="s">
        <v>16</v>
      </c>
      <c r="B32" s="1" t="s">
        <v>43</v>
      </c>
      <c r="C32" s="10"/>
      <c r="D32" s="10"/>
      <c r="E32" s="10">
        <v>7720</v>
      </c>
      <c r="F32" s="10"/>
      <c r="G32" s="10">
        <f t="shared" si="0"/>
        <v>7720</v>
      </c>
      <c r="H32" s="16">
        <f t="shared" si="1"/>
        <v>1.28</v>
      </c>
      <c r="I32" s="15">
        <f t="shared" si="2"/>
        <v>4.0000000000000001E-3</v>
      </c>
      <c r="J32" s="15">
        <f>ROUND(G32/16085-1,2)</f>
        <v>-0.52</v>
      </c>
    </row>
    <row r="33" spans="1:10" x14ac:dyDescent="0.25">
      <c r="A33" s="1" t="s">
        <v>16</v>
      </c>
      <c r="B33" s="1" t="s">
        <v>37</v>
      </c>
      <c r="C33" s="10"/>
      <c r="D33" s="10"/>
      <c r="E33" s="10">
        <v>4210</v>
      </c>
      <c r="F33" s="10"/>
      <c r="G33" s="10">
        <f t="shared" si="0"/>
        <v>4210</v>
      </c>
      <c r="H33" s="16">
        <f t="shared" si="1"/>
        <v>0.7</v>
      </c>
      <c r="I33" s="15">
        <f t="shared" si="2"/>
        <v>2E-3</v>
      </c>
      <c r="J33" s="15">
        <f>ROUND(G33/6320-1,2)</f>
        <v>-0.33</v>
      </c>
    </row>
    <row r="34" spans="1:10" x14ac:dyDescent="0.25">
      <c r="A34" s="1" t="s">
        <v>16</v>
      </c>
      <c r="B34" s="1" t="s">
        <v>38</v>
      </c>
      <c r="C34" s="10"/>
      <c r="D34" s="10"/>
      <c r="E34" s="10">
        <v>151775</v>
      </c>
      <c r="F34" s="10"/>
      <c r="G34" s="10">
        <f t="shared" si="0"/>
        <v>151775</v>
      </c>
      <c r="H34" s="16">
        <f t="shared" si="1"/>
        <v>25.23</v>
      </c>
      <c r="I34" s="15">
        <f t="shared" si="2"/>
        <v>7.0999999999999994E-2</v>
      </c>
      <c r="J34" s="15">
        <f>ROUND(G34/148150-1,2)</f>
        <v>0.02</v>
      </c>
    </row>
    <row r="35" spans="1:10" x14ac:dyDescent="0.25">
      <c r="A35" s="1" t="s">
        <v>16</v>
      </c>
      <c r="B35" s="1" t="s">
        <v>39</v>
      </c>
      <c r="C35" s="10"/>
      <c r="D35" s="10"/>
      <c r="E35" s="10">
        <v>7230</v>
      </c>
      <c r="F35" s="10"/>
      <c r="G35" s="10">
        <f t="shared" si="0"/>
        <v>7230</v>
      </c>
      <c r="H35" s="16">
        <f t="shared" si="1"/>
        <v>1.2</v>
      </c>
      <c r="I35" s="15">
        <f t="shared" si="2"/>
        <v>3.0000000000000001E-3</v>
      </c>
      <c r="J35" s="15">
        <f>ROUND(G35/6420-1,2)</f>
        <v>0.13</v>
      </c>
    </row>
    <row r="36" spans="1:10" x14ac:dyDescent="0.25">
      <c r="A36" s="1" t="s">
        <v>16</v>
      </c>
      <c r="B36" s="1" t="s">
        <v>40</v>
      </c>
      <c r="C36" s="10"/>
      <c r="D36" s="10"/>
      <c r="E36" s="10">
        <v>30150</v>
      </c>
      <c r="F36" s="10"/>
      <c r="G36" s="10">
        <f t="shared" si="0"/>
        <v>30150</v>
      </c>
      <c r="H36" s="16">
        <f t="shared" si="1"/>
        <v>5.01</v>
      </c>
      <c r="I36" s="15">
        <f t="shared" si="2"/>
        <v>1.4E-2</v>
      </c>
      <c r="J36" s="15">
        <f>ROUND(G36/30690-1,2)</f>
        <v>-0.02</v>
      </c>
    </row>
    <row r="37" spans="1:10" x14ac:dyDescent="0.25">
      <c r="A37" s="1" t="s">
        <v>16</v>
      </c>
      <c r="B37" s="1" t="s">
        <v>41</v>
      </c>
      <c r="C37" s="10"/>
      <c r="D37" s="10"/>
      <c r="E37" s="10">
        <v>219330</v>
      </c>
      <c r="F37" s="10"/>
      <c r="G37" s="10">
        <f t="shared" si="0"/>
        <v>219330</v>
      </c>
      <c r="H37" s="16">
        <f t="shared" si="1"/>
        <v>36.46</v>
      </c>
      <c r="I37" s="15">
        <f t="shared" si="2"/>
        <v>0.10299999999999999</v>
      </c>
      <c r="J37" s="15">
        <f>ROUND(G37/198850-1,2)</f>
        <v>0.1</v>
      </c>
    </row>
    <row r="38" spans="1:10" x14ac:dyDescent="0.25">
      <c r="A38" s="1" t="s">
        <v>16</v>
      </c>
      <c r="B38" s="1" t="s">
        <v>98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ROUND(G38/380-1,2)</f>
        <v>-1</v>
      </c>
    </row>
    <row r="39" spans="1:10" x14ac:dyDescent="0.25">
      <c r="A39" s="1" t="s">
        <v>16</v>
      </c>
      <c r="B39" s="1" t="s">
        <v>35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ROUND(G39/569-1,2)</f>
        <v>-1</v>
      </c>
    </row>
    <row r="40" spans="1:10" x14ac:dyDescent="0.25">
      <c r="A40" s="1" t="s">
        <v>16</v>
      </c>
      <c r="B40" s="1" t="s">
        <v>36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ROUND(G40/4972-1,2)</f>
        <v>-1</v>
      </c>
    </row>
    <row r="41" spans="1:10" x14ac:dyDescent="0.25">
      <c r="A41" s="1" t="s">
        <v>16</v>
      </c>
      <c r="B41" s="1" t="s">
        <v>120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1" t="s">
        <v>44</v>
      </c>
      <c r="B42" s="1" t="s">
        <v>45</v>
      </c>
      <c r="C42" s="10">
        <v>295645</v>
      </c>
      <c r="D42" s="10"/>
      <c r="E42" s="10"/>
      <c r="F42" s="10"/>
      <c r="G42" s="10">
        <f t="shared" si="0"/>
        <v>295645</v>
      </c>
      <c r="H42" s="16">
        <f t="shared" si="1"/>
        <v>49.15</v>
      </c>
      <c r="I42" s="15">
        <f t="shared" si="2"/>
        <v>0.13900000000000001</v>
      </c>
      <c r="J42" s="15">
        <f>ROUND(G42/321400-1,2)</f>
        <v>-0.08</v>
      </c>
    </row>
    <row r="43" spans="1:10" x14ac:dyDescent="0.25">
      <c r="A43" s="1" t="s">
        <v>44</v>
      </c>
      <c r="B43" s="1" t="s">
        <v>47</v>
      </c>
      <c r="C43" s="10"/>
      <c r="D43" s="10"/>
      <c r="E43" s="10"/>
      <c r="F43" s="10">
        <v>29000</v>
      </c>
      <c r="G43" s="10">
        <f t="shared" si="0"/>
        <v>29000</v>
      </c>
      <c r="H43" s="16">
        <f t="shared" si="1"/>
        <v>4.82</v>
      </c>
      <c r="I43" s="15">
        <f t="shared" si="2"/>
        <v>1.4E-2</v>
      </c>
      <c r="J43" s="15">
        <f>ROUND(G43/45340-1,2)</f>
        <v>-0.36</v>
      </c>
    </row>
    <row r="44" spans="1:10" x14ac:dyDescent="0.25">
      <c r="A44" s="1" t="s">
        <v>44</v>
      </c>
      <c r="B44" s="1" t="s">
        <v>46</v>
      </c>
      <c r="C44" s="10"/>
      <c r="D44" s="10"/>
      <c r="E44" s="10">
        <v>99725</v>
      </c>
      <c r="F44" s="10"/>
      <c r="G44" s="10">
        <f t="shared" si="0"/>
        <v>99725</v>
      </c>
      <c r="H44" s="16">
        <f t="shared" si="1"/>
        <v>16.579999999999998</v>
      </c>
      <c r="I44" s="15">
        <f t="shared" si="2"/>
        <v>4.7E-2</v>
      </c>
      <c r="J44" s="15">
        <f>ROUND(G44/86630-1,2)</f>
        <v>0.15</v>
      </c>
    </row>
    <row r="45" spans="1:10" x14ac:dyDescent="0.25">
      <c r="A45" s="27" t="s">
        <v>12</v>
      </c>
      <c r="B45" s="27"/>
      <c r="C45" s="11">
        <f t="shared" ref="C45:H45" si="3">SUM(C8:C44)</f>
        <v>1440660</v>
      </c>
      <c r="D45" s="11">
        <f t="shared" si="3"/>
        <v>475</v>
      </c>
      <c r="E45" s="11">
        <f t="shared" si="3"/>
        <v>644162</v>
      </c>
      <c r="F45" s="11">
        <f t="shared" si="3"/>
        <v>37901</v>
      </c>
      <c r="G45" s="11">
        <f t="shared" si="3"/>
        <v>2123198</v>
      </c>
      <c r="H45" s="14">
        <f t="shared" si="3"/>
        <v>352.95999999999992</v>
      </c>
      <c r="I45" s="17"/>
      <c r="J45" s="17"/>
    </row>
    <row r="46" spans="1:10" x14ac:dyDescent="0.25">
      <c r="A46" s="27" t="s">
        <v>14</v>
      </c>
      <c r="B46" s="27"/>
      <c r="C46" s="12">
        <f>ROUND(C45/G45,2)</f>
        <v>0.68</v>
      </c>
      <c r="D46" s="12">
        <f>ROUND(D45/G45,2)</f>
        <v>0</v>
      </c>
      <c r="E46" s="12">
        <f>ROUND(E45/G45,2)</f>
        <v>0.3</v>
      </c>
      <c r="F46" s="12">
        <f>ROUND(F45/G45,2)</f>
        <v>0.02</v>
      </c>
      <c r="G46" s="13"/>
      <c r="H46" s="13"/>
      <c r="I46" s="17"/>
      <c r="J46" s="17"/>
    </row>
    <row r="47" spans="1:10" x14ac:dyDescent="0.25">
      <c r="A47" s="2" t="s">
        <v>52</v>
      </c>
      <c r="B47" s="2"/>
      <c r="C47" s="13"/>
      <c r="D47" s="13"/>
      <c r="E47" s="13"/>
      <c r="F47" s="13"/>
      <c r="G47" s="13"/>
      <c r="H47" s="13"/>
      <c r="I47" s="17"/>
      <c r="J47" s="17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27" t="s">
        <v>53</v>
      </c>
      <c r="B51" s="27"/>
      <c r="C51" s="11" t="s">
        <v>8</v>
      </c>
      <c r="D51" s="11" t="s">
        <v>9</v>
      </c>
      <c r="E51" s="11" t="s">
        <v>10</v>
      </c>
      <c r="F51" s="11" t="s">
        <v>11</v>
      </c>
      <c r="G51" s="11" t="s">
        <v>12</v>
      </c>
      <c r="H51" s="14" t="s">
        <v>13</v>
      </c>
      <c r="I51" s="17"/>
      <c r="J51" s="17"/>
    </row>
    <row r="52" spans="1:10" x14ac:dyDescent="0.25">
      <c r="A52" s="22" t="s">
        <v>54</v>
      </c>
      <c r="B52" s="22"/>
      <c r="C52" s="10">
        <v>1145015</v>
      </c>
      <c r="D52" s="10">
        <v>475</v>
      </c>
      <c r="E52" s="10">
        <v>544437</v>
      </c>
      <c r="F52" s="10">
        <v>8895</v>
      </c>
      <c r="G52" s="10">
        <f>SUM(C52:F52)</f>
        <v>1698822</v>
      </c>
      <c r="H52" s="16">
        <f>ROUND(G52/6015,2)</f>
        <v>282.43</v>
      </c>
      <c r="I52" s="9"/>
      <c r="J52" s="9"/>
    </row>
    <row r="53" spans="1:10" x14ac:dyDescent="0.25">
      <c r="A53" s="22" t="s">
        <v>55</v>
      </c>
      <c r="B53" s="22"/>
      <c r="C53" s="10">
        <v>295645</v>
      </c>
      <c r="D53" s="10">
        <v>0</v>
      </c>
      <c r="E53" s="10">
        <v>99725</v>
      </c>
      <c r="F53" s="10">
        <v>29000</v>
      </c>
      <c r="G53" s="10">
        <f>SUM(C53:F53)</f>
        <v>424370</v>
      </c>
      <c r="H53" s="16">
        <f>ROUND(G53/6015,2)</f>
        <v>70.55</v>
      </c>
      <c r="I53" s="9"/>
      <c r="J53" s="9"/>
    </row>
    <row r="54" spans="1:10" x14ac:dyDescent="0.25">
      <c r="A54" s="22" t="s">
        <v>56</v>
      </c>
      <c r="B54" s="22"/>
      <c r="C54" s="10">
        <v>0</v>
      </c>
      <c r="D54" s="10">
        <v>0</v>
      </c>
      <c r="E54" s="10">
        <v>0</v>
      </c>
      <c r="F54" s="10">
        <v>6</v>
      </c>
      <c r="G54" s="10">
        <f>SUM(C54:F54)</f>
        <v>6</v>
      </c>
      <c r="H54" s="16">
        <f>ROUND(G54/6015,2)</f>
        <v>0</v>
      </c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57</v>
      </c>
      <c r="B59" s="27"/>
      <c r="C59" s="3" t="s">
        <v>2</v>
      </c>
      <c r="D59" s="3">
        <v>2023</v>
      </c>
      <c r="E59" s="3" t="s">
        <v>59</v>
      </c>
      <c r="F59" s="2"/>
      <c r="G59" s="3" t="s">
        <v>60</v>
      </c>
      <c r="H59" s="3" t="s">
        <v>2</v>
      </c>
      <c r="I59" s="3" t="s">
        <v>61</v>
      </c>
      <c r="J59" s="3" t="s">
        <v>59</v>
      </c>
    </row>
    <row r="60" spans="1:10" x14ac:dyDescent="0.25">
      <c r="A60" s="22" t="s">
        <v>58</v>
      </c>
      <c r="B60" s="22"/>
      <c r="C60" s="7">
        <f>ROUND(0.8511, 4)</f>
        <v>0.85109999999999997</v>
      </c>
      <c r="D60" s="7">
        <f>ROUND(0.8366, 4)</f>
        <v>0.83660000000000001</v>
      </c>
      <c r="E60" s="7">
        <f>ROUND(0.777, 4)</f>
        <v>0.77700000000000002</v>
      </c>
      <c r="G60" s="3" t="s">
        <v>62</v>
      </c>
      <c r="H60" s="32" t="s">
        <v>63</v>
      </c>
      <c r="I60" s="32" t="s">
        <v>64</v>
      </c>
      <c r="J60" s="32" t="s">
        <v>65</v>
      </c>
    </row>
    <row r="61" spans="1:10" x14ac:dyDescent="0.25">
      <c r="A61" s="22" t="s">
        <v>66</v>
      </c>
      <c r="B61" s="22"/>
      <c r="C61" s="7">
        <f>ROUND(0.8382, 4)</f>
        <v>0.83819999999999995</v>
      </c>
      <c r="D61" s="7">
        <f>ROUND(0.8238, 4)</f>
        <v>0.82379999999999998</v>
      </c>
      <c r="E61" s="7">
        <f>ROUND(0.7608, 4)</f>
        <v>0.76080000000000003</v>
      </c>
      <c r="G61" s="3" t="s">
        <v>67</v>
      </c>
      <c r="H61" s="22"/>
      <c r="I61" s="22"/>
      <c r="J61" s="22"/>
    </row>
    <row r="65" spans="1:10" x14ac:dyDescent="0.25">
      <c r="A65" s="27" t="s">
        <v>68</v>
      </c>
      <c r="B65" s="27"/>
      <c r="C65" s="3" t="s">
        <v>2</v>
      </c>
      <c r="D65" s="3" t="s">
        <v>281</v>
      </c>
      <c r="E65" s="3" t="s">
        <v>70</v>
      </c>
      <c r="F65" s="3" t="s">
        <v>71</v>
      </c>
      <c r="G65" s="3" t="s">
        <v>72</v>
      </c>
      <c r="H65" s="2"/>
      <c r="I65" s="2"/>
      <c r="J65" s="2"/>
    </row>
    <row r="66" spans="1:10" x14ac:dyDescent="0.25">
      <c r="A66" s="22" t="s">
        <v>73</v>
      </c>
      <c r="B66" s="22"/>
      <c r="C66" s="1">
        <v>49.15</v>
      </c>
      <c r="D66" s="1">
        <v>76.19</v>
      </c>
      <c r="E66" s="1">
        <v>92.53</v>
      </c>
      <c r="F66" s="1">
        <v>56.06</v>
      </c>
      <c r="G66" s="1">
        <f>12/11*C66</f>
        <v>53.61818181818181</v>
      </c>
    </row>
    <row r="67" spans="1:10" x14ac:dyDescent="0.25">
      <c r="A67" s="22" t="s">
        <v>74</v>
      </c>
      <c r="B67" s="22"/>
      <c r="C67" s="1">
        <v>67.44</v>
      </c>
      <c r="D67" s="1">
        <v>63.23</v>
      </c>
      <c r="E67" s="1">
        <v>61.98</v>
      </c>
      <c r="F67" s="1">
        <v>64.09</v>
      </c>
      <c r="G67" s="1">
        <f>12/11*C67</f>
        <v>73.570909090909083</v>
      </c>
    </row>
    <row r="68" spans="1:10" x14ac:dyDescent="0.25">
      <c r="A68" s="22" t="s">
        <v>75</v>
      </c>
      <c r="B68" s="22"/>
      <c r="C68" s="1">
        <v>286.26</v>
      </c>
      <c r="D68" s="1">
        <v>297.58</v>
      </c>
      <c r="E68" s="1">
        <v>291.51</v>
      </c>
      <c r="F68" s="1">
        <v>284.45</v>
      </c>
      <c r="G68" s="1">
        <f>12/11*C68</f>
        <v>312.28363636363633</v>
      </c>
    </row>
    <row r="69" spans="1:10" x14ac:dyDescent="0.25">
      <c r="A69" s="22" t="s">
        <v>76</v>
      </c>
      <c r="B69" s="22"/>
      <c r="C69" s="1">
        <v>70.55</v>
      </c>
      <c r="D69" s="1">
        <v>98.14</v>
      </c>
      <c r="E69" s="1">
        <v>116.46</v>
      </c>
      <c r="F69" s="1">
        <v>79.959999999999994</v>
      </c>
      <c r="G69" s="1">
        <f>12/11*C69</f>
        <v>76.963636363636354</v>
      </c>
    </row>
    <row r="72" spans="1:10" x14ac:dyDescent="0.25">
      <c r="A72" s="23" t="s">
        <v>60</v>
      </c>
      <c r="B72" s="24"/>
    </row>
    <row r="73" spans="1:10" x14ac:dyDescent="0.25">
      <c r="A73" s="3" t="s">
        <v>77</v>
      </c>
      <c r="B73" s="1" t="s">
        <v>282</v>
      </c>
    </row>
    <row r="74" spans="1:10" x14ac:dyDescent="0.25">
      <c r="A74" s="3" t="s">
        <v>70</v>
      </c>
      <c r="B74" s="1" t="s">
        <v>79</v>
      </c>
    </row>
    <row r="75" spans="1:10" x14ac:dyDescent="0.25">
      <c r="A75" s="3" t="s">
        <v>71</v>
      </c>
      <c r="B75" s="1" t="s">
        <v>80</v>
      </c>
    </row>
    <row r="76" spans="1:10" x14ac:dyDescent="0.25">
      <c r="A76" s="3" t="s">
        <v>72</v>
      </c>
      <c r="B76" s="1" t="s">
        <v>81</v>
      </c>
    </row>
  </sheetData>
  <mergeCells count="19">
    <mergeCell ref="C7:G7"/>
    <mergeCell ref="A45:B45"/>
    <mergeCell ref="A46:B46"/>
    <mergeCell ref="A51:B51"/>
    <mergeCell ref="A52:B52"/>
    <mergeCell ref="J60:J61"/>
    <mergeCell ref="A61:B61"/>
    <mergeCell ref="A65:B65"/>
    <mergeCell ref="A66:B66"/>
    <mergeCell ref="A53:B53"/>
    <mergeCell ref="A54:B54"/>
    <mergeCell ref="A59:B59"/>
    <mergeCell ref="A60:B60"/>
    <mergeCell ref="H60:H61"/>
    <mergeCell ref="A67:B67"/>
    <mergeCell ref="A68:B68"/>
    <mergeCell ref="A69:B69"/>
    <mergeCell ref="A72:B72"/>
    <mergeCell ref="I60:I6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J70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2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283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267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>
        <v>9080</v>
      </c>
      <c r="D9" s="10"/>
      <c r="E9" s="10"/>
      <c r="F9" s="10"/>
      <c r="G9" s="10">
        <f t="shared" ref="G9:G26" si="0">SUM(C9:F9)</f>
        <v>9080</v>
      </c>
      <c r="H9" s="16">
        <f t="shared" ref="H9:H26" si="1">ROUND(G9/267,2)</f>
        <v>34.01</v>
      </c>
      <c r="I9" s="15">
        <f t="shared" ref="I9:I26" si="2">ROUND(G9/$G$27,3)</f>
        <v>7.0999999999999994E-2</v>
      </c>
      <c r="J9" s="15">
        <f>ROUND(G9/9510-1,2)</f>
        <v>-0.05</v>
      </c>
    </row>
    <row r="10" spans="1:10" x14ac:dyDescent="0.25">
      <c r="A10" s="1" t="s">
        <v>16</v>
      </c>
      <c r="B10" s="1" t="s">
        <v>20</v>
      </c>
      <c r="C10" s="10">
        <v>12950</v>
      </c>
      <c r="D10" s="10"/>
      <c r="E10" s="10"/>
      <c r="F10" s="10"/>
      <c r="G10" s="10">
        <f t="shared" si="0"/>
        <v>12950</v>
      </c>
      <c r="H10" s="16">
        <f t="shared" si="1"/>
        <v>48.5</v>
      </c>
      <c r="I10" s="15">
        <f t="shared" si="2"/>
        <v>0.10199999999999999</v>
      </c>
      <c r="J10" s="15">
        <f>ROUND(G10/16500-1,2)</f>
        <v>-0.22</v>
      </c>
    </row>
    <row r="11" spans="1:10" x14ac:dyDescent="0.25">
      <c r="A11" s="1" t="s">
        <v>16</v>
      </c>
      <c r="B11" s="1" t="s">
        <v>24</v>
      </c>
      <c r="C11" s="10">
        <v>14375</v>
      </c>
      <c r="D11" s="10"/>
      <c r="E11" s="10"/>
      <c r="F11" s="10"/>
      <c r="G11" s="10">
        <f t="shared" si="0"/>
        <v>14375</v>
      </c>
      <c r="H11" s="16">
        <f t="shared" si="1"/>
        <v>53.84</v>
      </c>
      <c r="I11" s="15">
        <f t="shared" si="2"/>
        <v>0.113</v>
      </c>
      <c r="J11" s="15">
        <f>ROUND(G11/18320-1,2)</f>
        <v>-0.22</v>
      </c>
    </row>
    <row r="12" spans="1:10" x14ac:dyDescent="0.25">
      <c r="A12" s="1" t="s">
        <v>16</v>
      </c>
      <c r="B12" s="1" t="s">
        <v>26</v>
      </c>
      <c r="C12" s="10">
        <v>26760</v>
      </c>
      <c r="D12" s="10"/>
      <c r="E12" s="10"/>
      <c r="F12" s="10"/>
      <c r="G12" s="10">
        <f t="shared" si="0"/>
        <v>26760</v>
      </c>
      <c r="H12" s="16">
        <f t="shared" si="1"/>
        <v>100.22</v>
      </c>
      <c r="I12" s="15">
        <f t="shared" si="2"/>
        <v>0.21</v>
      </c>
      <c r="J12" s="15">
        <f>ROUND(G12/24840-1,2)</f>
        <v>0.08</v>
      </c>
    </row>
    <row r="13" spans="1:10" x14ac:dyDescent="0.25">
      <c r="A13" s="1" t="s">
        <v>16</v>
      </c>
      <c r="B13" s="1" t="s">
        <v>30</v>
      </c>
      <c r="C13" s="10"/>
      <c r="D13" s="10"/>
      <c r="E13" s="10">
        <v>160</v>
      </c>
      <c r="F13" s="10"/>
      <c r="G13" s="10">
        <f t="shared" si="0"/>
        <v>160</v>
      </c>
      <c r="H13" s="16">
        <f t="shared" si="1"/>
        <v>0.6</v>
      </c>
      <c r="I13" s="15">
        <f t="shared" si="2"/>
        <v>1E-3</v>
      </c>
      <c r="J13" s="15">
        <f>ROUND(G13/180-1,2)</f>
        <v>-0.11</v>
      </c>
    </row>
    <row r="14" spans="1:10" x14ac:dyDescent="0.25">
      <c r="A14" s="1" t="s">
        <v>16</v>
      </c>
      <c r="B14" s="1" t="s">
        <v>33</v>
      </c>
      <c r="C14" s="10"/>
      <c r="D14" s="10">
        <v>104</v>
      </c>
      <c r="E14" s="10">
        <v>17</v>
      </c>
      <c r="F14" s="10"/>
      <c r="G14" s="10">
        <f t="shared" si="0"/>
        <v>121</v>
      </c>
      <c r="H14" s="16">
        <f t="shared" si="1"/>
        <v>0.45</v>
      </c>
      <c r="I14" s="15">
        <f t="shared" si="2"/>
        <v>1E-3</v>
      </c>
      <c r="J14" s="15">
        <f>ROUND(G14/77-1,2)</f>
        <v>0.56999999999999995</v>
      </c>
    </row>
    <row r="15" spans="1:10" x14ac:dyDescent="0.25">
      <c r="A15" s="1" t="s">
        <v>16</v>
      </c>
      <c r="B15" s="1" t="s">
        <v>38</v>
      </c>
      <c r="C15" s="10"/>
      <c r="D15" s="10"/>
      <c r="E15" s="10">
        <v>7940</v>
      </c>
      <c r="F15" s="10"/>
      <c r="G15" s="10">
        <f t="shared" si="0"/>
        <v>7940</v>
      </c>
      <c r="H15" s="16">
        <f t="shared" si="1"/>
        <v>29.74</v>
      </c>
      <c r="I15" s="15">
        <f t="shared" si="2"/>
        <v>6.2E-2</v>
      </c>
      <c r="J15" s="15">
        <f>ROUND(G15/5705-1,2)</f>
        <v>0.39</v>
      </c>
    </row>
    <row r="16" spans="1:10" x14ac:dyDescent="0.25">
      <c r="A16" s="1" t="s">
        <v>16</v>
      </c>
      <c r="B16" s="1" t="s">
        <v>40</v>
      </c>
      <c r="C16" s="10"/>
      <c r="D16" s="10"/>
      <c r="E16" s="10">
        <v>1220</v>
      </c>
      <c r="F16" s="10"/>
      <c r="G16" s="10">
        <f t="shared" si="0"/>
        <v>1220</v>
      </c>
      <c r="H16" s="16">
        <f t="shared" si="1"/>
        <v>4.57</v>
      </c>
      <c r="I16" s="15">
        <f t="shared" si="2"/>
        <v>0.01</v>
      </c>
      <c r="J16" s="15">
        <f>ROUND(G16/1720-1,2)</f>
        <v>-0.28999999999999998</v>
      </c>
    </row>
    <row r="17" spans="1:10" x14ac:dyDescent="0.25">
      <c r="A17" s="1" t="s">
        <v>16</v>
      </c>
      <c r="B17" s="1" t="s">
        <v>22</v>
      </c>
      <c r="C17" s="10"/>
      <c r="D17" s="10"/>
      <c r="E17" s="10"/>
      <c r="F17" s="10"/>
      <c r="G17" s="10">
        <f t="shared" si="0"/>
        <v>0</v>
      </c>
      <c r="H17" s="16">
        <f t="shared" si="1"/>
        <v>0</v>
      </c>
      <c r="I17" s="15">
        <f t="shared" si="2"/>
        <v>0</v>
      </c>
      <c r="J17" s="15"/>
    </row>
    <row r="18" spans="1:10" x14ac:dyDescent="0.25">
      <c r="A18" s="1" t="s">
        <v>16</v>
      </c>
      <c r="B18" s="1" t="s">
        <v>23</v>
      </c>
      <c r="C18" s="10"/>
      <c r="D18" s="10"/>
      <c r="E18" s="10"/>
      <c r="F18" s="10"/>
      <c r="G18" s="10">
        <f t="shared" si="0"/>
        <v>0</v>
      </c>
      <c r="H18" s="16">
        <f t="shared" si="1"/>
        <v>0</v>
      </c>
      <c r="I18" s="15">
        <f t="shared" si="2"/>
        <v>0</v>
      </c>
      <c r="J18" s="15"/>
    </row>
    <row r="19" spans="1:10" x14ac:dyDescent="0.25">
      <c r="A19" s="1" t="s">
        <v>16</v>
      </c>
      <c r="B19" s="1" t="s">
        <v>37</v>
      </c>
      <c r="C19" s="10"/>
      <c r="D19" s="10"/>
      <c r="E19" s="10"/>
      <c r="F19" s="10"/>
      <c r="G19" s="10">
        <f t="shared" si="0"/>
        <v>0</v>
      </c>
      <c r="H19" s="16">
        <f t="shared" si="1"/>
        <v>0</v>
      </c>
      <c r="I19" s="15">
        <f t="shared" si="2"/>
        <v>0</v>
      </c>
      <c r="J19" s="15">
        <f>ROUND(G19/320-1,2)</f>
        <v>-1</v>
      </c>
    </row>
    <row r="20" spans="1:10" x14ac:dyDescent="0.25">
      <c r="A20" s="1" t="s">
        <v>16</v>
      </c>
      <c r="B20" s="1" t="s">
        <v>25</v>
      </c>
      <c r="C20" s="10"/>
      <c r="D20" s="10"/>
      <c r="E20" s="10"/>
      <c r="F20" s="10"/>
      <c r="G20" s="10">
        <f t="shared" si="0"/>
        <v>0</v>
      </c>
      <c r="H20" s="16">
        <f t="shared" si="1"/>
        <v>0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36</v>
      </c>
      <c r="C21" s="10"/>
      <c r="D21" s="10"/>
      <c r="E21" s="10"/>
      <c r="F21" s="10"/>
      <c r="G21" s="10">
        <f t="shared" si="0"/>
        <v>0</v>
      </c>
      <c r="H21" s="16">
        <f t="shared" si="1"/>
        <v>0</v>
      </c>
      <c r="I21" s="15">
        <f t="shared" si="2"/>
        <v>0</v>
      </c>
      <c r="J21" s="15">
        <f>ROUND(G21/359-1,2)</f>
        <v>-1</v>
      </c>
    </row>
    <row r="22" spans="1:10" x14ac:dyDescent="0.25">
      <c r="A22" s="1" t="s">
        <v>16</v>
      </c>
      <c r="B22" s="1" t="s">
        <v>43</v>
      </c>
      <c r="C22" s="10"/>
      <c r="D22" s="10"/>
      <c r="E22" s="10"/>
      <c r="F22" s="10"/>
      <c r="G22" s="10">
        <f t="shared" si="0"/>
        <v>0</v>
      </c>
      <c r="H22" s="16">
        <f t="shared" si="1"/>
        <v>0</v>
      </c>
      <c r="I22" s="15">
        <f t="shared" si="2"/>
        <v>0</v>
      </c>
      <c r="J22" s="15"/>
    </row>
    <row r="23" spans="1:10" x14ac:dyDescent="0.25">
      <c r="A23" s="1" t="s">
        <v>16</v>
      </c>
      <c r="B23" s="1" t="s">
        <v>29</v>
      </c>
      <c r="C23" s="10"/>
      <c r="D23" s="10"/>
      <c r="E23" s="10"/>
      <c r="F23" s="10"/>
      <c r="G23" s="10">
        <f t="shared" si="0"/>
        <v>0</v>
      </c>
      <c r="H23" s="16">
        <f t="shared" si="1"/>
        <v>0</v>
      </c>
      <c r="I23" s="15">
        <f t="shared" si="2"/>
        <v>0</v>
      </c>
      <c r="J23" s="15">
        <f>ROUND(G23/420-1,2)</f>
        <v>-1</v>
      </c>
    </row>
    <row r="24" spans="1:10" x14ac:dyDescent="0.25">
      <c r="A24" s="1" t="s">
        <v>16</v>
      </c>
      <c r="B24" s="1" t="s">
        <v>35</v>
      </c>
      <c r="C24" s="10"/>
      <c r="D24" s="10"/>
      <c r="E24" s="10"/>
      <c r="F24" s="10"/>
      <c r="G24" s="10">
        <f t="shared" si="0"/>
        <v>0</v>
      </c>
      <c r="H24" s="16">
        <f t="shared" si="1"/>
        <v>0</v>
      </c>
      <c r="I24" s="15">
        <f t="shared" si="2"/>
        <v>0</v>
      </c>
      <c r="J24" s="15"/>
    </row>
    <row r="25" spans="1:10" x14ac:dyDescent="0.25">
      <c r="A25" s="1" t="s">
        <v>44</v>
      </c>
      <c r="B25" s="1" t="s">
        <v>45</v>
      </c>
      <c r="C25" s="10">
        <v>41615</v>
      </c>
      <c r="D25" s="10"/>
      <c r="E25" s="10"/>
      <c r="F25" s="10"/>
      <c r="G25" s="10">
        <f t="shared" si="0"/>
        <v>41615</v>
      </c>
      <c r="H25" s="16">
        <f t="shared" si="1"/>
        <v>155.86000000000001</v>
      </c>
      <c r="I25" s="15">
        <f t="shared" si="2"/>
        <v>0.32700000000000001</v>
      </c>
      <c r="J25" s="15">
        <f>ROUND(G25/38855-1,2)</f>
        <v>7.0000000000000007E-2</v>
      </c>
    </row>
    <row r="26" spans="1:10" x14ac:dyDescent="0.25">
      <c r="A26" s="1" t="s">
        <v>44</v>
      </c>
      <c r="B26" s="1" t="s">
        <v>46</v>
      </c>
      <c r="C26" s="10"/>
      <c r="D26" s="10"/>
      <c r="E26" s="10">
        <v>13180</v>
      </c>
      <c r="F26" s="10"/>
      <c r="G26" s="10">
        <f t="shared" si="0"/>
        <v>13180</v>
      </c>
      <c r="H26" s="16">
        <f t="shared" si="1"/>
        <v>49.36</v>
      </c>
      <c r="I26" s="15">
        <f t="shared" si="2"/>
        <v>0.10299999999999999</v>
      </c>
      <c r="J26" s="15">
        <f>ROUND(G26/12740-1,2)</f>
        <v>0.03</v>
      </c>
    </row>
    <row r="27" spans="1:10" x14ac:dyDescent="0.25">
      <c r="A27" s="27" t="s">
        <v>12</v>
      </c>
      <c r="B27" s="27"/>
      <c r="C27" s="11">
        <f t="shared" ref="C27:H27" si="3">SUM(C8:C26)</f>
        <v>104780</v>
      </c>
      <c r="D27" s="11">
        <f t="shared" si="3"/>
        <v>104</v>
      </c>
      <c r="E27" s="11">
        <f t="shared" si="3"/>
        <v>22517</v>
      </c>
      <c r="F27" s="11">
        <f t="shared" si="3"/>
        <v>0</v>
      </c>
      <c r="G27" s="11">
        <f t="shared" si="3"/>
        <v>127401</v>
      </c>
      <c r="H27" s="14">
        <f t="shared" si="3"/>
        <v>477.15</v>
      </c>
      <c r="I27" s="17"/>
      <c r="J27" s="17"/>
    </row>
    <row r="28" spans="1:10" x14ac:dyDescent="0.25">
      <c r="A28" s="27" t="s">
        <v>14</v>
      </c>
      <c r="B28" s="27"/>
      <c r="C28" s="12">
        <f>ROUND(C27/G27,2)</f>
        <v>0.82</v>
      </c>
      <c r="D28" s="12">
        <f>ROUND(D27/G27,2)</f>
        <v>0</v>
      </c>
      <c r="E28" s="12">
        <f>ROUND(E27/G27,2)</f>
        <v>0.18</v>
      </c>
      <c r="F28" s="12">
        <f>ROUND(F27/G27,2)</f>
        <v>0</v>
      </c>
      <c r="G28" s="13"/>
      <c r="H28" s="13"/>
      <c r="I28" s="17"/>
      <c r="J28" s="17"/>
    </row>
    <row r="29" spans="1:10" x14ac:dyDescent="0.25">
      <c r="A29" s="2" t="s">
        <v>52</v>
      </c>
      <c r="B29" s="2"/>
      <c r="C29" s="13"/>
      <c r="D29" s="13"/>
      <c r="E29" s="13"/>
      <c r="F29" s="13"/>
      <c r="G29" s="13"/>
      <c r="H29" s="13"/>
      <c r="I29" s="17"/>
      <c r="J29" s="17"/>
    </row>
    <row r="30" spans="1:10" x14ac:dyDescent="0.25">
      <c r="C30" s="8"/>
      <c r="D30" s="8"/>
      <c r="E30" s="8"/>
      <c r="F30" s="8"/>
      <c r="G30" s="8"/>
      <c r="H30" s="8"/>
      <c r="I30" s="9"/>
      <c r="J30" s="9"/>
    </row>
    <row r="31" spans="1:10" x14ac:dyDescent="0.25">
      <c r="C31" s="8"/>
      <c r="D31" s="8"/>
      <c r="E31" s="8"/>
      <c r="F31" s="8"/>
      <c r="G31" s="8"/>
      <c r="H31" s="8"/>
      <c r="I31" s="9"/>
      <c r="J31" s="9"/>
    </row>
    <row r="32" spans="1:10" x14ac:dyDescent="0.25">
      <c r="C32" s="8"/>
      <c r="D32" s="8"/>
      <c r="E32" s="8"/>
      <c r="F32" s="8"/>
      <c r="G32" s="8"/>
      <c r="H32" s="8"/>
      <c r="I32" s="9"/>
      <c r="J32" s="9"/>
    </row>
    <row r="33" spans="1:10" x14ac:dyDescent="0.25">
      <c r="A33" s="27" t="s">
        <v>53</v>
      </c>
      <c r="B33" s="27"/>
      <c r="C33" s="11" t="s">
        <v>8</v>
      </c>
      <c r="D33" s="11" t="s">
        <v>9</v>
      </c>
      <c r="E33" s="11" t="s">
        <v>10</v>
      </c>
      <c r="F33" s="11" t="s">
        <v>11</v>
      </c>
      <c r="G33" s="11" t="s">
        <v>12</v>
      </c>
      <c r="H33" s="14" t="s">
        <v>13</v>
      </c>
      <c r="I33" s="17"/>
      <c r="J33" s="17"/>
    </row>
    <row r="34" spans="1:10" x14ac:dyDescent="0.25">
      <c r="A34" s="22" t="s">
        <v>54</v>
      </c>
      <c r="B34" s="22"/>
      <c r="C34" s="10">
        <v>63165</v>
      </c>
      <c r="D34" s="10">
        <v>104</v>
      </c>
      <c r="E34" s="10">
        <v>9337</v>
      </c>
      <c r="F34" s="10">
        <v>0</v>
      </c>
      <c r="G34" s="10">
        <f>SUM(C34:F34)</f>
        <v>72606</v>
      </c>
      <c r="H34" s="16">
        <f>ROUND(G34/267,2)</f>
        <v>271.93</v>
      </c>
      <c r="I34" s="9"/>
      <c r="J34" s="9"/>
    </row>
    <row r="35" spans="1:10" x14ac:dyDescent="0.25">
      <c r="A35" s="22" t="s">
        <v>55</v>
      </c>
      <c r="B35" s="22"/>
      <c r="C35" s="10">
        <v>41615</v>
      </c>
      <c r="D35" s="10">
        <v>0</v>
      </c>
      <c r="E35" s="10">
        <v>13180</v>
      </c>
      <c r="F35" s="10">
        <v>0</v>
      </c>
      <c r="G35" s="10">
        <f>SUM(C35:F35)</f>
        <v>54795</v>
      </c>
      <c r="H35" s="16">
        <f>ROUND(G35/267,2)</f>
        <v>205.22</v>
      </c>
      <c r="I35" s="9"/>
      <c r="J35" s="9"/>
    </row>
    <row r="36" spans="1:10" x14ac:dyDescent="0.25">
      <c r="A36" s="22" t="s">
        <v>56</v>
      </c>
      <c r="B36" s="22"/>
      <c r="C36" s="10"/>
      <c r="D36" s="10"/>
      <c r="E36" s="10"/>
      <c r="F36" s="10"/>
      <c r="G36" s="10">
        <f>SUM(C36:F36)</f>
        <v>0</v>
      </c>
      <c r="H36" s="16">
        <f>ROUND(G36/267,2)</f>
        <v>0</v>
      </c>
      <c r="I36" s="9"/>
      <c r="J36" s="9"/>
    </row>
    <row r="37" spans="1:10" x14ac:dyDescent="0.25">
      <c r="C37" s="8"/>
      <c r="D37" s="8"/>
      <c r="E37" s="8"/>
      <c r="F37" s="8"/>
      <c r="G37" s="8"/>
      <c r="H37" s="8"/>
      <c r="I37" s="9"/>
      <c r="J37" s="9"/>
    </row>
    <row r="38" spans="1:10" x14ac:dyDescent="0.25">
      <c r="C38" s="8"/>
      <c r="D38" s="8"/>
      <c r="E38" s="8"/>
      <c r="F38" s="8"/>
      <c r="G38" s="8"/>
      <c r="H38" s="8"/>
      <c r="I38" s="9"/>
      <c r="J38" s="9"/>
    </row>
    <row r="39" spans="1:10" x14ac:dyDescent="0.25">
      <c r="C39" s="8"/>
      <c r="D39" s="8"/>
      <c r="E39" s="8"/>
      <c r="F39" s="8"/>
      <c r="G39" s="8"/>
      <c r="H39" s="8"/>
      <c r="I39" s="9"/>
      <c r="J39" s="9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A41" s="27" t="s">
        <v>57</v>
      </c>
      <c r="B41" s="27"/>
      <c r="C41" s="14" t="s">
        <v>2</v>
      </c>
      <c r="D41" s="14">
        <v>2023</v>
      </c>
      <c r="E41" s="14" t="s">
        <v>59</v>
      </c>
      <c r="F41" s="13"/>
      <c r="G41" s="14" t="s">
        <v>60</v>
      </c>
      <c r="H41" s="14" t="s">
        <v>2</v>
      </c>
      <c r="I41" s="12" t="s">
        <v>61</v>
      </c>
      <c r="J41" s="12" t="s">
        <v>59</v>
      </c>
    </row>
    <row r="42" spans="1:10" x14ac:dyDescent="0.25">
      <c r="A42" s="22" t="s">
        <v>58</v>
      </c>
      <c r="B42" s="22"/>
      <c r="C42" s="15">
        <f>ROUND(0.6622, 4)</f>
        <v>0.66220000000000001</v>
      </c>
      <c r="D42" s="15">
        <f>ROUND(0.6937, 4)</f>
        <v>0.69369999999999998</v>
      </c>
      <c r="E42" s="15">
        <f>ROUND(0.777, 4)</f>
        <v>0.77700000000000002</v>
      </c>
      <c r="F42" s="8"/>
      <c r="G42" s="14" t="s">
        <v>62</v>
      </c>
      <c r="H42" s="28" t="s">
        <v>63</v>
      </c>
      <c r="I42" s="25" t="s">
        <v>64</v>
      </c>
      <c r="J42" s="25" t="s">
        <v>65</v>
      </c>
    </row>
    <row r="43" spans="1:10" x14ac:dyDescent="0.25">
      <c r="A43" s="22" t="s">
        <v>66</v>
      </c>
      <c r="B43" s="22"/>
      <c r="C43" s="15">
        <f>ROUND(0.653, 4)</f>
        <v>0.65300000000000002</v>
      </c>
      <c r="D43" s="15">
        <f>ROUND(0.6839, 4)</f>
        <v>0.68389999999999995</v>
      </c>
      <c r="E43" s="15">
        <f>ROUND(0.7608, 4)</f>
        <v>0.76080000000000003</v>
      </c>
      <c r="F43" s="8"/>
      <c r="G43" s="14" t="s">
        <v>67</v>
      </c>
      <c r="H43" s="29"/>
      <c r="I43" s="26"/>
      <c r="J43" s="26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A47" s="27" t="s">
        <v>68</v>
      </c>
      <c r="B47" s="27"/>
      <c r="C47" s="14" t="s">
        <v>2</v>
      </c>
      <c r="D47" s="14" t="s">
        <v>284</v>
      </c>
      <c r="E47" s="14" t="s">
        <v>70</v>
      </c>
      <c r="F47" s="14" t="s">
        <v>71</v>
      </c>
      <c r="G47" s="14" t="s">
        <v>72</v>
      </c>
      <c r="H47" s="13"/>
      <c r="I47" s="17"/>
      <c r="J47" s="17"/>
    </row>
    <row r="48" spans="1:10" x14ac:dyDescent="0.25">
      <c r="A48" s="22" t="s">
        <v>73</v>
      </c>
      <c r="B48" s="22"/>
      <c r="C48" s="16">
        <v>155.86000000000001</v>
      </c>
      <c r="D48" s="16">
        <v>148.91</v>
      </c>
      <c r="E48" s="16">
        <v>92.53</v>
      </c>
      <c r="F48" s="16">
        <v>56.06</v>
      </c>
      <c r="G48" s="16">
        <f>12/11*C48</f>
        <v>170.02909090909091</v>
      </c>
      <c r="H48" s="8"/>
      <c r="I48" s="9"/>
      <c r="J48" s="9"/>
    </row>
    <row r="49" spans="1:10" x14ac:dyDescent="0.25">
      <c r="A49" s="22" t="s">
        <v>74</v>
      </c>
      <c r="B49" s="22"/>
      <c r="C49" s="16">
        <v>100.22</v>
      </c>
      <c r="D49" s="16">
        <v>108.8</v>
      </c>
      <c r="E49" s="16">
        <v>61.98</v>
      </c>
      <c r="F49" s="16">
        <v>64.09</v>
      </c>
      <c r="G49" s="16">
        <f>12/11*C49</f>
        <v>109.33090909090909</v>
      </c>
      <c r="H49" s="8"/>
      <c r="I49" s="9"/>
      <c r="J49" s="9"/>
    </row>
    <row r="50" spans="1:10" x14ac:dyDescent="0.25">
      <c r="A50" s="22" t="s">
        <v>75</v>
      </c>
      <c r="B50" s="22"/>
      <c r="C50" s="16">
        <v>271.93</v>
      </c>
      <c r="D50" s="16">
        <v>336.33</v>
      </c>
      <c r="E50" s="16">
        <v>291.51</v>
      </c>
      <c r="F50" s="16">
        <v>284.45</v>
      </c>
      <c r="G50" s="16">
        <f>12/11*C50</f>
        <v>296.65090909090907</v>
      </c>
      <c r="H50" s="8"/>
      <c r="I50" s="9"/>
      <c r="J50" s="9"/>
    </row>
    <row r="51" spans="1:10" x14ac:dyDescent="0.25">
      <c r="A51" s="22" t="s">
        <v>76</v>
      </c>
      <c r="B51" s="22"/>
      <c r="C51" s="16">
        <v>205.22</v>
      </c>
      <c r="D51" s="16">
        <v>214.15</v>
      </c>
      <c r="E51" s="16">
        <v>116.46</v>
      </c>
      <c r="F51" s="16">
        <v>79.959999999999994</v>
      </c>
      <c r="G51" s="16">
        <f>12/11*C51</f>
        <v>223.87636363636361</v>
      </c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3" t="s">
        <v>60</v>
      </c>
      <c r="B54" s="24"/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3" t="s">
        <v>77</v>
      </c>
      <c r="B55" s="1" t="s">
        <v>285</v>
      </c>
      <c r="C55" s="8"/>
      <c r="D55" s="8"/>
      <c r="E55" s="8"/>
      <c r="F55" s="8"/>
      <c r="G55" s="8"/>
      <c r="H55" s="8"/>
      <c r="I55" s="9"/>
      <c r="J55" s="9"/>
    </row>
    <row r="56" spans="1:10" x14ac:dyDescent="0.25">
      <c r="A56" s="3" t="s">
        <v>70</v>
      </c>
      <c r="B56" s="1" t="s">
        <v>79</v>
      </c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3" t="s">
        <v>71</v>
      </c>
      <c r="B57" s="1" t="s">
        <v>80</v>
      </c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3" t="s">
        <v>72</v>
      </c>
      <c r="B58" s="1" t="s">
        <v>81</v>
      </c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3:10" x14ac:dyDescent="0.25">
      <c r="C65" s="8"/>
      <c r="D65" s="8"/>
      <c r="E65" s="8"/>
      <c r="F65" s="8"/>
      <c r="G65" s="8"/>
      <c r="H65" s="8"/>
      <c r="I65" s="9"/>
      <c r="J65" s="9"/>
    </row>
    <row r="66" spans="3:10" x14ac:dyDescent="0.25">
      <c r="C66" s="8"/>
      <c r="D66" s="8"/>
      <c r="E66" s="8"/>
      <c r="F66" s="8"/>
      <c r="G66" s="8"/>
      <c r="H66" s="8"/>
      <c r="I66" s="9"/>
      <c r="J66" s="9"/>
    </row>
    <row r="67" spans="3:10" x14ac:dyDescent="0.25">
      <c r="C67" s="8"/>
      <c r="D67" s="8"/>
      <c r="E67" s="8"/>
      <c r="F67" s="8"/>
      <c r="G67" s="8"/>
      <c r="H67" s="8"/>
      <c r="I67" s="9"/>
      <c r="J67" s="9"/>
    </row>
    <row r="68" spans="3:10" x14ac:dyDescent="0.25">
      <c r="C68" s="8"/>
      <c r="D68" s="8"/>
      <c r="E68" s="8"/>
      <c r="F68" s="8"/>
      <c r="G68" s="8"/>
      <c r="H68" s="8"/>
      <c r="I68" s="9"/>
      <c r="J68" s="9"/>
    </row>
    <row r="69" spans="3:10" x14ac:dyDescent="0.25">
      <c r="C69" s="8"/>
      <c r="D69" s="8"/>
      <c r="E69" s="8"/>
      <c r="F69" s="8"/>
      <c r="G69" s="8"/>
      <c r="H69" s="8"/>
      <c r="I69" s="9"/>
      <c r="J69" s="9"/>
    </row>
    <row r="70" spans="3:10" x14ac:dyDescent="0.25">
      <c r="C70" s="8"/>
      <c r="D70" s="8"/>
      <c r="E70" s="8"/>
      <c r="F70" s="8"/>
      <c r="G70" s="8"/>
      <c r="H70" s="8"/>
      <c r="I70" s="9"/>
      <c r="J70" s="9"/>
    </row>
  </sheetData>
  <mergeCells count="19">
    <mergeCell ref="C7:G7"/>
    <mergeCell ref="A27:B27"/>
    <mergeCell ref="A28:B28"/>
    <mergeCell ref="A33:B33"/>
    <mergeCell ref="A34:B34"/>
    <mergeCell ref="J42:J43"/>
    <mergeCell ref="A43:B43"/>
    <mergeCell ref="A47:B47"/>
    <mergeCell ref="A48:B48"/>
    <mergeCell ref="A35:B35"/>
    <mergeCell ref="A36:B36"/>
    <mergeCell ref="A41:B41"/>
    <mergeCell ref="A42:B42"/>
    <mergeCell ref="H42:H43"/>
    <mergeCell ref="A49:B49"/>
    <mergeCell ref="A50:B50"/>
    <mergeCell ref="A51:B51"/>
    <mergeCell ref="A54:B54"/>
    <mergeCell ref="I42:I4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J70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5703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286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373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8</v>
      </c>
      <c r="F9" s="10"/>
      <c r="G9" s="10">
        <f t="shared" ref="G9:G38" si="0">SUM(C9:F9)</f>
        <v>8</v>
      </c>
      <c r="H9" s="16">
        <f t="shared" ref="H9:H38" si="1">ROUND(G9/373,2)</f>
        <v>0.02</v>
      </c>
      <c r="I9" s="15">
        <f t="shared" ref="I9:I38" si="2">ROUND(G9/$G$39,3)</f>
        <v>0</v>
      </c>
      <c r="J9" s="15"/>
    </row>
    <row r="10" spans="1:10" x14ac:dyDescent="0.25">
      <c r="A10" s="1" t="s">
        <v>16</v>
      </c>
      <c r="B10" s="1" t="s">
        <v>19</v>
      </c>
      <c r="C10" s="10">
        <v>21810</v>
      </c>
      <c r="D10" s="10"/>
      <c r="E10" s="10">
        <v>1073</v>
      </c>
      <c r="F10" s="10"/>
      <c r="G10" s="10">
        <f t="shared" si="0"/>
        <v>22883</v>
      </c>
      <c r="H10" s="16">
        <f t="shared" si="1"/>
        <v>61.35</v>
      </c>
      <c r="I10" s="15">
        <f t="shared" si="2"/>
        <v>0.106</v>
      </c>
      <c r="J10" s="15">
        <f>ROUND(G10/16146.93-1,2)</f>
        <v>0.42</v>
      </c>
    </row>
    <row r="11" spans="1:10" x14ac:dyDescent="0.25">
      <c r="A11" s="1" t="s">
        <v>16</v>
      </c>
      <c r="B11" s="1" t="s">
        <v>20</v>
      </c>
      <c r="C11" s="10">
        <v>22870</v>
      </c>
      <c r="D11" s="10"/>
      <c r="E11" s="10"/>
      <c r="F11" s="10"/>
      <c r="G11" s="10">
        <f t="shared" si="0"/>
        <v>22870</v>
      </c>
      <c r="H11" s="16">
        <f t="shared" si="1"/>
        <v>61.31</v>
      </c>
      <c r="I11" s="15">
        <f t="shared" si="2"/>
        <v>0.106</v>
      </c>
      <c r="J11" s="15">
        <f>ROUND(G11/28685-1,2)</f>
        <v>-0.2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40</v>
      </c>
      <c r="F12" s="10"/>
      <c r="G12" s="10">
        <f t="shared" si="0"/>
        <v>40</v>
      </c>
      <c r="H12" s="16">
        <f t="shared" si="1"/>
        <v>0.11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22</v>
      </c>
      <c r="C13" s="10"/>
      <c r="D13" s="10"/>
      <c r="E13" s="10">
        <v>136</v>
      </c>
      <c r="F13" s="10"/>
      <c r="G13" s="10">
        <f t="shared" si="0"/>
        <v>136</v>
      </c>
      <c r="H13" s="16">
        <f t="shared" si="1"/>
        <v>0.36</v>
      </c>
      <c r="I13" s="15">
        <f t="shared" si="2"/>
        <v>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21392</v>
      </c>
      <c r="F14" s="10"/>
      <c r="G14" s="10">
        <f t="shared" si="0"/>
        <v>21392</v>
      </c>
      <c r="H14" s="16">
        <f t="shared" si="1"/>
        <v>57.35</v>
      </c>
      <c r="I14" s="15">
        <f t="shared" si="2"/>
        <v>9.9000000000000005E-2</v>
      </c>
      <c r="J14" s="15">
        <f>ROUND(G14/8485.7-1,2)</f>
        <v>1.52</v>
      </c>
    </row>
    <row r="15" spans="1:10" x14ac:dyDescent="0.25">
      <c r="A15" s="1" t="s">
        <v>16</v>
      </c>
      <c r="B15" s="1" t="s">
        <v>24</v>
      </c>
      <c r="C15" s="10">
        <v>25160</v>
      </c>
      <c r="D15" s="10"/>
      <c r="E15" s="10">
        <v>3542</v>
      </c>
      <c r="F15" s="10"/>
      <c r="G15" s="10">
        <f t="shared" si="0"/>
        <v>28702</v>
      </c>
      <c r="H15" s="16">
        <f t="shared" si="1"/>
        <v>76.95</v>
      </c>
      <c r="I15" s="15">
        <f t="shared" si="2"/>
        <v>0.13300000000000001</v>
      </c>
      <c r="J15" s="15">
        <f>ROUND(G15/19762.61-1,2)</f>
        <v>0.45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670</v>
      </c>
      <c r="F16" s="10"/>
      <c r="G16" s="10">
        <f t="shared" si="0"/>
        <v>670</v>
      </c>
      <c r="H16" s="16">
        <f t="shared" si="1"/>
        <v>1.8</v>
      </c>
      <c r="I16" s="15">
        <f t="shared" si="2"/>
        <v>3.0000000000000001E-3</v>
      </c>
      <c r="J16" s="15"/>
    </row>
    <row r="17" spans="1:10" x14ac:dyDescent="0.25">
      <c r="A17" s="1" t="s">
        <v>16</v>
      </c>
      <c r="B17" s="1" t="s">
        <v>26</v>
      </c>
      <c r="C17" s="10">
        <v>23790</v>
      </c>
      <c r="D17" s="10"/>
      <c r="E17" s="10"/>
      <c r="F17" s="10"/>
      <c r="G17" s="10">
        <f t="shared" si="0"/>
        <v>23790</v>
      </c>
      <c r="H17" s="16">
        <f t="shared" si="1"/>
        <v>63.78</v>
      </c>
      <c r="I17" s="15">
        <f t="shared" si="2"/>
        <v>0.11</v>
      </c>
      <c r="J17" s="15">
        <f>ROUND(G17/21250-1,2)</f>
        <v>0.12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199</v>
      </c>
      <c r="F18" s="10"/>
      <c r="G18" s="10">
        <f t="shared" si="0"/>
        <v>199</v>
      </c>
      <c r="H18" s="16">
        <f t="shared" si="1"/>
        <v>0.53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105</v>
      </c>
      <c r="F19" s="10"/>
      <c r="G19" s="10">
        <f t="shared" si="0"/>
        <v>105</v>
      </c>
      <c r="H19" s="16">
        <f t="shared" si="1"/>
        <v>0.28000000000000003</v>
      </c>
      <c r="I19" s="15">
        <f t="shared" si="2"/>
        <v>0</v>
      </c>
      <c r="J19" s="15"/>
    </row>
    <row r="20" spans="1:10" x14ac:dyDescent="0.25">
      <c r="A20" s="1" t="s">
        <v>16</v>
      </c>
      <c r="B20" s="1" t="s">
        <v>29</v>
      </c>
      <c r="C20" s="10"/>
      <c r="D20" s="10"/>
      <c r="E20" s="10">
        <v>386</v>
      </c>
      <c r="F20" s="10"/>
      <c r="G20" s="10">
        <f t="shared" si="0"/>
        <v>386</v>
      </c>
      <c r="H20" s="16">
        <f t="shared" si="1"/>
        <v>1.03</v>
      </c>
      <c r="I20" s="15">
        <f t="shared" si="2"/>
        <v>2E-3</v>
      </c>
      <c r="J20" s="15">
        <f>ROUND(G20/411.39-1,2)</f>
        <v>-0.06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96</v>
      </c>
      <c r="F21" s="10"/>
      <c r="G21" s="10">
        <f t="shared" si="0"/>
        <v>96</v>
      </c>
      <c r="H21" s="16">
        <f t="shared" si="1"/>
        <v>0.26</v>
      </c>
      <c r="I21" s="15">
        <f t="shared" si="2"/>
        <v>0</v>
      </c>
      <c r="J21" s="15">
        <f>ROUND(G21/21.01-1,2)</f>
        <v>3.57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408</v>
      </c>
      <c r="F22" s="10"/>
      <c r="G22" s="10">
        <f t="shared" si="0"/>
        <v>408</v>
      </c>
      <c r="H22" s="16">
        <f t="shared" si="1"/>
        <v>1.0900000000000001</v>
      </c>
      <c r="I22" s="15">
        <f t="shared" si="2"/>
        <v>2E-3</v>
      </c>
      <c r="J22" s="15"/>
    </row>
    <row r="23" spans="1:10" x14ac:dyDescent="0.25">
      <c r="A23" s="1" t="s">
        <v>16</v>
      </c>
      <c r="B23" s="1" t="s">
        <v>33</v>
      </c>
      <c r="C23" s="10"/>
      <c r="D23" s="10"/>
      <c r="E23" s="10">
        <v>46</v>
      </c>
      <c r="F23" s="10"/>
      <c r="G23" s="10">
        <f t="shared" si="0"/>
        <v>46</v>
      </c>
      <c r="H23" s="16">
        <f t="shared" si="1"/>
        <v>0.12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34</v>
      </c>
      <c r="C24" s="10"/>
      <c r="D24" s="10"/>
      <c r="E24" s="10">
        <v>54</v>
      </c>
      <c r="F24" s="10"/>
      <c r="G24" s="10">
        <f t="shared" si="0"/>
        <v>54</v>
      </c>
      <c r="H24" s="16">
        <f t="shared" si="1"/>
        <v>0.14000000000000001</v>
      </c>
      <c r="I24" s="15">
        <f t="shared" si="2"/>
        <v>0</v>
      </c>
      <c r="J24" s="15"/>
    </row>
    <row r="25" spans="1:10" x14ac:dyDescent="0.25">
      <c r="A25" s="1" t="s">
        <v>16</v>
      </c>
      <c r="B25" s="1" t="s">
        <v>43</v>
      </c>
      <c r="C25" s="10"/>
      <c r="D25" s="10"/>
      <c r="E25" s="10">
        <v>493</v>
      </c>
      <c r="F25" s="10"/>
      <c r="G25" s="10">
        <f t="shared" si="0"/>
        <v>493</v>
      </c>
      <c r="H25" s="16">
        <f t="shared" si="1"/>
        <v>1.32</v>
      </c>
      <c r="I25" s="15">
        <f t="shared" si="2"/>
        <v>2E-3</v>
      </c>
      <c r="J25" s="15"/>
    </row>
    <row r="26" spans="1:10" x14ac:dyDescent="0.25">
      <c r="A26" s="1" t="s">
        <v>16</v>
      </c>
      <c r="B26" s="1" t="s">
        <v>37</v>
      </c>
      <c r="C26" s="10"/>
      <c r="D26" s="10"/>
      <c r="E26" s="10">
        <v>591</v>
      </c>
      <c r="F26" s="10"/>
      <c r="G26" s="10">
        <f t="shared" si="0"/>
        <v>591</v>
      </c>
      <c r="H26" s="16">
        <f t="shared" si="1"/>
        <v>1.58</v>
      </c>
      <c r="I26" s="15">
        <f t="shared" si="2"/>
        <v>3.0000000000000001E-3</v>
      </c>
      <c r="J26" s="15">
        <f>ROUND(G26/141.94-1,2)</f>
        <v>3.16</v>
      </c>
    </row>
    <row r="27" spans="1:10" x14ac:dyDescent="0.25">
      <c r="A27" s="1" t="s">
        <v>16</v>
      </c>
      <c r="B27" s="1" t="s">
        <v>38</v>
      </c>
      <c r="C27" s="10"/>
      <c r="D27" s="10"/>
      <c r="E27" s="10">
        <v>12872</v>
      </c>
      <c r="F27" s="10"/>
      <c r="G27" s="10">
        <f t="shared" si="0"/>
        <v>12872</v>
      </c>
      <c r="H27" s="16">
        <f t="shared" si="1"/>
        <v>34.51</v>
      </c>
      <c r="I27" s="15">
        <f t="shared" si="2"/>
        <v>0.06</v>
      </c>
      <c r="J27" s="15">
        <f>ROUND(G27/5385.3-1,2)</f>
        <v>1.39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4710</v>
      </c>
      <c r="F28" s="10"/>
      <c r="G28" s="10">
        <f t="shared" si="0"/>
        <v>4710</v>
      </c>
      <c r="H28" s="16">
        <f t="shared" si="1"/>
        <v>12.63</v>
      </c>
      <c r="I28" s="15">
        <f t="shared" si="2"/>
        <v>2.1999999999999999E-2</v>
      </c>
      <c r="J28" s="15">
        <f>ROUND(G28/2787.58-1,2)</f>
        <v>0.69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2158</v>
      </c>
      <c r="F29" s="10"/>
      <c r="G29" s="10">
        <f t="shared" si="0"/>
        <v>2158</v>
      </c>
      <c r="H29" s="16">
        <f t="shared" si="1"/>
        <v>5.79</v>
      </c>
      <c r="I29" s="15">
        <f t="shared" si="2"/>
        <v>0.01</v>
      </c>
      <c r="J29" s="15">
        <f>ROUND(G29/608.06-1,2)</f>
        <v>2.5499999999999998</v>
      </c>
    </row>
    <row r="30" spans="1:10" x14ac:dyDescent="0.25">
      <c r="A30" s="1" t="s">
        <v>16</v>
      </c>
      <c r="B30" s="1" t="s">
        <v>36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ROUND(G30/105.14-1,2)</f>
        <v>-1</v>
      </c>
    </row>
    <row r="31" spans="1:10" x14ac:dyDescent="0.25">
      <c r="A31" s="1" t="s">
        <v>16</v>
      </c>
      <c r="B31" s="1" t="s">
        <v>35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ROUND(G31/37.67-1,2)</f>
        <v>-1</v>
      </c>
    </row>
    <row r="32" spans="1:10" x14ac:dyDescent="0.25">
      <c r="A32" s="1" t="s">
        <v>16</v>
      </c>
      <c r="B32" s="1" t="s">
        <v>42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31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39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44</v>
      </c>
      <c r="B35" s="1" t="s">
        <v>45</v>
      </c>
      <c r="C35" s="10">
        <v>66430</v>
      </c>
      <c r="D35" s="10"/>
      <c r="E35" s="10"/>
      <c r="F35" s="10"/>
      <c r="G35" s="10">
        <f t="shared" si="0"/>
        <v>66430</v>
      </c>
      <c r="H35" s="16">
        <f t="shared" si="1"/>
        <v>178.1</v>
      </c>
      <c r="I35" s="15">
        <f t="shared" si="2"/>
        <v>0.307</v>
      </c>
      <c r="J35" s="15">
        <f>ROUND(G35/58340-1,2)</f>
        <v>0.14000000000000001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7084</v>
      </c>
      <c r="F36" s="10"/>
      <c r="G36" s="10">
        <f t="shared" si="0"/>
        <v>7084</v>
      </c>
      <c r="H36" s="16">
        <f t="shared" si="1"/>
        <v>18.989999999999998</v>
      </c>
      <c r="I36" s="15">
        <f t="shared" si="2"/>
        <v>3.3000000000000002E-2</v>
      </c>
      <c r="J36" s="15">
        <f>ROUND(G36/3685.01-1,2)</f>
        <v>0.92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ROUND(G37/22965-1,2)</f>
        <v>-1</v>
      </c>
    </row>
    <row r="38" spans="1:10" x14ac:dyDescent="0.25">
      <c r="A38" s="1" t="s">
        <v>48</v>
      </c>
      <c r="B38" s="1" t="s">
        <v>51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27" t="s">
        <v>12</v>
      </c>
      <c r="B39" s="27"/>
      <c r="C39" s="11">
        <f t="shared" ref="C39:H39" si="3">SUM(C8:C38)</f>
        <v>160060</v>
      </c>
      <c r="D39" s="11">
        <f t="shared" si="3"/>
        <v>0</v>
      </c>
      <c r="E39" s="11">
        <f t="shared" si="3"/>
        <v>56063</v>
      </c>
      <c r="F39" s="11">
        <f t="shared" si="3"/>
        <v>0</v>
      </c>
      <c r="G39" s="11">
        <f t="shared" si="3"/>
        <v>216123</v>
      </c>
      <c r="H39" s="14">
        <f t="shared" si="3"/>
        <v>579.39999999999986</v>
      </c>
      <c r="I39" s="17"/>
      <c r="J39" s="17"/>
    </row>
    <row r="40" spans="1:10" x14ac:dyDescent="0.25">
      <c r="A40" s="27" t="s">
        <v>14</v>
      </c>
      <c r="B40" s="27"/>
      <c r="C40" s="12">
        <f>ROUND(C39/G39,2)</f>
        <v>0.74</v>
      </c>
      <c r="D40" s="12">
        <f>ROUND(D39/G39,2)</f>
        <v>0</v>
      </c>
      <c r="E40" s="12">
        <f>ROUND(E39/G39,2)</f>
        <v>0.26</v>
      </c>
      <c r="F40" s="12">
        <f>ROUND(F39/G39,2)</f>
        <v>0</v>
      </c>
      <c r="G40" s="13"/>
      <c r="H40" s="13"/>
      <c r="I40" s="17"/>
      <c r="J40" s="17"/>
    </row>
    <row r="41" spans="1:10" x14ac:dyDescent="0.25">
      <c r="A41" s="2" t="s">
        <v>52</v>
      </c>
      <c r="B41" s="2"/>
      <c r="C41" s="13"/>
      <c r="D41" s="13"/>
      <c r="E41" s="13"/>
      <c r="F41" s="13"/>
      <c r="G41" s="13"/>
      <c r="H41" s="13"/>
      <c r="I41" s="17"/>
      <c r="J41" s="17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A45" s="27" t="s">
        <v>53</v>
      </c>
      <c r="B45" s="27"/>
      <c r="C45" s="11" t="s">
        <v>8</v>
      </c>
      <c r="D45" s="11" t="s">
        <v>9</v>
      </c>
      <c r="E45" s="11" t="s">
        <v>10</v>
      </c>
      <c r="F45" s="11" t="s">
        <v>11</v>
      </c>
      <c r="G45" s="11" t="s">
        <v>12</v>
      </c>
      <c r="H45" s="14" t="s">
        <v>13</v>
      </c>
      <c r="I45" s="17"/>
      <c r="J45" s="17"/>
    </row>
    <row r="46" spans="1:10" x14ac:dyDescent="0.25">
      <c r="A46" s="22" t="s">
        <v>54</v>
      </c>
      <c r="B46" s="22"/>
      <c r="C46" s="10">
        <v>93630</v>
      </c>
      <c r="D46" s="10">
        <v>0</v>
      </c>
      <c r="E46" s="10">
        <v>48979</v>
      </c>
      <c r="F46" s="10">
        <v>0</v>
      </c>
      <c r="G46" s="10">
        <f>SUM(C46:F46)</f>
        <v>142609</v>
      </c>
      <c r="H46" s="16">
        <f>ROUND(G46/373,2)</f>
        <v>382.33</v>
      </c>
      <c r="I46" s="9"/>
      <c r="J46" s="9"/>
    </row>
    <row r="47" spans="1:10" x14ac:dyDescent="0.25">
      <c r="A47" s="22" t="s">
        <v>55</v>
      </c>
      <c r="B47" s="22"/>
      <c r="C47" s="10">
        <v>66430</v>
      </c>
      <c r="D47" s="10">
        <v>0</v>
      </c>
      <c r="E47" s="10">
        <v>7084</v>
      </c>
      <c r="F47" s="10">
        <v>0</v>
      </c>
      <c r="G47" s="10">
        <f>SUM(C47:F47)</f>
        <v>73514</v>
      </c>
      <c r="H47" s="16">
        <f>ROUND(G47/373,2)</f>
        <v>197.09</v>
      </c>
      <c r="I47" s="9"/>
      <c r="J47" s="9"/>
    </row>
    <row r="48" spans="1:10" x14ac:dyDescent="0.25">
      <c r="A48" s="22" t="s">
        <v>56</v>
      </c>
      <c r="B48" s="22"/>
      <c r="C48" s="10">
        <v>0</v>
      </c>
      <c r="D48" s="10">
        <v>0</v>
      </c>
      <c r="E48" s="10">
        <v>0</v>
      </c>
      <c r="F48" s="10">
        <v>0</v>
      </c>
      <c r="G48" s="10">
        <f>SUM(C48:F48)</f>
        <v>0</v>
      </c>
      <c r="H48" s="16">
        <f>ROUND(G48/373,2)</f>
        <v>0</v>
      </c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A53" s="27" t="s">
        <v>57</v>
      </c>
      <c r="B53" s="27"/>
      <c r="C53" s="14" t="s">
        <v>2</v>
      </c>
      <c r="D53" s="14">
        <v>2023</v>
      </c>
      <c r="E53" s="14" t="s">
        <v>59</v>
      </c>
      <c r="F53" s="13"/>
      <c r="G53" s="14" t="s">
        <v>60</v>
      </c>
      <c r="H53" s="14" t="s">
        <v>2</v>
      </c>
      <c r="I53" s="12" t="s">
        <v>61</v>
      </c>
      <c r="J53" s="12" t="s">
        <v>59</v>
      </c>
    </row>
    <row r="54" spans="1:10" x14ac:dyDescent="0.25">
      <c r="A54" s="22" t="s">
        <v>58</v>
      </c>
      <c r="B54" s="22"/>
      <c r="C54" s="15">
        <f>ROUND(0.6579, 4)</f>
        <v>0.65790000000000004</v>
      </c>
      <c r="D54" s="15">
        <f>ROUND(0.6501, 4)</f>
        <v>0.65010000000000001</v>
      </c>
      <c r="E54" s="15">
        <f>ROUND(0.777, 4)</f>
        <v>0.77700000000000002</v>
      </c>
      <c r="F54" s="8"/>
      <c r="G54" s="14" t="s">
        <v>62</v>
      </c>
      <c r="H54" s="28" t="s">
        <v>63</v>
      </c>
      <c r="I54" s="25" t="s">
        <v>64</v>
      </c>
      <c r="J54" s="25" t="s">
        <v>65</v>
      </c>
    </row>
    <row r="55" spans="1:10" x14ac:dyDescent="0.25">
      <c r="A55" s="22" t="s">
        <v>66</v>
      </c>
      <c r="B55" s="22"/>
      <c r="C55" s="15">
        <f>ROUND(0.6141, 4)</f>
        <v>0.61409999999999998</v>
      </c>
      <c r="D55" s="15">
        <f>ROUND(0.6167, 4)</f>
        <v>0.61670000000000003</v>
      </c>
      <c r="E55" s="15">
        <f>ROUND(0.7608, 4)</f>
        <v>0.76080000000000003</v>
      </c>
      <c r="F55" s="8"/>
      <c r="G55" s="14" t="s">
        <v>67</v>
      </c>
      <c r="H55" s="29"/>
      <c r="I55" s="26"/>
      <c r="J55" s="26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68</v>
      </c>
      <c r="B59" s="27"/>
      <c r="C59" s="14" t="s">
        <v>2</v>
      </c>
      <c r="D59" s="14" t="s">
        <v>287</v>
      </c>
      <c r="E59" s="14" t="s">
        <v>70</v>
      </c>
      <c r="F59" s="14" t="s">
        <v>71</v>
      </c>
      <c r="G59" s="14" t="s">
        <v>72</v>
      </c>
      <c r="H59" s="13"/>
      <c r="I59" s="17"/>
      <c r="J59" s="17"/>
    </row>
    <row r="60" spans="1:10" x14ac:dyDescent="0.25">
      <c r="A60" s="22" t="s">
        <v>73</v>
      </c>
      <c r="B60" s="22"/>
      <c r="C60" s="16">
        <v>178.1</v>
      </c>
      <c r="D60" s="16">
        <v>134.51</v>
      </c>
      <c r="E60" s="16">
        <v>92.53</v>
      </c>
      <c r="F60" s="16">
        <v>56.06</v>
      </c>
      <c r="G60" s="16">
        <f>12/11*C60</f>
        <v>194.29090909090908</v>
      </c>
      <c r="H60" s="8"/>
      <c r="I60" s="9"/>
      <c r="J60" s="9"/>
    </row>
    <row r="61" spans="1:10" x14ac:dyDescent="0.25">
      <c r="A61" s="22" t="s">
        <v>74</v>
      </c>
      <c r="B61" s="22"/>
      <c r="C61" s="16">
        <v>63.78</v>
      </c>
      <c r="D61" s="16">
        <v>56.46</v>
      </c>
      <c r="E61" s="16">
        <v>61.98</v>
      </c>
      <c r="F61" s="16">
        <v>64.09</v>
      </c>
      <c r="G61" s="16">
        <f>12/11*C61</f>
        <v>69.578181818181818</v>
      </c>
      <c r="H61" s="8"/>
      <c r="I61" s="9"/>
      <c r="J61" s="9"/>
    </row>
    <row r="62" spans="1:10" x14ac:dyDescent="0.25">
      <c r="A62" s="22" t="s">
        <v>75</v>
      </c>
      <c r="B62" s="22"/>
      <c r="C62" s="16">
        <v>382.33</v>
      </c>
      <c r="D62" s="16">
        <v>332.07</v>
      </c>
      <c r="E62" s="16">
        <v>291.51</v>
      </c>
      <c r="F62" s="16">
        <v>284.45</v>
      </c>
      <c r="G62" s="16">
        <f>12/11*C62</f>
        <v>417.0872727272727</v>
      </c>
      <c r="H62" s="8"/>
      <c r="I62" s="9"/>
      <c r="J62" s="9"/>
    </row>
    <row r="63" spans="1:10" x14ac:dyDescent="0.25">
      <c r="A63" s="22" t="s">
        <v>76</v>
      </c>
      <c r="B63" s="22"/>
      <c r="C63" s="16">
        <v>197.09</v>
      </c>
      <c r="D63" s="16">
        <v>187.69</v>
      </c>
      <c r="E63" s="16">
        <v>116.46</v>
      </c>
      <c r="F63" s="16">
        <v>79.959999999999994</v>
      </c>
      <c r="G63" s="16">
        <f>12/11*C63</f>
        <v>215.00727272727272</v>
      </c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3" t="s">
        <v>60</v>
      </c>
      <c r="B66" s="24"/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77</v>
      </c>
      <c r="B67" s="1" t="s">
        <v>288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70</v>
      </c>
      <c r="B68" s="1" t="s">
        <v>79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71</v>
      </c>
      <c r="B69" s="1" t="s">
        <v>80</v>
      </c>
    </row>
    <row r="70" spans="1:10" x14ac:dyDescent="0.25">
      <c r="A70" s="3" t="s">
        <v>72</v>
      </c>
      <c r="B70" s="1" t="s">
        <v>81</v>
      </c>
    </row>
  </sheetData>
  <mergeCells count="19">
    <mergeCell ref="C7:G7"/>
    <mergeCell ref="A39:B39"/>
    <mergeCell ref="A40:B40"/>
    <mergeCell ref="A45:B45"/>
    <mergeCell ref="A46:B46"/>
    <mergeCell ref="J54:J55"/>
    <mergeCell ref="A55:B55"/>
    <mergeCell ref="A59:B59"/>
    <mergeCell ref="A60:B60"/>
    <mergeCell ref="A47:B47"/>
    <mergeCell ref="A48:B48"/>
    <mergeCell ref="A53:B53"/>
    <mergeCell ref="A54:B54"/>
    <mergeCell ref="H54:H55"/>
    <mergeCell ref="A61:B61"/>
    <mergeCell ref="A62:B62"/>
    <mergeCell ref="A63:B63"/>
    <mergeCell ref="A66:B66"/>
    <mergeCell ref="I54:I5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8.5703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289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2367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60</v>
      </c>
      <c r="F9" s="10"/>
      <c r="G9" s="10">
        <f t="shared" ref="G9:G36" si="0">SUM(C9:F9)</f>
        <v>60</v>
      </c>
      <c r="H9" s="16">
        <f t="shared" ref="H9:H36" si="1">ROUND(G9/2367,2)</f>
        <v>0.03</v>
      </c>
      <c r="I9" s="15">
        <f t="shared" ref="I9:I36" si="2">ROUND(G9/$G$37,3)</f>
        <v>0</v>
      </c>
      <c r="J9" s="15">
        <f>ROUND(G9/15-1,2)</f>
        <v>3</v>
      </c>
    </row>
    <row r="10" spans="1:10" x14ac:dyDescent="0.25">
      <c r="A10" s="1" t="s">
        <v>16</v>
      </c>
      <c r="B10" s="1" t="s">
        <v>19</v>
      </c>
      <c r="C10" s="10">
        <v>68790</v>
      </c>
      <c r="D10" s="10"/>
      <c r="E10" s="10"/>
      <c r="F10" s="10"/>
      <c r="G10" s="10">
        <f t="shared" si="0"/>
        <v>68790</v>
      </c>
      <c r="H10" s="16">
        <f t="shared" si="1"/>
        <v>29.06</v>
      </c>
      <c r="I10" s="15">
        <f t="shared" si="2"/>
        <v>0.09</v>
      </c>
      <c r="J10" s="15">
        <f>ROUND(G10/66720-1,2)</f>
        <v>0.03</v>
      </c>
    </row>
    <row r="11" spans="1:10" x14ac:dyDescent="0.25">
      <c r="A11" s="1" t="s">
        <v>16</v>
      </c>
      <c r="B11" s="1" t="s">
        <v>20</v>
      </c>
      <c r="C11" s="10">
        <v>83100</v>
      </c>
      <c r="D11" s="10"/>
      <c r="E11" s="10"/>
      <c r="F11" s="10"/>
      <c r="G11" s="10">
        <f t="shared" si="0"/>
        <v>83100</v>
      </c>
      <c r="H11" s="16">
        <f t="shared" si="1"/>
        <v>35.11</v>
      </c>
      <c r="I11" s="15">
        <f t="shared" si="2"/>
        <v>0.108</v>
      </c>
      <c r="J11" s="15">
        <f>ROUND(G11/86830-1,2)</f>
        <v>-0.04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75</v>
      </c>
      <c r="F12" s="10"/>
      <c r="G12" s="10">
        <f t="shared" si="0"/>
        <v>75</v>
      </c>
      <c r="H12" s="16">
        <f t="shared" si="1"/>
        <v>0.03</v>
      </c>
      <c r="I12" s="15">
        <f t="shared" si="2"/>
        <v>0</v>
      </c>
      <c r="J12" s="15">
        <f>ROUND(G12/86-1,2)</f>
        <v>-0.13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200</v>
      </c>
      <c r="F13" s="10"/>
      <c r="G13" s="10">
        <f t="shared" si="0"/>
        <v>200</v>
      </c>
      <c r="H13" s="16">
        <f t="shared" si="1"/>
        <v>0.08</v>
      </c>
      <c r="I13" s="15">
        <f t="shared" si="2"/>
        <v>0</v>
      </c>
      <c r="J13" s="15">
        <f>ROUND(G13/259-1,2)</f>
        <v>-0.23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38800</v>
      </c>
      <c r="F14" s="10"/>
      <c r="G14" s="10">
        <f t="shared" si="0"/>
        <v>38800</v>
      </c>
      <c r="H14" s="16">
        <f t="shared" si="1"/>
        <v>16.39</v>
      </c>
      <c r="I14" s="15">
        <f t="shared" si="2"/>
        <v>5.0999999999999997E-2</v>
      </c>
      <c r="J14" s="15">
        <f>ROUND(G14/29160-1,2)</f>
        <v>0.33</v>
      </c>
    </row>
    <row r="15" spans="1:10" x14ac:dyDescent="0.25">
      <c r="A15" s="1" t="s">
        <v>16</v>
      </c>
      <c r="B15" s="1" t="s">
        <v>24</v>
      </c>
      <c r="C15" s="10">
        <v>98720</v>
      </c>
      <c r="D15" s="10"/>
      <c r="E15" s="10"/>
      <c r="F15" s="10"/>
      <c r="G15" s="10">
        <f t="shared" si="0"/>
        <v>98720</v>
      </c>
      <c r="H15" s="16">
        <f t="shared" si="1"/>
        <v>41.71</v>
      </c>
      <c r="I15" s="15">
        <f t="shared" si="2"/>
        <v>0.129</v>
      </c>
      <c r="J15" s="15">
        <f>ROUND(G15/92360-1,2)</f>
        <v>7.0000000000000007E-2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1745</v>
      </c>
      <c r="F16" s="10"/>
      <c r="G16" s="10">
        <f t="shared" si="0"/>
        <v>1745</v>
      </c>
      <c r="H16" s="16">
        <f t="shared" si="1"/>
        <v>0.74</v>
      </c>
      <c r="I16" s="15">
        <f t="shared" si="2"/>
        <v>2E-3</v>
      </c>
      <c r="J16" s="15">
        <f>ROUND(G16/3455-1,2)</f>
        <v>-0.49</v>
      </c>
    </row>
    <row r="17" spans="1:10" x14ac:dyDescent="0.25">
      <c r="A17" s="1" t="s">
        <v>16</v>
      </c>
      <c r="B17" s="1" t="s">
        <v>26</v>
      </c>
      <c r="C17" s="10">
        <v>143420</v>
      </c>
      <c r="D17" s="10"/>
      <c r="E17" s="10"/>
      <c r="F17" s="10"/>
      <c r="G17" s="10">
        <f t="shared" si="0"/>
        <v>143420</v>
      </c>
      <c r="H17" s="16">
        <f t="shared" si="1"/>
        <v>60.59</v>
      </c>
      <c r="I17" s="15">
        <f t="shared" si="2"/>
        <v>0.187</v>
      </c>
      <c r="J17" s="15">
        <f>ROUND(G17/139160-1,2)</f>
        <v>0.03</v>
      </c>
    </row>
    <row r="18" spans="1:10" x14ac:dyDescent="0.25">
      <c r="A18" s="1" t="s">
        <v>16</v>
      </c>
      <c r="B18" s="1" t="s">
        <v>29</v>
      </c>
      <c r="C18" s="10"/>
      <c r="D18" s="10"/>
      <c r="E18" s="10">
        <v>1560</v>
      </c>
      <c r="F18" s="10"/>
      <c r="G18" s="10">
        <f t="shared" si="0"/>
        <v>1560</v>
      </c>
      <c r="H18" s="16">
        <f t="shared" si="1"/>
        <v>0.66</v>
      </c>
      <c r="I18" s="15">
        <f t="shared" si="2"/>
        <v>2E-3</v>
      </c>
      <c r="J18" s="15">
        <f>ROUND(G18/2895-1,2)</f>
        <v>-0.46</v>
      </c>
    </row>
    <row r="19" spans="1:10" x14ac:dyDescent="0.25">
      <c r="A19" s="1" t="s">
        <v>16</v>
      </c>
      <c r="B19" s="1" t="s">
        <v>30</v>
      </c>
      <c r="C19" s="10"/>
      <c r="D19" s="10"/>
      <c r="E19" s="10">
        <v>770</v>
      </c>
      <c r="F19" s="10"/>
      <c r="G19" s="10">
        <f t="shared" si="0"/>
        <v>770</v>
      </c>
      <c r="H19" s="16">
        <f t="shared" si="1"/>
        <v>0.33</v>
      </c>
      <c r="I19" s="15">
        <f t="shared" si="2"/>
        <v>1E-3</v>
      </c>
      <c r="J19" s="15">
        <f>ROUND(G19/340-1,2)</f>
        <v>1.26</v>
      </c>
    </row>
    <row r="20" spans="1:10" x14ac:dyDescent="0.25">
      <c r="A20" s="1" t="s">
        <v>16</v>
      </c>
      <c r="B20" s="1" t="s">
        <v>32</v>
      </c>
      <c r="C20" s="10"/>
      <c r="D20" s="10"/>
      <c r="E20" s="10">
        <v>1290</v>
      </c>
      <c r="F20" s="10"/>
      <c r="G20" s="10">
        <f t="shared" si="0"/>
        <v>1290</v>
      </c>
      <c r="H20" s="16">
        <f t="shared" si="1"/>
        <v>0.54</v>
      </c>
      <c r="I20" s="15">
        <f t="shared" si="2"/>
        <v>2E-3</v>
      </c>
      <c r="J20" s="15">
        <f>ROUND(G20/820-1,2)</f>
        <v>0.56999999999999995</v>
      </c>
    </row>
    <row r="21" spans="1:10" x14ac:dyDescent="0.25">
      <c r="A21" s="1" t="s">
        <v>16</v>
      </c>
      <c r="B21" s="1" t="s">
        <v>33</v>
      </c>
      <c r="C21" s="10"/>
      <c r="D21" s="10">
        <v>205</v>
      </c>
      <c r="E21" s="10">
        <v>86</v>
      </c>
      <c r="F21" s="10"/>
      <c r="G21" s="10">
        <f t="shared" si="0"/>
        <v>291</v>
      </c>
      <c r="H21" s="16">
        <f t="shared" si="1"/>
        <v>0.12</v>
      </c>
      <c r="I21" s="15">
        <f t="shared" si="2"/>
        <v>0</v>
      </c>
      <c r="J21" s="15">
        <f>ROUND(G21/226-1,2)</f>
        <v>0.28999999999999998</v>
      </c>
    </row>
    <row r="22" spans="1:10" x14ac:dyDescent="0.25">
      <c r="A22" s="1" t="s">
        <v>16</v>
      </c>
      <c r="B22" s="1" t="s">
        <v>34</v>
      </c>
      <c r="C22" s="10"/>
      <c r="D22" s="10"/>
      <c r="E22" s="10">
        <v>390</v>
      </c>
      <c r="F22" s="10"/>
      <c r="G22" s="10">
        <f t="shared" si="0"/>
        <v>390</v>
      </c>
      <c r="H22" s="16">
        <f t="shared" si="1"/>
        <v>0.16</v>
      </c>
      <c r="I22" s="15">
        <f t="shared" si="2"/>
        <v>1E-3</v>
      </c>
      <c r="J22" s="15">
        <f>ROUND(G22/470-1,2)</f>
        <v>-0.17</v>
      </c>
    </row>
    <row r="23" spans="1:10" x14ac:dyDescent="0.25">
      <c r="A23" s="1" t="s">
        <v>16</v>
      </c>
      <c r="B23" s="1" t="s">
        <v>35</v>
      </c>
      <c r="C23" s="10"/>
      <c r="D23" s="10">
        <v>80</v>
      </c>
      <c r="E23" s="10"/>
      <c r="F23" s="10"/>
      <c r="G23" s="10">
        <f t="shared" si="0"/>
        <v>80</v>
      </c>
      <c r="H23" s="16">
        <f t="shared" si="1"/>
        <v>0.03</v>
      </c>
      <c r="I23" s="15">
        <f t="shared" si="2"/>
        <v>0</v>
      </c>
      <c r="J23" s="15">
        <f>ROUND(G23/473-1,2)</f>
        <v>-0.83</v>
      </c>
    </row>
    <row r="24" spans="1:10" x14ac:dyDescent="0.25">
      <c r="A24" s="1" t="s">
        <v>16</v>
      </c>
      <c r="B24" s="1" t="s">
        <v>36</v>
      </c>
      <c r="C24" s="10"/>
      <c r="D24" s="10"/>
      <c r="E24" s="10">
        <v>1430</v>
      </c>
      <c r="F24" s="10"/>
      <c r="G24" s="10">
        <f t="shared" si="0"/>
        <v>1430</v>
      </c>
      <c r="H24" s="16">
        <f t="shared" si="1"/>
        <v>0.6</v>
      </c>
      <c r="I24" s="15">
        <f t="shared" si="2"/>
        <v>2E-3</v>
      </c>
      <c r="J24" s="15">
        <f>ROUND(G24/2167-1,2)</f>
        <v>-0.34</v>
      </c>
    </row>
    <row r="25" spans="1:10" x14ac:dyDescent="0.25">
      <c r="A25" s="1" t="s">
        <v>16</v>
      </c>
      <c r="B25" s="1" t="s">
        <v>43</v>
      </c>
      <c r="C25" s="10"/>
      <c r="D25" s="10"/>
      <c r="E25" s="10">
        <v>1845</v>
      </c>
      <c r="F25" s="10"/>
      <c r="G25" s="10">
        <f t="shared" si="0"/>
        <v>1845</v>
      </c>
      <c r="H25" s="16">
        <f t="shared" si="1"/>
        <v>0.78</v>
      </c>
      <c r="I25" s="15">
        <f t="shared" si="2"/>
        <v>2E-3</v>
      </c>
      <c r="J25" s="15">
        <f>ROUND(G25/2856-1,2)</f>
        <v>-0.35</v>
      </c>
    </row>
    <row r="26" spans="1:10" x14ac:dyDescent="0.25">
      <c r="A26" s="1" t="s">
        <v>16</v>
      </c>
      <c r="B26" s="1" t="s">
        <v>37</v>
      </c>
      <c r="C26" s="10"/>
      <c r="D26" s="10"/>
      <c r="E26" s="10">
        <v>3800</v>
      </c>
      <c r="F26" s="10"/>
      <c r="G26" s="10">
        <f t="shared" si="0"/>
        <v>3800</v>
      </c>
      <c r="H26" s="16">
        <f t="shared" si="1"/>
        <v>1.61</v>
      </c>
      <c r="I26" s="15">
        <f t="shared" si="2"/>
        <v>5.0000000000000001E-3</v>
      </c>
      <c r="J26" s="15">
        <f>ROUND(G26/4274-1,2)</f>
        <v>-0.11</v>
      </c>
    </row>
    <row r="27" spans="1:10" x14ac:dyDescent="0.25">
      <c r="A27" s="1" t="s">
        <v>16</v>
      </c>
      <c r="B27" s="1" t="s">
        <v>38</v>
      </c>
      <c r="C27" s="10"/>
      <c r="D27" s="10"/>
      <c r="E27" s="10">
        <v>48060</v>
      </c>
      <c r="F27" s="10"/>
      <c r="G27" s="10">
        <f t="shared" si="0"/>
        <v>48060</v>
      </c>
      <c r="H27" s="16">
        <f t="shared" si="1"/>
        <v>20.3</v>
      </c>
      <c r="I27" s="15">
        <f t="shared" si="2"/>
        <v>6.3E-2</v>
      </c>
      <c r="J27" s="15">
        <f>ROUND(G27/42445-1,2)</f>
        <v>0.13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17550</v>
      </c>
      <c r="F28" s="10"/>
      <c r="G28" s="10">
        <f t="shared" si="0"/>
        <v>17550</v>
      </c>
      <c r="H28" s="16">
        <f t="shared" si="1"/>
        <v>7.41</v>
      </c>
      <c r="I28" s="15">
        <f t="shared" si="2"/>
        <v>2.3E-2</v>
      </c>
      <c r="J28" s="15">
        <f>ROUND(G28/15460-1,2)</f>
        <v>0.14000000000000001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68270</v>
      </c>
      <c r="F29" s="10"/>
      <c r="G29" s="10">
        <f t="shared" si="0"/>
        <v>68270</v>
      </c>
      <c r="H29" s="16">
        <f t="shared" si="1"/>
        <v>28.84</v>
      </c>
      <c r="I29" s="15">
        <f t="shared" si="2"/>
        <v>8.8999999999999996E-2</v>
      </c>
      <c r="J29" s="15">
        <f>ROUND(G29/67940-1,2)</f>
        <v>0</v>
      </c>
    </row>
    <row r="30" spans="1:10" x14ac:dyDescent="0.25">
      <c r="A30" s="1" t="s">
        <v>16</v>
      </c>
      <c r="B30" s="1" t="s">
        <v>42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ROUND(G30/121-1,2)</f>
        <v>-1</v>
      </c>
    </row>
    <row r="31" spans="1:10" x14ac:dyDescent="0.25">
      <c r="A31" s="1" t="s">
        <v>16</v>
      </c>
      <c r="B31" s="1" t="s">
        <v>22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/>
    </row>
    <row r="32" spans="1:10" x14ac:dyDescent="0.25">
      <c r="A32" s="1" t="s">
        <v>16</v>
      </c>
      <c r="B32" s="1" t="s">
        <v>98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ROUND(G32/62-1,2)</f>
        <v>-1</v>
      </c>
    </row>
    <row r="33" spans="1:10" x14ac:dyDescent="0.25">
      <c r="A33" s="1" t="s">
        <v>44</v>
      </c>
      <c r="B33" s="1" t="s">
        <v>45</v>
      </c>
      <c r="C33" s="10">
        <v>146630</v>
      </c>
      <c r="D33" s="10"/>
      <c r="E33" s="10"/>
      <c r="F33" s="10"/>
      <c r="G33" s="10">
        <f t="shared" si="0"/>
        <v>146630</v>
      </c>
      <c r="H33" s="16">
        <f t="shared" si="1"/>
        <v>61.95</v>
      </c>
      <c r="I33" s="15">
        <f t="shared" si="2"/>
        <v>0.191</v>
      </c>
      <c r="J33" s="15">
        <f>ROUND(G33/142790-1,2)</f>
        <v>0.03</v>
      </c>
    </row>
    <row r="34" spans="1:10" x14ac:dyDescent="0.25">
      <c r="A34" s="1" t="s">
        <v>44</v>
      </c>
      <c r="B34" s="1" t="s">
        <v>46</v>
      </c>
      <c r="C34" s="10"/>
      <c r="D34" s="10"/>
      <c r="E34" s="10">
        <v>39620</v>
      </c>
      <c r="F34" s="10"/>
      <c r="G34" s="10">
        <f t="shared" si="0"/>
        <v>39620</v>
      </c>
      <c r="H34" s="16">
        <f t="shared" si="1"/>
        <v>16.739999999999998</v>
      </c>
      <c r="I34" s="15">
        <f t="shared" si="2"/>
        <v>5.1999999999999998E-2</v>
      </c>
      <c r="J34" s="15">
        <f>ROUND(G34/31560-1,2)</f>
        <v>0.26</v>
      </c>
    </row>
    <row r="35" spans="1:10" x14ac:dyDescent="0.25">
      <c r="A35" s="1" t="s">
        <v>44</v>
      </c>
      <c r="B35" s="1" t="s">
        <v>47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48</v>
      </c>
      <c r="B36" s="1" t="s">
        <v>51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27" t="s">
        <v>12</v>
      </c>
      <c r="B37" s="27"/>
      <c r="C37" s="11">
        <f t="shared" ref="C37:H37" si="3">SUM(C8:C36)</f>
        <v>540660</v>
      </c>
      <c r="D37" s="11">
        <f t="shared" si="3"/>
        <v>285</v>
      </c>
      <c r="E37" s="11">
        <f t="shared" si="3"/>
        <v>225551</v>
      </c>
      <c r="F37" s="11">
        <f t="shared" si="3"/>
        <v>0</v>
      </c>
      <c r="G37" s="11">
        <f t="shared" si="3"/>
        <v>766496</v>
      </c>
      <c r="H37" s="14">
        <f t="shared" si="3"/>
        <v>323.81000000000006</v>
      </c>
      <c r="I37" s="17"/>
      <c r="J37" s="17"/>
    </row>
    <row r="38" spans="1:10" x14ac:dyDescent="0.25">
      <c r="A38" s="27" t="s">
        <v>14</v>
      </c>
      <c r="B38" s="27"/>
      <c r="C38" s="12">
        <f>ROUND(C37/G37,2)</f>
        <v>0.71</v>
      </c>
      <c r="D38" s="12">
        <f>ROUND(D37/G37,2)</f>
        <v>0</v>
      </c>
      <c r="E38" s="12">
        <f>ROUND(E37/G37,2)</f>
        <v>0.28999999999999998</v>
      </c>
      <c r="F38" s="12">
        <f>ROUND(F37/G37,2)</f>
        <v>0</v>
      </c>
      <c r="G38" s="13"/>
      <c r="H38" s="13"/>
      <c r="I38" s="17"/>
      <c r="J38" s="17"/>
    </row>
    <row r="39" spans="1:10" x14ac:dyDescent="0.25">
      <c r="A39" s="2" t="s">
        <v>52</v>
      </c>
      <c r="B39" s="2"/>
      <c r="C39" s="13"/>
      <c r="D39" s="13"/>
      <c r="E39" s="13"/>
      <c r="F39" s="13"/>
      <c r="G39" s="13"/>
      <c r="H39" s="13"/>
      <c r="I39" s="17"/>
      <c r="J39" s="17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A43" s="27" t="s">
        <v>53</v>
      </c>
      <c r="B43" s="27"/>
      <c r="C43" s="11" t="s">
        <v>8</v>
      </c>
      <c r="D43" s="11" t="s">
        <v>9</v>
      </c>
      <c r="E43" s="11" t="s">
        <v>10</v>
      </c>
      <c r="F43" s="11" t="s">
        <v>11</v>
      </c>
      <c r="G43" s="11" t="s">
        <v>12</v>
      </c>
      <c r="H43" s="14" t="s">
        <v>13</v>
      </c>
      <c r="I43" s="17"/>
      <c r="J43" s="17"/>
    </row>
    <row r="44" spans="1:10" x14ac:dyDescent="0.25">
      <c r="A44" s="22" t="s">
        <v>54</v>
      </c>
      <c r="B44" s="22"/>
      <c r="C44" s="10">
        <v>394030</v>
      </c>
      <c r="D44" s="10">
        <v>285</v>
      </c>
      <c r="E44" s="10">
        <v>185931</v>
      </c>
      <c r="F44" s="10">
        <v>0</v>
      </c>
      <c r="G44" s="10">
        <f>SUM(C44:F44)</f>
        <v>580246</v>
      </c>
      <c r="H44" s="16">
        <f>ROUND(G44/2367,2)</f>
        <v>245.14</v>
      </c>
      <c r="I44" s="9"/>
      <c r="J44" s="9"/>
    </row>
    <row r="45" spans="1:10" x14ac:dyDescent="0.25">
      <c r="A45" s="22" t="s">
        <v>55</v>
      </c>
      <c r="B45" s="22"/>
      <c r="C45" s="10">
        <v>146630</v>
      </c>
      <c r="D45" s="10">
        <v>0</v>
      </c>
      <c r="E45" s="10">
        <v>39620</v>
      </c>
      <c r="F45" s="10">
        <v>0</v>
      </c>
      <c r="G45" s="10">
        <f>SUM(C45:F45)</f>
        <v>186250</v>
      </c>
      <c r="H45" s="16">
        <f>ROUND(G45/2367,2)</f>
        <v>78.69</v>
      </c>
      <c r="I45" s="9"/>
      <c r="J45" s="9"/>
    </row>
    <row r="46" spans="1:10" x14ac:dyDescent="0.25">
      <c r="A46" s="22" t="s">
        <v>56</v>
      </c>
      <c r="B46" s="22"/>
      <c r="C46" s="10">
        <v>0</v>
      </c>
      <c r="D46" s="10">
        <v>0</v>
      </c>
      <c r="E46" s="10">
        <v>0</v>
      </c>
      <c r="F46" s="10">
        <v>0</v>
      </c>
      <c r="G46" s="10">
        <f>SUM(C46:F46)</f>
        <v>0</v>
      </c>
      <c r="H46" s="16">
        <f>ROUND(G46/2367,2)</f>
        <v>0</v>
      </c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27" t="s">
        <v>57</v>
      </c>
      <c r="B51" s="27"/>
      <c r="C51" s="14" t="s">
        <v>2</v>
      </c>
      <c r="D51" s="14">
        <v>2023</v>
      </c>
      <c r="E51" s="14" t="s">
        <v>59</v>
      </c>
      <c r="F51" s="13"/>
      <c r="G51" s="14" t="s">
        <v>60</v>
      </c>
      <c r="H51" s="14" t="s">
        <v>2</v>
      </c>
      <c r="I51" s="12" t="s">
        <v>61</v>
      </c>
      <c r="J51" s="12" t="s">
        <v>59</v>
      </c>
    </row>
    <row r="52" spans="1:10" x14ac:dyDescent="0.25">
      <c r="A52" s="22" t="s">
        <v>58</v>
      </c>
      <c r="B52" s="22"/>
      <c r="C52" s="15">
        <f>ROUND(0.7978, 4)</f>
        <v>0.79779999999999995</v>
      </c>
      <c r="D52" s="15">
        <f>ROUND(0.79, 4)</f>
        <v>0.79</v>
      </c>
      <c r="E52" s="15">
        <f>ROUND(0.777, 4)</f>
        <v>0.77700000000000002</v>
      </c>
      <c r="F52" s="8"/>
      <c r="G52" s="14" t="s">
        <v>62</v>
      </c>
      <c r="H52" s="28" t="s">
        <v>63</v>
      </c>
      <c r="I52" s="25" t="s">
        <v>64</v>
      </c>
      <c r="J52" s="25" t="s">
        <v>65</v>
      </c>
    </row>
    <row r="53" spans="1:10" x14ac:dyDescent="0.25">
      <c r="A53" s="22" t="s">
        <v>66</v>
      </c>
      <c r="B53" s="22"/>
      <c r="C53" s="15">
        <f>ROUND(0.7856, 4)</f>
        <v>0.78559999999999997</v>
      </c>
      <c r="D53" s="15">
        <f>ROUND(0.7777, 4)</f>
        <v>0.77769999999999995</v>
      </c>
      <c r="E53" s="15">
        <f>ROUND(0.7608, 4)</f>
        <v>0.76080000000000003</v>
      </c>
      <c r="F53" s="8"/>
      <c r="G53" s="14" t="s">
        <v>67</v>
      </c>
      <c r="H53" s="29"/>
      <c r="I53" s="26"/>
      <c r="J53" s="26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7" t="s">
        <v>68</v>
      </c>
      <c r="B57" s="27"/>
      <c r="C57" s="14" t="s">
        <v>2</v>
      </c>
      <c r="D57" s="14" t="s">
        <v>290</v>
      </c>
      <c r="E57" s="14" t="s">
        <v>70</v>
      </c>
      <c r="F57" s="14" t="s">
        <v>71</v>
      </c>
      <c r="G57" s="14" t="s">
        <v>72</v>
      </c>
      <c r="H57" s="13"/>
      <c r="I57" s="17"/>
      <c r="J57" s="17"/>
    </row>
    <row r="58" spans="1:10" x14ac:dyDescent="0.25">
      <c r="A58" s="22" t="s">
        <v>73</v>
      </c>
      <c r="B58" s="22"/>
      <c r="C58" s="16">
        <v>61.95</v>
      </c>
      <c r="D58" s="16">
        <v>65.94</v>
      </c>
      <c r="E58" s="16">
        <v>92.53</v>
      </c>
      <c r="F58" s="16">
        <v>56.06</v>
      </c>
      <c r="G58" s="16">
        <f>12/11*C58</f>
        <v>67.581818181818178</v>
      </c>
      <c r="H58" s="8"/>
      <c r="I58" s="9"/>
      <c r="J58" s="9"/>
    </row>
    <row r="59" spans="1:10" x14ac:dyDescent="0.25">
      <c r="A59" s="22" t="s">
        <v>74</v>
      </c>
      <c r="B59" s="22"/>
      <c r="C59" s="16">
        <v>60.59</v>
      </c>
      <c r="D59" s="16">
        <v>62.37</v>
      </c>
      <c r="E59" s="16">
        <v>61.98</v>
      </c>
      <c r="F59" s="16">
        <v>64.09</v>
      </c>
      <c r="G59" s="16">
        <f>12/11*C59</f>
        <v>66.098181818181814</v>
      </c>
      <c r="H59" s="8"/>
      <c r="I59" s="9"/>
      <c r="J59" s="9"/>
    </row>
    <row r="60" spans="1:10" x14ac:dyDescent="0.25">
      <c r="A60" s="22" t="s">
        <v>75</v>
      </c>
      <c r="B60" s="22"/>
      <c r="C60" s="16">
        <v>245.14</v>
      </c>
      <c r="D60" s="16">
        <v>257.32</v>
      </c>
      <c r="E60" s="16">
        <v>291.51</v>
      </c>
      <c r="F60" s="16">
        <v>284.45</v>
      </c>
      <c r="G60" s="16">
        <f>12/11*C60</f>
        <v>267.4254545454545</v>
      </c>
      <c r="H60" s="8"/>
      <c r="I60" s="9"/>
      <c r="J60" s="9"/>
    </row>
    <row r="61" spans="1:10" x14ac:dyDescent="0.25">
      <c r="A61" s="22" t="s">
        <v>76</v>
      </c>
      <c r="B61" s="22"/>
      <c r="C61" s="16">
        <v>78.69</v>
      </c>
      <c r="D61" s="16">
        <v>83.32</v>
      </c>
      <c r="E61" s="16">
        <v>116.46</v>
      </c>
      <c r="F61" s="16">
        <v>79.959999999999994</v>
      </c>
      <c r="G61" s="16">
        <f>12/11*C61</f>
        <v>85.84363636363635</v>
      </c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3" t="s">
        <v>60</v>
      </c>
      <c r="B64" s="24"/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3" t="s">
        <v>77</v>
      </c>
      <c r="B65" s="1" t="s">
        <v>291</v>
      </c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70</v>
      </c>
      <c r="B66" s="1" t="s">
        <v>79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71</v>
      </c>
      <c r="B67" s="1" t="s">
        <v>80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72</v>
      </c>
      <c r="B68" s="1" t="s">
        <v>81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</sheetData>
  <mergeCells count="19">
    <mergeCell ref="C7:G7"/>
    <mergeCell ref="A37:B37"/>
    <mergeCell ref="A38:B38"/>
    <mergeCell ref="A43:B43"/>
    <mergeCell ref="A44:B44"/>
    <mergeCell ref="J52:J53"/>
    <mergeCell ref="A53:B53"/>
    <mergeCell ref="A57:B57"/>
    <mergeCell ref="A58:B58"/>
    <mergeCell ref="A45:B45"/>
    <mergeCell ref="A46:B46"/>
    <mergeCell ref="A51:B51"/>
    <mergeCell ref="A52:B52"/>
    <mergeCell ref="H52:H53"/>
    <mergeCell ref="A59:B59"/>
    <mergeCell ref="A60:B60"/>
    <mergeCell ref="A61:B61"/>
    <mergeCell ref="A64:B64"/>
    <mergeCell ref="I52:I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72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102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2345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10</v>
      </c>
      <c r="F9" s="10"/>
      <c r="G9" s="10">
        <f t="shared" ref="G9:G40" si="0">SUM(C9:F9)</f>
        <v>10</v>
      </c>
      <c r="H9" s="16">
        <f t="shared" ref="H9:H40" si="1">ROUND(G9/2345,2)</f>
        <v>0</v>
      </c>
      <c r="I9" s="15">
        <f t="shared" ref="I9:I40" si="2">ROUND(G9/$G$41,3)</f>
        <v>0</v>
      </c>
      <c r="J9" s="15">
        <f>ROUND(G9/35-1,2)</f>
        <v>-0.71</v>
      </c>
    </row>
    <row r="10" spans="1:10" x14ac:dyDescent="0.25">
      <c r="A10" s="1" t="s">
        <v>16</v>
      </c>
      <c r="B10" s="1" t="s">
        <v>19</v>
      </c>
      <c r="C10" s="10">
        <v>80920</v>
      </c>
      <c r="D10" s="10"/>
      <c r="E10" s="10"/>
      <c r="F10" s="10">
        <v>380</v>
      </c>
      <c r="G10" s="10">
        <f t="shared" si="0"/>
        <v>81300</v>
      </c>
      <c r="H10" s="16">
        <f t="shared" si="1"/>
        <v>34.67</v>
      </c>
      <c r="I10" s="15">
        <f t="shared" si="2"/>
        <v>0.1</v>
      </c>
      <c r="J10" s="15">
        <f>ROUND(G10/80000-1,2)</f>
        <v>0.02</v>
      </c>
    </row>
    <row r="11" spans="1:10" x14ac:dyDescent="0.25">
      <c r="A11" s="1" t="s">
        <v>16</v>
      </c>
      <c r="B11" s="1" t="s">
        <v>20</v>
      </c>
      <c r="C11" s="10">
        <v>87360</v>
      </c>
      <c r="D11" s="10"/>
      <c r="E11" s="10"/>
      <c r="F11" s="10"/>
      <c r="G11" s="10">
        <f t="shared" si="0"/>
        <v>87360</v>
      </c>
      <c r="H11" s="16">
        <f t="shared" si="1"/>
        <v>37.25</v>
      </c>
      <c r="I11" s="15">
        <f t="shared" si="2"/>
        <v>0.107</v>
      </c>
      <c r="J11" s="15">
        <f>ROUND(G11/96410-1,2)</f>
        <v>-0.09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62</v>
      </c>
      <c r="F12" s="10"/>
      <c r="G12" s="10">
        <f t="shared" si="0"/>
        <v>62</v>
      </c>
      <c r="H12" s="16">
        <f t="shared" si="1"/>
        <v>0.03</v>
      </c>
      <c r="I12" s="15">
        <f t="shared" si="2"/>
        <v>0</v>
      </c>
      <c r="J12" s="15">
        <f>ROUND(G12/76-1,2)</f>
        <v>-0.18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275</v>
      </c>
      <c r="F13" s="10"/>
      <c r="G13" s="10">
        <f t="shared" si="0"/>
        <v>275</v>
      </c>
      <c r="H13" s="16">
        <f t="shared" si="1"/>
        <v>0.12</v>
      </c>
      <c r="I13" s="15">
        <f t="shared" si="2"/>
        <v>0</v>
      </c>
      <c r="J13" s="15">
        <f>ROUND(G13/277-1,2)</f>
        <v>-0.01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800</v>
      </c>
      <c r="F14" s="10"/>
      <c r="G14" s="10">
        <f t="shared" si="0"/>
        <v>800</v>
      </c>
      <c r="H14" s="16">
        <f t="shared" si="1"/>
        <v>0.34</v>
      </c>
      <c r="I14" s="15">
        <f t="shared" si="2"/>
        <v>1E-3</v>
      </c>
      <c r="J14" s="15">
        <f>ROUND(G14/1600-1,2)</f>
        <v>-0.5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45040</v>
      </c>
      <c r="F15" s="10"/>
      <c r="G15" s="10">
        <f t="shared" si="0"/>
        <v>45040</v>
      </c>
      <c r="H15" s="16">
        <f t="shared" si="1"/>
        <v>19.21</v>
      </c>
      <c r="I15" s="15">
        <f t="shared" si="2"/>
        <v>5.5E-2</v>
      </c>
      <c r="J15" s="15">
        <f>ROUND(G15/48140-1,2)</f>
        <v>-0.06</v>
      </c>
    </row>
    <row r="16" spans="1:10" x14ac:dyDescent="0.25">
      <c r="A16" s="1" t="s">
        <v>16</v>
      </c>
      <c r="B16" s="1" t="s">
        <v>24</v>
      </c>
      <c r="C16" s="10">
        <v>87900</v>
      </c>
      <c r="D16" s="10"/>
      <c r="E16" s="10">
        <v>11780</v>
      </c>
      <c r="F16" s="10">
        <v>470</v>
      </c>
      <c r="G16" s="10">
        <f t="shared" si="0"/>
        <v>100150</v>
      </c>
      <c r="H16" s="16">
        <f t="shared" si="1"/>
        <v>42.71</v>
      </c>
      <c r="I16" s="15">
        <f t="shared" si="2"/>
        <v>0.123</v>
      </c>
      <c r="J16" s="15">
        <f>ROUND(G16/107140-1,2)</f>
        <v>-7.0000000000000007E-2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3290</v>
      </c>
      <c r="F17" s="10"/>
      <c r="G17" s="10">
        <f t="shared" si="0"/>
        <v>3290</v>
      </c>
      <c r="H17" s="16">
        <f t="shared" si="1"/>
        <v>1.4</v>
      </c>
      <c r="I17" s="15">
        <f t="shared" si="2"/>
        <v>4.0000000000000001E-3</v>
      </c>
      <c r="J17" s="15">
        <f>ROUND(G17/3180-1,2)</f>
        <v>0.03</v>
      </c>
    </row>
    <row r="18" spans="1:10" x14ac:dyDescent="0.25">
      <c r="A18" s="1" t="s">
        <v>16</v>
      </c>
      <c r="B18" s="1" t="s">
        <v>26</v>
      </c>
      <c r="C18" s="10">
        <v>148090</v>
      </c>
      <c r="D18" s="10"/>
      <c r="E18" s="10"/>
      <c r="F18" s="10">
        <v>830</v>
      </c>
      <c r="G18" s="10">
        <f t="shared" si="0"/>
        <v>148920</v>
      </c>
      <c r="H18" s="16">
        <f t="shared" si="1"/>
        <v>63.51</v>
      </c>
      <c r="I18" s="15">
        <f t="shared" si="2"/>
        <v>0.182</v>
      </c>
      <c r="J18" s="15">
        <f>ROUND(G18/151900-1,2)</f>
        <v>-0.02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1500</v>
      </c>
      <c r="F19" s="10"/>
      <c r="G19" s="10">
        <f t="shared" si="0"/>
        <v>1500</v>
      </c>
      <c r="H19" s="16">
        <f t="shared" si="1"/>
        <v>0.64</v>
      </c>
      <c r="I19" s="15">
        <f t="shared" si="2"/>
        <v>2E-3</v>
      </c>
      <c r="J19" s="15">
        <f>ROUND(G19/1156-1,2)</f>
        <v>0.3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1100</v>
      </c>
      <c r="F20" s="10"/>
      <c r="G20" s="10">
        <f t="shared" si="0"/>
        <v>1100</v>
      </c>
      <c r="H20" s="16">
        <f t="shared" si="1"/>
        <v>0.47</v>
      </c>
      <c r="I20" s="15">
        <f t="shared" si="2"/>
        <v>1E-3</v>
      </c>
      <c r="J20" s="15">
        <f>ROUND(G20/438-1,2)</f>
        <v>1.51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1060</v>
      </c>
      <c r="F21" s="10"/>
      <c r="G21" s="10">
        <f t="shared" si="0"/>
        <v>1060</v>
      </c>
      <c r="H21" s="16">
        <f t="shared" si="1"/>
        <v>0.45</v>
      </c>
      <c r="I21" s="15">
        <f t="shared" si="2"/>
        <v>1E-3</v>
      </c>
      <c r="J21" s="15">
        <f>ROUND(G21/3870-1,2)</f>
        <v>-0.73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1260</v>
      </c>
      <c r="F22" s="10"/>
      <c r="G22" s="10">
        <f t="shared" si="0"/>
        <v>1260</v>
      </c>
      <c r="H22" s="16">
        <f t="shared" si="1"/>
        <v>0.54</v>
      </c>
      <c r="I22" s="15">
        <f t="shared" si="2"/>
        <v>2E-3</v>
      </c>
      <c r="J22" s="15">
        <f>ROUND(G22/960-1,2)</f>
        <v>0.31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1481</v>
      </c>
      <c r="F23" s="10"/>
      <c r="G23" s="10">
        <f t="shared" si="0"/>
        <v>1481</v>
      </c>
      <c r="H23" s="16">
        <f t="shared" si="1"/>
        <v>0.63</v>
      </c>
      <c r="I23" s="15">
        <f t="shared" si="2"/>
        <v>2E-3</v>
      </c>
      <c r="J23" s="15">
        <f>ROUND(G23/1860-1,2)</f>
        <v>-0.2</v>
      </c>
    </row>
    <row r="24" spans="1:10" x14ac:dyDescent="0.25">
      <c r="A24" s="1" t="s">
        <v>16</v>
      </c>
      <c r="B24" s="1" t="s">
        <v>33</v>
      </c>
      <c r="C24" s="10"/>
      <c r="D24" s="10">
        <v>276</v>
      </c>
      <c r="E24" s="10">
        <v>53</v>
      </c>
      <c r="F24" s="10"/>
      <c r="G24" s="10">
        <f t="shared" si="0"/>
        <v>329</v>
      </c>
      <c r="H24" s="16">
        <f t="shared" si="1"/>
        <v>0.14000000000000001</v>
      </c>
      <c r="I24" s="15">
        <f t="shared" si="2"/>
        <v>0</v>
      </c>
      <c r="J24" s="15">
        <f>ROUND(G24/359-1,2)</f>
        <v>-0.08</v>
      </c>
    </row>
    <row r="25" spans="1:10" x14ac:dyDescent="0.25">
      <c r="A25" s="1" t="s">
        <v>16</v>
      </c>
      <c r="B25" s="1" t="s">
        <v>34</v>
      </c>
      <c r="C25" s="10"/>
      <c r="D25" s="10"/>
      <c r="E25" s="10">
        <v>200</v>
      </c>
      <c r="F25" s="10"/>
      <c r="G25" s="10">
        <f t="shared" si="0"/>
        <v>200</v>
      </c>
      <c r="H25" s="16">
        <f t="shared" si="1"/>
        <v>0.09</v>
      </c>
      <c r="I25" s="15">
        <f t="shared" si="2"/>
        <v>0</v>
      </c>
      <c r="J25" s="15">
        <f>ROUND(G25/600-1,2)</f>
        <v>-0.67</v>
      </c>
    </row>
    <row r="26" spans="1:10" x14ac:dyDescent="0.25">
      <c r="A26" s="1" t="s">
        <v>16</v>
      </c>
      <c r="B26" s="1" t="s">
        <v>35</v>
      </c>
      <c r="C26" s="10"/>
      <c r="D26" s="10"/>
      <c r="E26" s="10">
        <v>240</v>
      </c>
      <c r="F26" s="10"/>
      <c r="G26" s="10">
        <f t="shared" si="0"/>
        <v>240</v>
      </c>
      <c r="H26" s="16">
        <f t="shared" si="1"/>
        <v>0.1</v>
      </c>
      <c r="I26" s="15">
        <f t="shared" si="2"/>
        <v>0</v>
      </c>
      <c r="J26" s="15">
        <f>ROUND(G26/314-1,2)</f>
        <v>-0.24</v>
      </c>
    </row>
    <row r="27" spans="1:10" x14ac:dyDescent="0.25">
      <c r="A27" s="1" t="s">
        <v>16</v>
      </c>
      <c r="B27" s="1" t="s">
        <v>37</v>
      </c>
      <c r="C27" s="10"/>
      <c r="D27" s="10"/>
      <c r="E27" s="10">
        <v>2070</v>
      </c>
      <c r="F27" s="10"/>
      <c r="G27" s="10">
        <f t="shared" si="0"/>
        <v>2070</v>
      </c>
      <c r="H27" s="16">
        <f t="shared" si="1"/>
        <v>0.88</v>
      </c>
      <c r="I27" s="15">
        <f t="shared" si="2"/>
        <v>3.0000000000000001E-3</v>
      </c>
      <c r="J27" s="15">
        <f>ROUND(G27/4450-1,2)</f>
        <v>-0.53</v>
      </c>
    </row>
    <row r="28" spans="1:10" x14ac:dyDescent="0.25">
      <c r="A28" s="1" t="s">
        <v>16</v>
      </c>
      <c r="B28" s="1" t="s">
        <v>38</v>
      </c>
      <c r="C28" s="10"/>
      <c r="D28" s="10"/>
      <c r="E28" s="10">
        <v>67655</v>
      </c>
      <c r="F28" s="10"/>
      <c r="G28" s="10">
        <f t="shared" si="0"/>
        <v>67655</v>
      </c>
      <c r="H28" s="16">
        <f t="shared" si="1"/>
        <v>28.85</v>
      </c>
      <c r="I28" s="15">
        <f t="shared" si="2"/>
        <v>8.3000000000000004E-2</v>
      </c>
      <c r="J28" s="15">
        <f>ROUND(G28/57950-1,2)</f>
        <v>0.17</v>
      </c>
    </row>
    <row r="29" spans="1:10" x14ac:dyDescent="0.25">
      <c r="A29" s="1" t="s">
        <v>16</v>
      </c>
      <c r="B29" s="1" t="s">
        <v>39</v>
      </c>
      <c r="C29" s="10"/>
      <c r="D29" s="10"/>
      <c r="E29" s="10">
        <v>6150</v>
      </c>
      <c r="F29" s="10"/>
      <c r="G29" s="10">
        <f t="shared" si="0"/>
        <v>6150</v>
      </c>
      <c r="H29" s="16">
        <f t="shared" si="1"/>
        <v>2.62</v>
      </c>
      <c r="I29" s="15">
        <f t="shared" si="2"/>
        <v>8.0000000000000002E-3</v>
      </c>
      <c r="J29" s="15">
        <f>ROUND(G29/6575-1,2)</f>
        <v>-0.06</v>
      </c>
    </row>
    <row r="30" spans="1:10" x14ac:dyDescent="0.25">
      <c r="A30" s="1" t="s">
        <v>16</v>
      </c>
      <c r="B30" s="1" t="s">
        <v>40</v>
      </c>
      <c r="C30" s="10"/>
      <c r="D30" s="10"/>
      <c r="E30" s="10">
        <v>18950</v>
      </c>
      <c r="F30" s="10"/>
      <c r="G30" s="10">
        <f t="shared" si="0"/>
        <v>18950</v>
      </c>
      <c r="H30" s="16">
        <f t="shared" si="1"/>
        <v>8.08</v>
      </c>
      <c r="I30" s="15">
        <f t="shared" si="2"/>
        <v>2.3E-2</v>
      </c>
      <c r="J30" s="15">
        <f>ROUND(G30/17340-1,2)</f>
        <v>0.09</v>
      </c>
    </row>
    <row r="31" spans="1:10" x14ac:dyDescent="0.25">
      <c r="A31" s="1" t="s">
        <v>16</v>
      </c>
      <c r="B31" s="1" t="s">
        <v>41</v>
      </c>
      <c r="C31" s="10"/>
      <c r="D31" s="10"/>
      <c r="E31" s="10">
        <v>71100</v>
      </c>
      <c r="F31" s="10"/>
      <c r="G31" s="10">
        <f t="shared" si="0"/>
        <v>71100</v>
      </c>
      <c r="H31" s="16">
        <f t="shared" si="1"/>
        <v>30.32</v>
      </c>
      <c r="I31" s="15">
        <f t="shared" si="2"/>
        <v>8.6999999999999994E-2</v>
      </c>
      <c r="J31" s="15">
        <f>ROUND(G31/88930-1,2)</f>
        <v>-0.2</v>
      </c>
    </row>
    <row r="32" spans="1:10" x14ac:dyDescent="0.25">
      <c r="A32" s="1" t="s">
        <v>16</v>
      </c>
      <c r="B32" s="1" t="s">
        <v>36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ROUND(G32/4490-1,2)</f>
        <v>-1</v>
      </c>
    </row>
    <row r="33" spans="1:10" x14ac:dyDescent="0.25">
      <c r="A33" s="1" t="s">
        <v>16</v>
      </c>
      <c r="B33" s="1" t="s">
        <v>43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ROUND(G33/6930-1,2)</f>
        <v>-1</v>
      </c>
    </row>
    <row r="34" spans="1:10" x14ac:dyDescent="0.25">
      <c r="A34" s="1" t="s">
        <v>16</v>
      </c>
      <c r="B34" s="1" t="s">
        <v>42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ROUND(G34/140-1,2)</f>
        <v>-1</v>
      </c>
    </row>
    <row r="35" spans="1:10" x14ac:dyDescent="0.25">
      <c r="A35" s="1" t="s">
        <v>16</v>
      </c>
      <c r="B35" s="1" t="s">
        <v>98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ROUND(G35/160-1,2)</f>
        <v>-1</v>
      </c>
    </row>
    <row r="36" spans="1:10" x14ac:dyDescent="0.25">
      <c r="A36" s="1" t="s">
        <v>44</v>
      </c>
      <c r="B36" s="1" t="s">
        <v>45</v>
      </c>
      <c r="C36" s="10">
        <v>113440</v>
      </c>
      <c r="D36" s="10"/>
      <c r="E36" s="10"/>
      <c r="F36" s="10">
        <v>640</v>
      </c>
      <c r="G36" s="10">
        <f t="shared" si="0"/>
        <v>114080</v>
      </c>
      <c r="H36" s="16">
        <f t="shared" si="1"/>
        <v>48.65</v>
      </c>
      <c r="I36" s="15">
        <f t="shared" si="2"/>
        <v>0.14000000000000001</v>
      </c>
      <c r="J36" s="15">
        <f>ROUND(G36/103410-1,2)</f>
        <v>0.1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>
        <v>13360</v>
      </c>
      <c r="G37" s="10">
        <f t="shared" si="0"/>
        <v>13360</v>
      </c>
      <c r="H37" s="16">
        <f t="shared" si="1"/>
        <v>5.7</v>
      </c>
      <c r="I37" s="15">
        <f t="shared" si="2"/>
        <v>1.6E-2</v>
      </c>
      <c r="J37" s="15">
        <f>ROUND(G37/19540-1,2)</f>
        <v>-0.32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49170</v>
      </c>
      <c r="F38" s="10"/>
      <c r="G38" s="10">
        <f t="shared" si="0"/>
        <v>49170</v>
      </c>
      <c r="H38" s="16">
        <f t="shared" si="1"/>
        <v>20.97</v>
      </c>
      <c r="I38" s="15">
        <f t="shared" si="2"/>
        <v>0.06</v>
      </c>
      <c r="J38" s="15">
        <f>ROUND(G38/44580-1,2)</f>
        <v>0.1</v>
      </c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48</v>
      </c>
      <c r="B40" s="1" t="s">
        <v>86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27" t="s">
        <v>12</v>
      </c>
      <c r="B41" s="27"/>
      <c r="C41" s="11">
        <f t="shared" ref="C41:H41" si="3">SUM(C8:C40)</f>
        <v>517710</v>
      </c>
      <c r="D41" s="11">
        <f t="shared" si="3"/>
        <v>276</v>
      </c>
      <c r="E41" s="11">
        <f t="shared" si="3"/>
        <v>283246</v>
      </c>
      <c r="F41" s="11">
        <f t="shared" si="3"/>
        <v>15680</v>
      </c>
      <c r="G41" s="11">
        <f t="shared" si="3"/>
        <v>816912</v>
      </c>
      <c r="H41" s="14">
        <f t="shared" si="3"/>
        <v>348.36999999999989</v>
      </c>
      <c r="I41" s="17"/>
      <c r="J41" s="17"/>
    </row>
    <row r="42" spans="1:10" x14ac:dyDescent="0.25">
      <c r="A42" s="27" t="s">
        <v>14</v>
      </c>
      <c r="B42" s="27"/>
      <c r="C42" s="12">
        <f>ROUND(C41/G41,2)</f>
        <v>0.63</v>
      </c>
      <c r="D42" s="12">
        <f>ROUND(D41/G41,2)</f>
        <v>0</v>
      </c>
      <c r="E42" s="12">
        <f>ROUND(E41/G41,2)</f>
        <v>0.35</v>
      </c>
      <c r="F42" s="12">
        <f>ROUND(F41/G41,2)</f>
        <v>0.02</v>
      </c>
      <c r="G42" s="13"/>
      <c r="H42" s="13"/>
      <c r="I42" s="17"/>
      <c r="J42" s="17"/>
    </row>
    <row r="43" spans="1:10" x14ac:dyDescent="0.25">
      <c r="A43" s="2" t="s">
        <v>52</v>
      </c>
      <c r="B43" s="2"/>
      <c r="C43" s="13"/>
      <c r="D43" s="13"/>
      <c r="E43" s="13"/>
      <c r="F43" s="13"/>
      <c r="G43" s="13"/>
      <c r="H43" s="13"/>
      <c r="I43" s="17"/>
      <c r="J43" s="17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A47" s="27" t="s">
        <v>53</v>
      </c>
      <c r="B47" s="27"/>
      <c r="C47" s="11" t="s">
        <v>8</v>
      </c>
      <c r="D47" s="11" t="s">
        <v>9</v>
      </c>
      <c r="E47" s="11" t="s">
        <v>10</v>
      </c>
      <c r="F47" s="11" t="s">
        <v>11</v>
      </c>
      <c r="G47" s="11" t="s">
        <v>12</v>
      </c>
      <c r="H47" s="14" t="s">
        <v>13</v>
      </c>
      <c r="I47" s="17"/>
      <c r="J47" s="17"/>
    </row>
    <row r="48" spans="1:10" x14ac:dyDescent="0.25">
      <c r="A48" s="22" t="s">
        <v>54</v>
      </c>
      <c r="B48" s="22"/>
      <c r="C48" s="10">
        <v>404270</v>
      </c>
      <c r="D48" s="10">
        <v>276</v>
      </c>
      <c r="E48" s="10">
        <v>234076</v>
      </c>
      <c r="F48" s="10">
        <v>1680</v>
      </c>
      <c r="G48" s="10">
        <f>SUM(C48:F48)</f>
        <v>640302</v>
      </c>
      <c r="H48" s="16">
        <f>ROUND(G48/2345,2)</f>
        <v>273.05</v>
      </c>
      <c r="I48" s="9"/>
      <c r="J48" s="9"/>
    </row>
    <row r="49" spans="1:10" x14ac:dyDescent="0.25">
      <c r="A49" s="22" t="s">
        <v>55</v>
      </c>
      <c r="B49" s="22"/>
      <c r="C49" s="10">
        <v>113440</v>
      </c>
      <c r="D49" s="10">
        <v>0</v>
      </c>
      <c r="E49" s="10">
        <v>49170</v>
      </c>
      <c r="F49" s="10">
        <v>14000</v>
      </c>
      <c r="G49" s="10">
        <f>SUM(C49:F49)</f>
        <v>176610</v>
      </c>
      <c r="H49" s="16">
        <f>ROUND(G49/2345,2)</f>
        <v>75.31</v>
      </c>
      <c r="I49" s="9"/>
      <c r="J49" s="9"/>
    </row>
    <row r="50" spans="1:10" x14ac:dyDescent="0.25">
      <c r="A50" s="22" t="s">
        <v>56</v>
      </c>
      <c r="B50" s="22"/>
      <c r="C50" s="10">
        <v>0</v>
      </c>
      <c r="D50" s="10">
        <v>0</v>
      </c>
      <c r="E50" s="10">
        <v>0</v>
      </c>
      <c r="F50" s="10">
        <v>0</v>
      </c>
      <c r="G50" s="10">
        <f>SUM(C50:F50)</f>
        <v>0</v>
      </c>
      <c r="H50" s="16">
        <f>ROUND(G50/2345,2)</f>
        <v>0</v>
      </c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57</v>
      </c>
      <c r="B55" s="27"/>
      <c r="C55" s="14" t="s">
        <v>2</v>
      </c>
      <c r="D55" s="14">
        <v>2023</v>
      </c>
      <c r="E55" s="14" t="s">
        <v>59</v>
      </c>
      <c r="F55" s="13"/>
      <c r="G55" s="14" t="s">
        <v>60</v>
      </c>
      <c r="H55" s="14" t="s">
        <v>2</v>
      </c>
      <c r="I55" s="12" t="s">
        <v>61</v>
      </c>
      <c r="J55" s="12" t="s">
        <v>59</v>
      </c>
    </row>
    <row r="56" spans="1:10" x14ac:dyDescent="0.25">
      <c r="A56" s="22" t="s">
        <v>58</v>
      </c>
      <c r="B56" s="22"/>
      <c r="C56" s="15">
        <f>ROUND(0.8435, 4)</f>
        <v>0.84350000000000003</v>
      </c>
      <c r="D56" s="15">
        <f>ROUND(0.8574, 4)</f>
        <v>0.85740000000000005</v>
      </c>
      <c r="E56" s="15">
        <f>ROUND(0.777, 4)</f>
        <v>0.77700000000000002</v>
      </c>
      <c r="F56" s="8"/>
      <c r="G56" s="14" t="s">
        <v>62</v>
      </c>
      <c r="H56" s="28" t="s">
        <v>63</v>
      </c>
      <c r="I56" s="25" t="s">
        <v>64</v>
      </c>
      <c r="J56" s="25" t="s">
        <v>65</v>
      </c>
    </row>
    <row r="57" spans="1:10" x14ac:dyDescent="0.25">
      <c r="A57" s="22" t="s">
        <v>66</v>
      </c>
      <c r="B57" s="22"/>
      <c r="C57" s="15">
        <f>ROUND(0.8299, 4)</f>
        <v>0.82989999999999997</v>
      </c>
      <c r="D57" s="15">
        <f>ROUND(0.8445, 4)</f>
        <v>0.84450000000000003</v>
      </c>
      <c r="E57" s="15">
        <f>ROUND(0.7608, 4)</f>
        <v>0.76080000000000003</v>
      </c>
      <c r="F57" s="8"/>
      <c r="G57" s="14" t="s">
        <v>67</v>
      </c>
      <c r="H57" s="29"/>
      <c r="I57" s="26"/>
      <c r="J57" s="26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A61" s="27" t="s">
        <v>68</v>
      </c>
      <c r="B61" s="27"/>
      <c r="C61" s="14" t="s">
        <v>2</v>
      </c>
      <c r="D61" s="14" t="s">
        <v>103</v>
      </c>
      <c r="E61" s="14" t="s">
        <v>70</v>
      </c>
      <c r="F61" s="14" t="s">
        <v>71</v>
      </c>
      <c r="G61" s="14" t="s">
        <v>72</v>
      </c>
      <c r="H61" s="13"/>
      <c r="I61" s="17"/>
      <c r="J61" s="17"/>
    </row>
    <row r="62" spans="1:10" x14ac:dyDescent="0.25">
      <c r="A62" s="22" t="s">
        <v>73</v>
      </c>
      <c r="B62" s="22"/>
      <c r="C62" s="16">
        <v>48.65</v>
      </c>
      <c r="D62" s="16">
        <v>77.61</v>
      </c>
      <c r="E62" s="16">
        <v>92.53</v>
      </c>
      <c r="F62" s="16">
        <v>56.06</v>
      </c>
      <c r="G62" s="16">
        <f>12/11*C62</f>
        <v>53.072727272727271</v>
      </c>
      <c r="H62" s="8"/>
      <c r="I62" s="9"/>
      <c r="J62" s="9"/>
    </row>
    <row r="63" spans="1:10" x14ac:dyDescent="0.25">
      <c r="A63" s="22" t="s">
        <v>74</v>
      </c>
      <c r="B63" s="22"/>
      <c r="C63" s="16">
        <v>63.51</v>
      </c>
      <c r="D63" s="16">
        <v>67.099999999999994</v>
      </c>
      <c r="E63" s="16">
        <v>61.98</v>
      </c>
      <c r="F63" s="16">
        <v>64.09</v>
      </c>
      <c r="G63" s="16">
        <f>12/11*C63</f>
        <v>69.283636363636361</v>
      </c>
      <c r="H63" s="8"/>
      <c r="I63" s="9"/>
      <c r="J63" s="9"/>
    </row>
    <row r="64" spans="1:10" x14ac:dyDescent="0.25">
      <c r="A64" s="22" t="s">
        <v>75</v>
      </c>
      <c r="B64" s="22"/>
      <c r="C64" s="16">
        <v>273.05</v>
      </c>
      <c r="D64" s="16">
        <v>282.7</v>
      </c>
      <c r="E64" s="16">
        <v>291.51</v>
      </c>
      <c r="F64" s="16">
        <v>284.45</v>
      </c>
      <c r="G64" s="16">
        <f>12/11*C64</f>
        <v>297.87272727272727</v>
      </c>
      <c r="H64" s="8"/>
      <c r="I64" s="9"/>
      <c r="J64" s="9"/>
    </row>
    <row r="65" spans="1:10" x14ac:dyDescent="0.25">
      <c r="A65" s="22" t="s">
        <v>76</v>
      </c>
      <c r="B65" s="22"/>
      <c r="C65" s="16">
        <v>75.31</v>
      </c>
      <c r="D65" s="16">
        <v>104.7</v>
      </c>
      <c r="E65" s="16">
        <v>116.46</v>
      </c>
      <c r="F65" s="16">
        <v>79.959999999999994</v>
      </c>
      <c r="G65" s="16">
        <f>12/11*C65</f>
        <v>82.156363636363636</v>
      </c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3" t="s">
        <v>60</v>
      </c>
      <c r="B68" s="24"/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77</v>
      </c>
      <c r="B69" s="1" t="s">
        <v>104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70</v>
      </c>
      <c r="B70" s="1" t="s">
        <v>79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71</v>
      </c>
      <c r="B71" s="1" t="s">
        <v>80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72</v>
      </c>
      <c r="B72" s="1" t="s">
        <v>81</v>
      </c>
    </row>
  </sheetData>
  <mergeCells count="19">
    <mergeCell ref="C7:G7"/>
    <mergeCell ref="A41:B41"/>
    <mergeCell ref="A42:B42"/>
    <mergeCell ref="A47:B47"/>
    <mergeCell ref="A48:B48"/>
    <mergeCell ref="J56:J57"/>
    <mergeCell ref="A57:B57"/>
    <mergeCell ref="A61:B61"/>
    <mergeCell ref="A62:B62"/>
    <mergeCell ref="A49:B49"/>
    <mergeCell ref="A50:B50"/>
    <mergeCell ref="A55:B55"/>
    <mergeCell ref="A56:B56"/>
    <mergeCell ref="H56:H57"/>
    <mergeCell ref="A63:B63"/>
    <mergeCell ref="A64:B64"/>
    <mergeCell ref="A65:B65"/>
    <mergeCell ref="A68:B68"/>
    <mergeCell ref="I56:I5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0.28515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292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6251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140</v>
      </c>
      <c r="F9" s="10"/>
      <c r="G9" s="10">
        <f t="shared" ref="G9:G43" si="0">SUM(C9:F9)</f>
        <v>140</v>
      </c>
      <c r="H9" s="16">
        <f t="shared" ref="H9:H43" si="1">ROUND(G9/6251,2)</f>
        <v>0.02</v>
      </c>
      <c r="I9" s="15">
        <f t="shared" ref="I9:I43" si="2">ROUND(G9/$G$44,3)</f>
        <v>0</v>
      </c>
      <c r="J9" s="15">
        <f>ROUND(G9/190-1,2)</f>
        <v>-0.26</v>
      </c>
    </row>
    <row r="10" spans="1:10" x14ac:dyDescent="0.25">
      <c r="A10" s="1" t="s">
        <v>16</v>
      </c>
      <c r="B10" s="1" t="s">
        <v>19</v>
      </c>
      <c r="C10" s="10">
        <v>130880</v>
      </c>
      <c r="D10" s="10"/>
      <c r="E10" s="10"/>
      <c r="F10" s="10"/>
      <c r="G10" s="10">
        <f t="shared" si="0"/>
        <v>130880</v>
      </c>
      <c r="H10" s="16">
        <f t="shared" si="1"/>
        <v>20.94</v>
      </c>
      <c r="I10" s="15">
        <f t="shared" si="2"/>
        <v>5.1999999999999998E-2</v>
      </c>
      <c r="J10" s="15">
        <f>ROUND(G10/125180-1,2)</f>
        <v>0.05</v>
      </c>
    </row>
    <row r="11" spans="1:10" x14ac:dyDescent="0.25">
      <c r="A11" s="1" t="s">
        <v>16</v>
      </c>
      <c r="B11" s="1" t="s">
        <v>20</v>
      </c>
      <c r="C11" s="10">
        <v>175640</v>
      </c>
      <c r="D11" s="10"/>
      <c r="E11" s="10"/>
      <c r="F11" s="10"/>
      <c r="G11" s="10">
        <f t="shared" si="0"/>
        <v>175640</v>
      </c>
      <c r="H11" s="16">
        <f t="shared" si="1"/>
        <v>28.1</v>
      </c>
      <c r="I11" s="15">
        <f t="shared" si="2"/>
        <v>7.0000000000000007E-2</v>
      </c>
      <c r="J11" s="15">
        <f>ROUND(G11/181110-1,2)</f>
        <v>-0.03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408</v>
      </c>
      <c r="F12" s="10"/>
      <c r="G12" s="10">
        <f t="shared" si="0"/>
        <v>408</v>
      </c>
      <c r="H12" s="16">
        <f t="shared" si="1"/>
        <v>7.0000000000000007E-2</v>
      </c>
      <c r="I12" s="15">
        <f t="shared" si="2"/>
        <v>0</v>
      </c>
      <c r="J12" s="15">
        <f>ROUND(G12/293-1,2)</f>
        <v>0.39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428</v>
      </c>
      <c r="F13" s="10"/>
      <c r="G13" s="10">
        <f t="shared" si="0"/>
        <v>428</v>
      </c>
      <c r="H13" s="16">
        <f t="shared" si="1"/>
        <v>7.0000000000000007E-2</v>
      </c>
      <c r="I13" s="15">
        <f t="shared" si="2"/>
        <v>0</v>
      </c>
      <c r="J13" s="15">
        <f>ROUND(G13/377-1,2)</f>
        <v>0.14000000000000001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3100</v>
      </c>
      <c r="F14" s="10"/>
      <c r="G14" s="10">
        <f t="shared" si="0"/>
        <v>3100</v>
      </c>
      <c r="H14" s="16">
        <f t="shared" si="1"/>
        <v>0.5</v>
      </c>
      <c r="I14" s="15">
        <f t="shared" si="2"/>
        <v>1E-3</v>
      </c>
      <c r="J14" s="15">
        <f>ROUND(G14/4100-1,2)</f>
        <v>-0.24</v>
      </c>
    </row>
    <row r="15" spans="1:10" x14ac:dyDescent="0.25">
      <c r="A15" s="1" t="s">
        <v>16</v>
      </c>
      <c r="B15" s="1" t="s">
        <v>223</v>
      </c>
      <c r="C15" s="10"/>
      <c r="D15" s="10"/>
      <c r="E15" s="10"/>
      <c r="F15" s="10"/>
      <c r="G15" s="10">
        <f t="shared" si="0"/>
        <v>0</v>
      </c>
      <c r="H15" s="16">
        <f t="shared" si="1"/>
        <v>0</v>
      </c>
      <c r="I15" s="15">
        <f t="shared" si="2"/>
        <v>0</v>
      </c>
      <c r="J15" s="15"/>
    </row>
    <row r="16" spans="1:10" x14ac:dyDescent="0.25">
      <c r="A16" s="1" t="s">
        <v>16</v>
      </c>
      <c r="B16" s="1" t="s">
        <v>23</v>
      </c>
      <c r="C16" s="10"/>
      <c r="D16" s="10"/>
      <c r="E16" s="10">
        <v>277940</v>
      </c>
      <c r="F16" s="10"/>
      <c r="G16" s="10">
        <f t="shared" si="0"/>
        <v>277940</v>
      </c>
      <c r="H16" s="16">
        <f t="shared" si="1"/>
        <v>44.46</v>
      </c>
      <c r="I16" s="15">
        <f t="shared" si="2"/>
        <v>0.11</v>
      </c>
      <c r="J16" s="15">
        <f>ROUND(G16/145920-1,2)</f>
        <v>0.9</v>
      </c>
    </row>
    <row r="17" spans="1:10" x14ac:dyDescent="0.25">
      <c r="A17" s="1" t="s">
        <v>16</v>
      </c>
      <c r="B17" s="1" t="s">
        <v>24</v>
      </c>
      <c r="C17" s="10">
        <v>206090</v>
      </c>
      <c r="D17" s="10"/>
      <c r="E17" s="10">
        <v>8530</v>
      </c>
      <c r="F17" s="10"/>
      <c r="G17" s="10">
        <f t="shared" si="0"/>
        <v>214620</v>
      </c>
      <c r="H17" s="16">
        <f t="shared" si="1"/>
        <v>34.33</v>
      </c>
      <c r="I17" s="15">
        <f t="shared" si="2"/>
        <v>8.5000000000000006E-2</v>
      </c>
      <c r="J17" s="15">
        <f>ROUND(G17/197360-1,2)</f>
        <v>0.09</v>
      </c>
    </row>
    <row r="18" spans="1:10" x14ac:dyDescent="0.25">
      <c r="A18" s="1" t="s">
        <v>16</v>
      </c>
      <c r="B18" s="1" t="s">
        <v>25</v>
      </c>
      <c r="C18" s="10"/>
      <c r="D18" s="10"/>
      <c r="E18" s="10">
        <v>11335</v>
      </c>
      <c r="F18" s="10"/>
      <c r="G18" s="10">
        <f t="shared" si="0"/>
        <v>11335</v>
      </c>
      <c r="H18" s="16">
        <f t="shared" si="1"/>
        <v>1.81</v>
      </c>
      <c r="I18" s="15">
        <f t="shared" si="2"/>
        <v>4.0000000000000001E-3</v>
      </c>
      <c r="J18" s="15">
        <f>ROUND(G18/13855-1,2)</f>
        <v>-0.18</v>
      </c>
    </row>
    <row r="19" spans="1:10" x14ac:dyDescent="0.25">
      <c r="A19" s="1" t="s">
        <v>16</v>
      </c>
      <c r="B19" s="1" t="s">
        <v>26</v>
      </c>
      <c r="C19" s="10">
        <v>279990</v>
      </c>
      <c r="D19" s="10"/>
      <c r="E19" s="10"/>
      <c r="F19" s="10">
        <v>1290</v>
      </c>
      <c r="G19" s="10">
        <f t="shared" si="0"/>
        <v>281280</v>
      </c>
      <c r="H19" s="16">
        <f t="shared" si="1"/>
        <v>45</v>
      </c>
      <c r="I19" s="15">
        <f t="shared" si="2"/>
        <v>0.112</v>
      </c>
      <c r="J19" s="15">
        <f>ROUND(G19/265420-1,2)</f>
        <v>0.06</v>
      </c>
    </row>
    <row r="20" spans="1:10" x14ac:dyDescent="0.25">
      <c r="A20" s="1" t="s">
        <v>16</v>
      </c>
      <c r="B20" s="1" t="s">
        <v>27</v>
      </c>
      <c r="C20" s="10"/>
      <c r="D20" s="10"/>
      <c r="E20" s="10">
        <v>795</v>
      </c>
      <c r="F20" s="10"/>
      <c r="G20" s="10">
        <f t="shared" si="0"/>
        <v>795</v>
      </c>
      <c r="H20" s="16">
        <f t="shared" si="1"/>
        <v>0.13</v>
      </c>
      <c r="I20" s="15">
        <f t="shared" si="2"/>
        <v>0</v>
      </c>
      <c r="J20" s="15">
        <f>ROUND(G20/711-1,2)</f>
        <v>0.12</v>
      </c>
    </row>
    <row r="21" spans="1:10" x14ac:dyDescent="0.25">
      <c r="A21" s="1" t="s">
        <v>16</v>
      </c>
      <c r="B21" s="1" t="s">
        <v>28</v>
      </c>
      <c r="C21" s="10"/>
      <c r="D21" s="10"/>
      <c r="E21" s="10">
        <v>304</v>
      </c>
      <c r="F21" s="10"/>
      <c r="G21" s="10">
        <f t="shared" si="0"/>
        <v>304</v>
      </c>
      <c r="H21" s="16">
        <f t="shared" si="1"/>
        <v>0.05</v>
      </c>
      <c r="I21" s="15">
        <f t="shared" si="2"/>
        <v>0</v>
      </c>
      <c r="J21" s="15">
        <f>ROUND(G21/357-1,2)</f>
        <v>-0.15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8090</v>
      </c>
      <c r="F22" s="10"/>
      <c r="G22" s="10">
        <f t="shared" si="0"/>
        <v>8090</v>
      </c>
      <c r="H22" s="16">
        <f t="shared" si="1"/>
        <v>1.29</v>
      </c>
      <c r="I22" s="15">
        <f t="shared" si="2"/>
        <v>3.0000000000000001E-3</v>
      </c>
      <c r="J22" s="15">
        <f>ROUND(G22/13860-1,2)</f>
        <v>-0.42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2700</v>
      </c>
      <c r="F23" s="10"/>
      <c r="G23" s="10">
        <f t="shared" si="0"/>
        <v>2700</v>
      </c>
      <c r="H23" s="16">
        <f t="shared" si="1"/>
        <v>0.43</v>
      </c>
      <c r="I23" s="15">
        <f t="shared" si="2"/>
        <v>1E-3</v>
      </c>
      <c r="J23" s="15">
        <f>ROUND(G23/2910-1,2)</f>
        <v>-7.0000000000000007E-2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1370</v>
      </c>
      <c r="F24" s="10"/>
      <c r="G24" s="10">
        <f t="shared" si="0"/>
        <v>1370</v>
      </c>
      <c r="H24" s="16">
        <f t="shared" si="1"/>
        <v>0.22</v>
      </c>
      <c r="I24" s="15">
        <f t="shared" si="2"/>
        <v>1E-3</v>
      </c>
      <c r="J24" s="15">
        <f>ROUND(G24/1100-1,2)</f>
        <v>0.25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5950</v>
      </c>
      <c r="F25" s="10"/>
      <c r="G25" s="10">
        <f t="shared" si="0"/>
        <v>5950</v>
      </c>
      <c r="H25" s="16">
        <f t="shared" si="1"/>
        <v>0.95</v>
      </c>
      <c r="I25" s="15">
        <f t="shared" si="2"/>
        <v>2E-3</v>
      </c>
      <c r="J25" s="15">
        <f>ROUND(G25/4745-1,2)</f>
        <v>0.25</v>
      </c>
    </row>
    <row r="26" spans="1:10" x14ac:dyDescent="0.25">
      <c r="A26" s="1" t="s">
        <v>16</v>
      </c>
      <c r="B26" s="1" t="s">
        <v>33</v>
      </c>
      <c r="C26" s="10"/>
      <c r="D26" s="10">
        <v>128</v>
      </c>
      <c r="E26" s="10">
        <v>98</v>
      </c>
      <c r="F26" s="10"/>
      <c r="G26" s="10">
        <f t="shared" si="0"/>
        <v>226</v>
      </c>
      <c r="H26" s="16">
        <f t="shared" si="1"/>
        <v>0.04</v>
      </c>
      <c r="I26" s="15">
        <f t="shared" si="2"/>
        <v>0</v>
      </c>
      <c r="J26" s="15">
        <f>ROUND(G26/137-1,2)</f>
        <v>0.65</v>
      </c>
    </row>
    <row r="27" spans="1:10" x14ac:dyDescent="0.25">
      <c r="A27" s="1" t="s">
        <v>16</v>
      </c>
      <c r="B27" s="1" t="s">
        <v>35</v>
      </c>
      <c r="C27" s="10"/>
      <c r="D27" s="10"/>
      <c r="E27" s="10">
        <v>210</v>
      </c>
      <c r="F27" s="10"/>
      <c r="G27" s="10">
        <f t="shared" si="0"/>
        <v>210</v>
      </c>
      <c r="H27" s="16">
        <f t="shared" si="1"/>
        <v>0.03</v>
      </c>
      <c r="I27" s="15">
        <f t="shared" si="2"/>
        <v>0</v>
      </c>
      <c r="J27" s="15">
        <f>ROUND(G27/546-1,2)</f>
        <v>-0.62</v>
      </c>
    </row>
    <row r="28" spans="1:10" x14ac:dyDescent="0.25">
      <c r="A28" s="1" t="s">
        <v>16</v>
      </c>
      <c r="B28" s="1" t="s">
        <v>34</v>
      </c>
      <c r="C28" s="10"/>
      <c r="D28" s="10"/>
      <c r="E28" s="10">
        <v>620</v>
      </c>
      <c r="F28" s="10"/>
      <c r="G28" s="10">
        <f t="shared" si="0"/>
        <v>620</v>
      </c>
      <c r="H28" s="16">
        <f t="shared" si="1"/>
        <v>0.1</v>
      </c>
      <c r="I28" s="15">
        <f t="shared" si="2"/>
        <v>0</v>
      </c>
      <c r="J28" s="15">
        <f>ROUND(G28/2500-1,2)</f>
        <v>-0.75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12130</v>
      </c>
      <c r="F29" s="10"/>
      <c r="G29" s="10">
        <f t="shared" si="0"/>
        <v>12130</v>
      </c>
      <c r="H29" s="16">
        <f t="shared" si="1"/>
        <v>1.94</v>
      </c>
      <c r="I29" s="15">
        <f t="shared" si="2"/>
        <v>5.0000000000000001E-3</v>
      </c>
      <c r="J29" s="15">
        <f>ROUND(G29/19290-1,2)</f>
        <v>-0.37</v>
      </c>
    </row>
    <row r="30" spans="1:10" x14ac:dyDescent="0.25">
      <c r="A30" s="1" t="s">
        <v>16</v>
      </c>
      <c r="B30" s="1" t="s">
        <v>43</v>
      </c>
      <c r="C30" s="10"/>
      <c r="D30" s="10"/>
      <c r="E30" s="10">
        <v>7914</v>
      </c>
      <c r="F30" s="10"/>
      <c r="G30" s="10">
        <f t="shared" si="0"/>
        <v>7914</v>
      </c>
      <c r="H30" s="16">
        <f t="shared" si="1"/>
        <v>1.27</v>
      </c>
      <c r="I30" s="15">
        <f t="shared" si="2"/>
        <v>3.0000000000000001E-3</v>
      </c>
      <c r="J30" s="15">
        <f>ROUND(G30/15458-1,2)</f>
        <v>-0.49</v>
      </c>
    </row>
    <row r="31" spans="1:10" x14ac:dyDescent="0.25">
      <c r="A31" s="1" t="s">
        <v>16</v>
      </c>
      <c r="B31" s="1" t="s">
        <v>38</v>
      </c>
      <c r="C31" s="10"/>
      <c r="D31" s="10"/>
      <c r="E31" s="10">
        <v>190130</v>
      </c>
      <c r="F31" s="10"/>
      <c r="G31" s="10">
        <f t="shared" si="0"/>
        <v>190130</v>
      </c>
      <c r="H31" s="16">
        <f t="shared" si="1"/>
        <v>30.42</v>
      </c>
      <c r="I31" s="15">
        <f t="shared" si="2"/>
        <v>7.4999999999999997E-2</v>
      </c>
      <c r="J31" s="15">
        <f>ROUND(G31/146420-1,2)</f>
        <v>0.3</v>
      </c>
    </row>
    <row r="32" spans="1:10" x14ac:dyDescent="0.25">
      <c r="A32" s="1" t="s">
        <v>16</v>
      </c>
      <c r="B32" s="1" t="s">
        <v>39</v>
      </c>
      <c r="C32" s="10"/>
      <c r="D32" s="10"/>
      <c r="E32" s="10">
        <v>30160</v>
      </c>
      <c r="F32" s="10"/>
      <c r="G32" s="10">
        <f t="shared" si="0"/>
        <v>30160</v>
      </c>
      <c r="H32" s="16">
        <f t="shared" si="1"/>
        <v>4.82</v>
      </c>
      <c r="I32" s="15">
        <f t="shared" si="2"/>
        <v>1.2E-2</v>
      </c>
      <c r="J32" s="15">
        <f>ROUND(G32/28040-1,2)</f>
        <v>0.08</v>
      </c>
    </row>
    <row r="33" spans="1:10" x14ac:dyDescent="0.25">
      <c r="A33" s="1" t="s">
        <v>16</v>
      </c>
      <c r="B33" s="1" t="s">
        <v>40</v>
      </c>
      <c r="C33" s="10"/>
      <c r="D33" s="10"/>
      <c r="E33" s="10">
        <v>50130</v>
      </c>
      <c r="F33" s="10"/>
      <c r="G33" s="10">
        <f t="shared" si="0"/>
        <v>50130</v>
      </c>
      <c r="H33" s="16">
        <f t="shared" si="1"/>
        <v>8.02</v>
      </c>
      <c r="I33" s="15">
        <f t="shared" si="2"/>
        <v>0.02</v>
      </c>
      <c r="J33" s="15">
        <f>ROUND(G33/38550-1,2)</f>
        <v>0.3</v>
      </c>
    </row>
    <row r="34" spans="1:10" x14ac:dyDescent="0.25">
      <c r="A34" s="1" t="s">
        <v>16</v>
      </c>
      <c r="B34" s="1" t="s">
        <v>41</v>
      </c>
      <c r="C34" s="10"/>
      <c r="D34" s="10">
        <v>53960</v>
      </c>
      <c r="E34" s="10">
        <v>499160</v>
      </c>
      <c r="F34" s="10"/>
      <c r="G34" s="10">
        <f t="shared" si="0"/>
        <v>553120</v>
      </c>
      <c r="H34" s="16">
        <f t="shared" si="1"/>
        <v>88.49</v>
      </c>
      <c r="I34" s="15">
        <f t="shared" si="2"/>
        <v>0.219</v>
      </c>
      <c r="J34" s="15">
        <f>ROUND(G34/601260-1,2)</f>
        <v>-0.08</v>
      </c>
    </row>
    <row r="35" spans="1:10" x14ac:dyDescent="0.25">
      <c r="A35" s="1" t="s">
        <v>16</v>
      </c>
      <c r="B35" s="1" t="s">
        <v>42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ROUND(G35/242-1,2)</f>
        <v>-1</v>
      </c>
    </row>
    <row r="36" spans="1:10" x14ac:dyDescent="0.25">
      <c r="A36" s="1" t="s">
        <v>16</v>
      </c>
      <c r="B36" s="1" t="s">
        <v>36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ROUND(G36/6120-1,2)</f>
        <v>-1</v>
      </c>
    </row>
    <row r="37" spans="1:10" x14ac:dyDescent="0.25">
      <c r="A37" s="1" t="s">
        <v>16</v>
      </c>
      <c r="B37" s="1" t="s">
        <v>227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44</v>
      </c>
      <c r="B38" s="1" t="s">
        <v>45</v>
      </c>
      <c r="C38" s="10">
        <v>380310</v>
      </c>
      <c r="D38" s="10"/>
      <c r="E38" s="10"/>
      <c r="F38" s="10">
        <v>8020</v>
      </c>
      <c r="G38" s="10">
        <f t="shared" si="0"/>
        <v>388330</v>
      </c>
      <c r="H38" s="16">
        <f t="shared" si="1"/>
        <v>62.12</v>
      </c>
      <c r="I38" s="15">
        <f t="shared" si="2"/>
        <v>0.154</v>
      </c>
      <c r="J38" s="15">
        <f>ROUND(G38/380400-1,2)</f>
        <v>0.02</v>
      </c>
    </row>
    <row r="39" spans="1:10" x14ac:dyDescent="0.25">
      <c r="A39" s="1" t="s">
        <v>44</v>
      </c>
      <c r="B39" s="1" t="s">
        <v>47</v>
      </c>
      <c r="C39" s="10"/>
      <c r="D39" s="10"/>
      <c r="E39" s="10"/>
      <c r="F39" s="10">
        <v>49225</v>
      </c>
      <c r="G39" s="10">
        <f t="shared" si="0"/>
        <v>49225</v>
      </c>
      <c r="H39" s="16">
        <f t="shared" si="1"/>
        <v>7.87</v>
      </c>
      <c r="I39" s="15">
        <f t="shared" si="2"/>
        <v>0.02</v>
      </c>
      <c r="J39" s="15">
        <f>ROUND(G39/83290-1,2)</f>
        <v>-0.41</v>
      </c>
    </row>
    <row r="40" spans="1:10" x14ac:dyDescent="0.25">
      <c r="A40" s="1" t="s">
        <v>44</v>
      </c>
      <c r="B40" s="1" t="s">
        <v>46</v>
      </c>
      <c r="C40" s="10"/>
      <c r="D40" s="10"/>
      <c r="E40" s="10">
        <v>124990</v>
      </c>
      <c r="F40" s="10"/>
      <c r="G40" s="10">
        <f t="shared" si="0"/>
        <v>124990</v>
      </c>
      <c r="H40" s="16">
        <f t="shared" si="1"/>
        <v>20</v>
      </c>
      <c r="I40" s="15">
        <f t="shared" si="2"/>
        <v>0.05</v>
      </c>
      <c r="J40" s="15">
        <f>ROUND(G40/106440-1,2)</f>
        <v>0.17</v>
      </c>
    </row>
    <row r="41" spans="1:10" x14ac:dyDescent="0.25">
      <c r="A41" s="1" t="s">
        <v>48</v>
      </c>
      <c r="B41" s="1" t="s">
        <v>51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1" t="s">
        <v>48</v>
      </c>
      <c r="B42" s="1" t="s">
        <v>49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1" t="s">
        <v>48</v>
      </c>
      <c r="B43" s="1" t="s">
        <v>86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/>
    </row>
    <row r="44" spans="1:10" x14ac:dyDescent="0.25">
      <c r="A44" s="27" t="s">
        <v>12</v>
      </c>
      <c r="B44" s="27"/>
      <c r="C44" s="11">
        <f t="shared" ref="C44:H44" si="3">SUM(C8:C43)</f>
        <v>1172910</v>
      </c>
      <c r="D44" s="11">
        <f t="shared" si="3"/>
        <v>54088</v>
      </c>
      <c r="E44" s="11">
        <f t="shared" si="3"/>
        <v>1236632</v>
      </c>
      <c r="F44" s="11">
        <f t="shared" si="3"/>
        <v>58535</v>
      </c>
      <c r="G44" s="11">
        <f t="shared" si="3"/>
        <v>2522165</v>
      </c>
      <c r="H44" s="14">
        <f t="shared" si="3"/>
        <v>403.49</v>
      </c>
      <c r="I44" s="17"/>
      <c r="J44" s="17"/>
    </row>
    <row r="45" spans="1:10" x14ac:dyDescent="0.25">
      <c r="A45" s="27" t="s">
        <v>14</v>
      </c>
      <c r="B45" s="27"/>
      <c r="C45" s="12">
        <f>ROUND(C44/G44,2)</f>
        <v>0.47</v>
      </c>
      <c r="D45" s="12">
        <f>ROUND(D44/G44,2)</f>
        <v>0.02</v>
      </c>
      <c r="E45" s="12">
        <f>ROUND(E44/G44,2)</f>
        <v>0.49</v>
      </c>
      <c r="F45" s="12">
        <f>ROUND(F44/G44,2)</f>
        <v>0.02</v>
      </c>
      <c r="G45" s="13"/>
      <c r="H45" s="13"/>
      <c r="I45" s="17"/>
      <c r="J45" s="17"/>
    </row>
    <row r="46" spans="1:10" x14ac:dyDescent="0.25">
      <c r="A46" s="2" t="s">
        <v>52</v>
      </c>
      <c r="B46" s="2"/>
      <c r="C46" s="13"/>
      <c r="D46" s="13"/>
      <c r="E46" s="13"/>
      <c r="F46" s="13"/>
      <c r="G46" s="13"/>
      <c r="H46" s="13"/>
      <c r="I46" s="17"/>
      <c r="J46" s="17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53</v>
      </c>
      <c r="B50" s="27"/>
      <c r="C50" s="11" t="s">
        <v>8</v>
      </c>
      <c r="D50" s="11" t="s">
        <v>9</v>
      </c>
      <c r="E50" s="11" t="s">
        <v>10</v>
      </c>
      <c r="F50" s="11" t="s">
        <v>11</v>
      </c>
      <c r="G50" s="11" t="s">
        <v>12</v>
      </c>
      <c r="H50" s="14" t="s">
        <v>13</v>
      </c>
      <c r="I50" s="17"/>
      <c r="J50" s="17"/>
    </row>
    <row r="51" spans="1:10" x14ac:dyDescent="0.25">
      <c r="A51" s="22" t="s">
        <v>54</v>
      </c>
      <c r="B51" s="22"/>
      <c r="C51" s="10">
        <v>792600</v>
      </c>
      <c r="D51" s="10">
        <v>54088</v>
      </c>
      <c r="E51" s="10">
        <v>1111642</v>
      </c>
      <c r="F51" s="10">
        <v>1290</v>
      </c>
      <c r="G51" s="10">
        <f>SUM(C51:F51)</f>
        <v>1959620</v>
      </c>
      <c r="H51" s="16">
        <f>ROUND(G51/6251,2)</f>
        <v>313.49</v>
      </c>
      <c r="I51" s="9"/>
      <c r="J51" s="9"/>
    </row>
    <row r="52" spans="1:10" x14ac:dyDescent="0.25">
      <c r="A52" s="22" t="s">
        <v>55</v>
      </c>
      <c r="B52" s="22"/>
      <c r="C52" s="10">
        <v>380310</v>
      </c>
      <c r="D52" s="10">
        <v>0</v>
      </c>
      <c r="E52" s="10">
        <v>124990</v>
      </c>
      <c r="F52" s="10">
        <v>57245</v>
      </c>
      <c r="G52" s="10">
        <f>SUM(C52:F52)</f>
        <v>562545</v>
      </c>
      <c r="H52" s="16">
        <f>ROUND(G52/6251,2)</f>
        <v>89.99</v>
      </c>
      <c r="I52" s="9"/>
      <c r="J52" s="9"/>
    </row>
    <row r="53" spans="1:10" x14ac:dyDescent="0.25">
      <c r="A53" s="22" t="s">
        <v>56</v>
      </c>
      <c r="B53" s="22"/>
      <c r="C53" s="10">
        <v>0</v>
      </c>
      <c r="D53" s="10">
        <v>0</v>
      </c>
      <c r="E53" s="10">
        <v>0</v>
      </c>
      <c r="F53" s="10">
        <v>0</v>
      </c>
      <c r="G53" s="10">
        <f>SUM(C53:F53)</f>
        <v>0</v>
      </c>
      <c r="H53" s="16">
        <f>ROUND(G53/6251,2)</f>
        <v>0</v>
      </c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57</v>
      </c>
      <c r="B58" s="27"/>
      <c r="C58" s="14" t="s">
        <v>2</v>
      </c>
      <c r="D58" s="14">
        <v>2023</v>
      </c>
      <c r="E58" s="14" t="s">
        <v>59</v>
      </c>
      <c r="F58" s="13"/>
      <c r="G58" s="14" t="s">
        <v>60</v>
      </c>
      <c r="H58" s="14" t="s">
        <v>2</v>
      </c>
      <c r="I58" s="12" t="s">
        <v>61</v>
      </c>
      <c r="J58" s="12" t="s">
        <v>59</v>
      </c>
    </row>
    <row r="59" spans="1:10" x14ac:dyDescent="0.25">
      <c r="A59" s="22" t="s">
        <v>58</v>
      </c>
      <c r="B59" s="22"/>
      <c r="C59" s="15">
        <f>ROUND(0.8249, 4)</f>
        <v>0.82489999999999997</v>
      </c>
      <c r="D59" s="15">
        <f>ROUND(0.8136, 4)</f>
        <v>0.81359999999999999</v>
      </c>
      <c r="E59" s="15">
        <f>ROUND(0.777, 4)</f>
        <v>0.77700000000000002</v>
      </c>
      <c r="F59" s="8"/>
      <c r="G59" s="14" t="s">
        <v>62</v>
      </c>
      <c r="H59" s="28" t="s">
        <v>63</v>
      </c>
      <c r="I59" s="25" t="s">
        <v>64</v>
      </c>
      <c r="J59" s="25" t="s">
        <v>65</v>
      </c>
    </row>
    <row r="60" spans="1:10" x14ac:dyDescent="0.25">
      <c r="A60" s="22" t="s">
        <v>66</v>
      </c>
      <c r="B60" s="22"/>
      <c r="C60" s="15">
        <f>ROUND(0.8175, 4)</f>
        <v>0.8175</v>
      </c>
      <c r="D60" s="15">
        <f>ROUND(0.8063, 4)</f>
        <v>0.80630000000000002</v>
      </c>
      <c r="E60" s="15">
        <f>ROUND(0.7608, 4)</f>
        <v>0.76080000000000003</v>
      </c>
      <c r="F60" s="8"/>
      <c r="G60" s="14" t="s">
        <v>67</v>
      </c>
      <c r="H60" s="29"/>
      <c r="I60" s="26"/>
      <c r="J60" s="26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7" t="s">
        <v>68</v>
      </c>
      <c r="B64" s="27"/>
      <c r="C64" s="14" t="s">
        <v>2</v>
      </c>
      <c r="D64" s="14" t="s">
        <v>293</v>
      </c>
      <c r="E64" s="14" t="s">
        <v>70</v>
      </c>
      <c r="F64" s="14" t="s">
        <v>71</v>
      </c>
      <c r="G64" s="14" t="s">
        <v>72</v>
      </c>
      <c r="H64" s="13"/>
      <c r="I64" s="17"/>
      <c r="J64" s="17"/>
    </row>
    <row r="65" spans="1:10" x14ac:dyDescent="0.25">
      <c r="A65" s="22" t="s">
        <v>73</v>
      </c>
      <c r="B65" s="22"/>
      <c r="C65" s="16">
        <v>62.12</v>
      </c>
      <c r="D65" s="16">
        <v>77.099999999999994</v>
      </c>
      <c r="E65" s="16">
        <v>92.53</v>
      </c>
      <c r="F65" s="16">
        <v>56.06</v>
      </c>
      <c r="G65" s="16">
        <f>12/11*C65</f>
        <v>67.767272727272726</v>
      </c>
      <c r="H65" s="8"/>
      <c r="I65" s="9"/>
      <c r="J65" s="9"/>
    </row>
    <row r="66" spans="1:10" x14ac:dyDescent="0.25">
      <c r="A66" s="22" t="s">
        <v>74</v>
      </c>
      <c r="B66" s="22"/>
      <c r="C66" s="16">
        <v>45</v>
      </c>
      <c r="D66" s="16">
        <v>58.54</v>
      </c>
      <c r="E66" s="16">
        <v>61.98</v>
      </c>
      <c r="F66" s="16">
        <v>64.09</v>
      </c>
      <c r="G66" s="16">
        <f>12/11*C66</f>
        <v>49.090909090909086</v>
      </c>
      <c r="H66" s="8"/>
      <c r="I66" s="9"/>
      <c r="J66" s="9"/>
    </row>
    <row r="67" spans="1:10" x14ac:dyDescent="0.25">
      <c r="A67" s="22" t="s">
        <v>75</v>
      </c>
      <c r="B67" s="22"/>
      <c r="C67" s="16">
        <v>317.08999999999997</v>
      </c>
      <c r="D67" s="16">
        <v>380.78</v>
      </c>
      <c r="E67" s="16">
        <v>291.51</v>
      </c>
      <c r="F67" s="16">
        <v>284.45</v>
      </c>
      <c r="G67" s="16">
        <f>12/11*C67</f>
        <v>345.9163636363636</v>
      </c>
      <c r="H67" s="8"/>
      <c r="I67" s="9"/>
      <c r="J67" s="9"/>
    </row>
    <row r="68" spans="1:10" x14ac:dyDescent="0.25">
      <c r="A68" s="22" t="s">
        <v>76</v>
      </c>
      <c r="B68" s="22"/>
      <c r="C68" s="16">
        <v>89.99</v>
      </c>
      <c r="D68" s="16">
        <v>115.8</v>
      </c>
      <c r="E68" s="16">
        <v>116.46</v>
      </c>
      <c r="F68" s="16">
        <v>79.959999999999994</v>
      </c>
      <c r="G68" s="16">
        <f>12/11*C68</f>
        <v>98.170909090909078</v>
      </c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23" t="s">
        <v>60</v>
      </c>
      <c r="B71" s="24"/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77</v>
      </c>
      <c r="B72" s="1" t="s">
        <v>294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A73" s="3" t="s">
        <v>70</v>
      </c>
      <c r="B73" s="1" t="s">
        <v>79</v>
      </c>
    </row>
    <row r="74" spans="1:10" x14ac:dyDescent="0.25">
      <c r="A74" s="3" t="s">
        <v>71</v>
      </c>
      <c r="B74" s="1" t="s">
        <v>80</v>
      </c>
    </row>
    <row r="75" spans="1:10" x14ac:dyDescent="0.25">
      <c r="A75" s="3" t="s">
        <v>72</v>
      </c>
      <c r="B75" s="1" t="s">
        <v>81</v>
      </c>
    </row>
  </sheetData>
  <mergeCells count="19">
    <mergeCell ref="C7:G7"/>
    <mergeCell ref="A44:B44"/>
    <mergeCell ref="A45:B45"/>
    <mergeCell ref="A50:B50"/>
    <mergeCell ref="A51:B51"/>
    <mergeCell ref="J59:J60"/>
    <mergeCell ref="A60:B60"/>
    <mergeCell ref="A64:B64"/>
    <mergeCell ref="A65:B65"/>
    <mergeCell ref="A52:B52"/>
    <mergeCell ref="A53:B53"/>
    <mergeCell ref="A58:B58"/>
    <mergeCell ref="A59:B59"/>
    <mergeCell ref="H59:H60"/>
    <mergeCell ref="A66:B66"/>
    <mergeCell ref="A67:B67"/>
    <mergeCell ref="A68:B68"/>
    <mergeCell ref="A71:B71"/>
    <mergeCell ref="I59:I60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J80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6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295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7923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183</v>
      </c>
      <c r="F9" s="10"/>
      <c r="G9" s="10">
        <f t="shared" ref="G9:G40" si="0">SUM(C9:F9)</f>
        <v>183</v>
      </c>
      <c r="H9" s="16">
        <f t="shared" ref="H9:H40" si="1">ROUND(G9/7923,2)</f>
        <v>0.02</v>
      </c>
      <c r="I9" s="15">
        <f t="shared" ref="I9:I40" si="2">ROUND(G9/$G$41,3)</f>
        <v>0</v>
      </c>
      <c r="J9" s="15">
        <f>ROUND(G9/230-1,2)</f>
        <v>-0.2</v>
      </c>
    </row>
    <row r="10" spans="1:10" x14ac:dyDescent="0.25">
      <c r="A10" s="1" t="s">
        <v>16</v>
      </c>
      <c r="B10" s="1" t="s">
        <v>19</v>
      </c>
      <c r="C10" s="10">
        <v>247370</v>
      </c>
      <c r="D10" s="10"/>
      <c r="E10" s="10">
        <v>7860</v>
      </c>
      <c r="F10" s="10"/>
      <c r="G10" s="10">
        <f t="shared" si="0"/>
        <v>255230</v>
      </c>
      <c r="H10" s="16">
        <f t="shared" si="1"/>
        <v>32.21</v>
      </c>
      <c r="I10" s="15">
        <f t="shared" si="2"/>
        <v>7.0999999999999994E-2</v>
      </c>
      <c r="J10" s="15">
        <f>ROUND(G10/254560-1,2)</f>
        <v>0</v>
      </c>
    </row>
    <row r="11" spans="1:10" x14ac:dyDescent="0.25">
      <c r="A11" s="1" t="s">
        <v>16</v>
      </c>
      <c r="B11" s="1" t="s">
        <v>20</v>
      </c>
      <c r="C11" s="10">
        <v>354060</v>
      </c>
      <c r="D11" s="10"/>
      <c r="E11" s="10"/>
      <c r="F11" s="10"/>
      <c r="G11" s="10">
        <f t="shared" si="0"/>
        <v>354060</v>
      </c>
      <c r="H11" s="16">
        <f t="shared" si="1"/>
        <v>44.69</v>
      </c>
      <c r="I11" s="15">
        <f t="shared" si="2"/>
        <v>9.8000000000000004E-2</v>
      </c>
      <c r="J11" s="15">
        <f>ROUND(G11/363760-1,2)</f>
        <v>-0.03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492</v>
      </c>
      <c r="F12" s="10"/>
      <c r="G12" s="10">
        <f t="shared" si="0"/>
        <v>492</v>
      </c>
      <c r="H12" s="16">
        <f t="shared" si="1"/>
        <v>0.06</v>
      </c>
      <c r="I12" s="15">
        <f t="shared" si="2"/>
        <v>0</v>
      </c>
      <c r="J12" s="15">
        <f>ROUND(G12/270-1,2)</f>
        <v>0.82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379</v>
      </c>
      <c r="F13" s="10"/>
      <c r="G13" s="10">
        <f t="shared" si="0"/>
        <v>379</v>
      </c>
      <c r="H13" s="16">
        <f t="shared" si="1"/>
        <v>0.05</v>
      </c>
      <c r="I13" s="15">
        <f t="shared" si="2"/>
        <v>0</v>
      </c>
      <c r="J13" s="15">
        <f>ROUND(G13/229-1,2)</f>
        <v>0.66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4500</v>
      </c>
      <c r="F14" s="10"/>
      <c r="G14" s="10">
        <f t="shared" si="0"/>
        <v>4500</v>
      </c>
      <c r="H14" s="16">
        <f t="shared" si="1"/>
        <v>0.56999999999999995</v>
      </c>
      <c r="I14" s="15">
        <f t="shared" si="2"/>
        <v>1E-3</v>
      </c>
      <c r="J14" s="15">
        <f>ROUND(G14/1000-1,2)</f>
        <v>3.5</v>
      </c>
    </row>
    <row r="15" spans="1:10" x14ac:dyDescent="0.25">
      <c r="A15" s="1" t="s">
        <v>16</v>
      </c>
      <c r="B15" s="1" t="s">
        <v>98</v>
      </c>
      <c r="C15" s="10"/>
      <c r="D15" s="10"/>
      <c r="E15" s="10"/>
      <c r="F15" s="10">
        <v>140</v>
      </c>
      <c r="G15" s="10">
        <f t="shared" si="0"/>
        <v>140</v>
      </c>
      <c r="H15" s="16">
        <f t="shared" si="1"/>
        <v>0.02</v>
      </c>
      <c r="I15" s="15">
        <f t="shared" si="2"/>
        <v>0</v>
      </c>
      <c r="J15" s="15"/>
    </row>
    <row r="16" spans="1:10" x14ac:dyDescent="0.25">
      <c r="A16" s="1" t="s">
        <v>16</v>
      </c>
      <c r="B16" s="1" t="s">
        <v>23</v>
      </c>
      <c r="C16" s="10"/>
      <c r="D16" s="10"/>
      <c r="E16" s="10">
        <v>136280</v>
      </c>
      <c r="F16" s="10"/>
      <c r="G16" s="10">
        <f t="shared" si="0"/>
        <v>136280</v>
      </c>
      <c r="H16" s="16">
        <f t="shared" si="1"/>
        <v>17.2</v>
      </c>
      <c r="I16" s="15">
        <f t="shared" si="2"/>
        <v>3.7999999999999999E-2</v>
      </c>
      <c r="J16" s="15">
        <f>ROUND(G16/196940-1,2)</f>
        <v>-0.31</v>
      </c>
    </row>
    <row r="17" spans="1:10" x14ac:dyDescent="0.25">
      <c r="A17" s="1" t="s">
        <v>16</v>
      </c>
      <c r="B17" s="1" t="s">
        <v>24</v>
      </c>
      <c r="C17" s="10">
        <v>372100</v>
      </c>
      <c r="D17" s="10"/>
      <c r="E17" s="10">
        <v>41520</v>
      </c>
      <c r="F17" s="10"/>
      <c r="G17" s="10">
        <f t="shared" si="0"/>
        <v>413620</v>
      </c>
      <c r="H17" s="16">
        <f t="shared" si="1"/>
        <v>52.2</v>
      </c>
      <c r="I17" s="15">
        <f t="shared" si="2"/>
        <v>0.115</v>
      </c>
      <c r="J17" s="15">
        <f>ROUND(G17/416260-1,2)</f>
        <v>-0.01</v>
      </c>
    </row>
    <row r="18" spans="1:10" x14ac:dyDescent="0.25">
      <c r="A18" s="1" t="s">
        <v>16</v>
      </c>
      <c r="B18" s="1" t="s">
        <v>25</v>
      </c>
      <c r="C18" s="10"/>
      <c r="D18" s="10"/>
      <c r="E18" s="10">
        <v>12755</v>
      </c>
      <c r="F18" s="10"/>
      <c r="G18" s="10">
        <f t="shared" si="0"/>
        <v>12755</v>
      </c>
      <c r="H18" s="16">
        <f t="shared" si="1"/>
        <v>1.61</v>
      </c>
      <c r="I18" s="15">
        <f t="shared" si="2"/>
        <v>4.0000000000000001E-3</v>
      </c>
      <c r="J18" s="15">
        <f>ROUND(G18/6465-1,2)</f>
        <v>0.97</v>
      </c>
    </row>
    <row r="19" spans="1:10" x14ac:dyDescent="0.25">
      <c r="A19" s="1" t="s">
        <v>16</v>
      </c>
      <c r="B19" s="1" t="s">
        <v>26</v>
      </c>
      <c r="C19" s="10">
        <v>623520</v>
      </c>
      <c r="D19" s="10"/>
      <c r="E19" s="10"/>
      <c r="F19" s="10">
        <v>1500</v>
      </c>
      <c r="G19" s="10">
        <f t="shared" si="0"/>
        <v>625020</v>
      </c>
      <c r="H19" s="16">
        <f t="shared" si="1"/>
        <v>78.89</v>
      </c>
      <c r="I19" s="15">
        <f t="shared" si="2"/>
        <v>0.17299999999999999</v>
      </c>
      <c r="J19" s="15">
        <f>ROUND(G19/621410-1,2)</f>
        <v>0.01</v>
      </c>
    </row>
    <row r="20" spans="1:10" x14ac:dyDescent="0.25">
      <c r="A20" s="1" t="s">
        <v>16</v>
      </c>
      <c r="B20" s="1" t="s">
        <v>27</v>
      </c>
      <c r="C20" s="10"/>
      <c r="D20" s="10"/>
      <c r="E20" s="10">
        <v>1122</v>
      </c>
      <c r="F20" s="10"/>
      <c r="G20" s="10">
        <f t="shared" si="0"/>
        <v>1122</v>
      </c>
      <c r="H20" s="16">
        <f t="shared" si="1"/>
        <v>0.14000000000000001</v>
      </c>
      <c r="I20" s="15">
        <f t="shared" si="2"/>
        <v>0</v>
      </c>
      <c r="J20" s="15">
        <f>ROUND(G20/2018-1,2)</f>
        <v>-0.44</v>
      </c>
    </row>
    <row r="21" spans="1:10" x14ac:dyDescent="0.25">
      <c r="A21" s="1" t="s">
        <v>16</v>
      </c>
      <c r="B21" s="1" t="s">
        <v>28</v>
      </c>
      <c r="C21" s="10"/>
      <c r="D21" s="10"/>
      <c r="E21" s="10">
        <v>906</v>
      </c>
      <c r="F21" s="10"/>
      <c r="G21" s="10">
        <f t="shared" si="0"/>
        <v>906</v>
      </c>
      <c r="H21" s="16">
        <f t="shared" si="1"/>
        <v>0.11</v>
      </c>
      <c r="I21" s="15">
        <f t="shared" si="2"/>
        <v>0</v>
      </c>
      <c r="J21" s="15">
        <f>ROUND(G21/821-1,2)</f>
        <v>0.1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5860</v>
      </c>
      <c r="F22" s="10"/>
      <c r="G22" s="10">
        <f t="shared" si="0"/>
        <v>5860</v>
      </c>
      <c r="H22" s="16">
        <f t="shared" si="1"/>
        <v>0.74</v>
      </c>
      <c r="I22" s="15">
        <f t="shared" si="2"/>
        <v>2E-3</v>
      </c>
      <c r="J22" s="15">
        <f>ROUND(G22/9080-1,2)</f>
        <v>-0.35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2430</v>
      </c>
      <c r="F23" s="10"/>
      <c r="G23" s="10">
        <f t="shared" si="0"/>
        <v>2430</v>
      </c>
      <c r="H23" s="16">
        <f t="shared" si="1"/>
        <v>0.31</v>
      </c>
      <c r="I23" s="15">
        <f t="shared" si="2"/>
        <v>1E-3</v>
      </c>
      <c r="J23" s="15">
        <f>ROUND(G23/2490-1,2)</f>
        <v>-0.02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1150</v>
      </c>
      <c r="F24" s="10"/>
      <c r="G24" s="10">
        <f t="shared" si="0"/>
        <v>1150</v>
      </c>
      <c r="H24" s="16">
        <f t="shared" si="1"/>
        <v>0.15</v>
      </c>
      <c r="I24" s="15">
        <f t="shared" si="2"/>
        <v>0</v>
      </c>
      <c r="J24" s="15">
        <f>ROUND(G24/1360-1,2)</f>
        <v>-0.15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6205</v>
      </c>
      <c r="F25" s="10"/>
      <c r="G25" s="10">
        <f t="shared" si="0"/>
        <v>6205</v>
      </c>
      <c r="H25" s="16">
        <f t="shared" si="1"/>
        <v>0.78</v>
      </c>
      <c r="I25" s="15">
        <f t="shared" si="2"/>
        <v>2E-3</v>
      </c>
      <c r="J25" s="15">
        <f>ROUND(G25/4105-1,2)</f>
        <v>0.51</v>
      </c>
    </row>
    <row r="26" spans="1:10" x14ac:dyDescent="0.25">
      <c r="A26" s="1" t="s">
        <v>16</v>
      </c>
      <c r="B26" s="1" t="s">
        <v>33</v>
      </c>
      <c r="C26" s="10"/>
      <c r="D26" s="10">
        <v>447</v>
      </c>
      <c r="E26" s="10">
        <v>311</v>
      </c>
      <c r="F26" s="10"/>
      <c r="G26" s="10">
        <f t="shared" si="0"/>
        <v>758</v>
      </c>
      <c r="H26" s="16">
        <f t="shared" si="1"/>
        <v>0.1</v>
      </c>
      <c r="I26" s="15">
        <f t="shared" si="2"/>
        <v>0</v>
      </c>
      <c r="J26" s="15">
        <f>ROUND(G26/772-1,2)</f>
        <v>-0.02</v>
      </c>
    </row>
    <row r="27" spans="1:10" x14ac:dyDescent="0.25">
      <c r="A27" s="1" t="s">
        <v>16</v>
      </c>
      <c r="B27" s="1" t="s">
        <v>35</v>
      </c>
      <c r="C27" s="10"/>
      <c r="D27" s="10">
        <v>250</v>
      </c>
      <c r="E27" s="10">
        <v>210</v>
      </c>
      <c r="F27" s="10"/>
      <c r="G27" s="10">
        <f t="shared" si="0"/>
        <v>460</v>
      </c>
      <c r="H27" s="16">
        <f t="shared" si="1"/>
        <v>0.06</v>
      </c>
      <c r="I27" s="15">
        <f t="shared" si="2"/>
        <v>0</v>
      </c>
      <c r="J27" s="15">
        <f>ROUND(G27/1535-1,2)</f>
        <v>-0.7</v>
      </c>
    </row>
    <row r="28" spans="1:10" x14ac:dyDescent="0.25">
      <c r="A28" s="1" t="s">
        <v>16</v>
      </c>
      <c r="B28" s="1" t="s">
        <v>34</v>
      </c>
      <c r="C28" s="10"/>
      <c r="D28" s="10"/>
      <c r="E28" s="10">
        <v>2220</v>
      </c>
      <c r="F28" s="10"/>
      <c r="G28" s="10">
        <f t="shared" si="0"/>
        <v>2220</v>
      </c>
      <c r="H28" s="16">
        <f t="shared" si="1"/>
        <v>0.28000000000000003</v>
      </c>
      <c r="I28" s="15">
        <f t="shared" si="2"/>
        <v>1E-3</v>
      </c>
      <c r="J28" s="15">
        <f>ROUND(G28/380-1,2)</f>
        <v>4.84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5621</v>
      </c>
      <c r="F29" s="10"/>
      <c r="G29" s="10">
        <f t="shared" si="0"/>
        <v>5621</v>
      </c>
      <c r="H29" s="16">
        <f t="shared" si="1"/>
        <v>0.71</v>
      </c>
      <c r="I29" s="15">
        <f t="shared" si="2"/>
        <v>2E-3</v>
      </c>
      <c r="J29" s="15">
        <f>ROUND(G29/19312-1,2)</f>
        <v>-0.71</v>
      </c>
    </row>
    <row r="30" spans="1:10" x14ac:dyDescent="0.25">
      <c r="A30" s="1" t="s">
        <v>16</v>
      </c>
      <c r="B30" s="1" t="s">
        <v>43</v>
      </c>
      <c r="C30" s="10"/>
      <c r="D30" s="10"/>
      <c r="E30" s="10">
        <v>11680</v>
      </c>
      <c r="F30" s="10"/>
      <c r="G30" s="10">
        <f t="shared" si="0"/>
        <v>11680</v>
      </c>
      <c r="H30" s="16">
        <f t="shared" si="1"/>
        <v>1.47</v>
      </c>
      <c r="I30" s="15">
        <f t="shared" si="2"/>
        <v>3.0000000000000001E-3</v>
      </c>
      <c r="J30" s="15">
        <f>ROUND(G30/10830-1,2)</f>
        <v>0.08</v>
      </c>
    </row>
    <row r="31" spans="1:10" x14ac:dyDescent="0.25">
      <c r="A31" s="1" t="s">
        <v>16</v>
      </c>
      <c r="B31" s="1" t="s">
        <v>38</v>
      </c>
      <c r="C31" s="10"/>
      <c r="D31" s="10"/>
      <c r="E31" s="10">
        <v>200030</v>
      </c>
      <c r="F31" s="10"/>
      <c r="G31" s="10">
        <f t="shared" si="0"/>
        <v>200030</v>
      </c>
      <c r="H31" s="16">
        <f t="shared" si="1"/>
        <v>25.25</v>
      </c>
      <c r="I31" s="15">
        <f t="shared" si="2"/>
        <v>5.6000000000000001E-2</v>
      </c>
      <c r="J31" s="15">
        <f>ROUND(G31/154105-1,2)</f>
        <v>0.3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58800</v>
      </c>
      <c r="F32" s="10"/>
      <c r="G32" s="10">
        <f t="shared" si="0"/>
        <v>58800</v>
      </c>
      <c r="H32" s="16">
        <f t="shared" si="1"/>
        <v>7.42</v>
      </c>
      <c r="I32" s="15">
        <f t="shared" si="2"/>
        <v>1.6E-2</v>
      </c>
      <c r="J32" s="15">
        <f>ROUND(G32/50180-1,2)</f>
        <v>0.17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417130</v>
      </c>
      <c r="F33" s="10"/>
      <c r="G33" s="10">
        <f t="shared" si="0"/>
        <v>417130</v>
      </c>
      <c r="H33" s="16">
        <f t="shared" si="1"/>
        <v>52.65</v>
      </c>
      <c r="I33" s="15">
        <f t="shared" si="2"/>
        <v>0.11600000000000001</v>
      </c>
      <c r="J33" s="15">
        <f>ROUND(G33/352820-1,2)</f>
        <v>0.18</v>
      </c>
    </row>
    <row r="34" spans="1:10" x14ac:dyDescent="0.25">
      <c r="A34" s="1" t="s">
        <v>16</v>
      </c>
      <c r="B34" s="1" t="s">
        <v>36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ROUND(G34/6653-1,2)</f>
        <v>-1</v>
      </c>
    </row>
    <row r="35" spans="1:10" x14ac:dyDescent="0.25">
      <c r="A35" s="1" t="s">
        <v>16</v>
      </c>
      <c r="B35" s="1" t="s">
        <v>42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ROUND(G35/405-1,2)</f>
        <v>-1</v>
      </c>
    </row>
    <row r="36" spans="1:10" x14ac:dyDescent="0.25">
      <c r="A36" s="1" t="s">
        <v>44</v>
      </c>
      <c r="B36" s="1" t="s">
        <v>45</v>
      </c>
      <c r="C36" s="10">
        <v>841310</v>
      </c>
      <c r="D36" s="10"/>
      <c r="E36" s="10"/>
      <c r="F36" s="10"/>
      <c r="G36" s="10">
        <f t="shared" si="0"/>
        <v>841310</v>
      </c>
      <c r="H36" s="16">
        <f t="shared" si="1"/>
        <v>106.19</v>
      </c>
      <c r="I36" s="15">
        <f t="shared" si="2"/>
        <v>0.23300000000000001</v>
      </c>
      <c r="J36" s="15">
        <f>ROUND(G36/796770-1,2)</f>
        <v>0.06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>
        <v>109610</v>
      </c>
      <c r="G37" s="10">
        <f t="shared" si="0"/>
        <v>109610</v>
      </c>
      <c r="H37" s="16">
        <f t="shared" si="1"/>
        <v>13.83</v>
      </c>
      <c r="I37" s="15">
        <f t="shared" si="2"/>
        <v>0.03</v>
      </c>
      <c r="J37" s="15">
        <f>ROUND(G37/91220-1,2)</f>
        <v>0.2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135240</v>
      </c>
      <c r="F38" s="10"/>
      <c r="G38" s="10">
        <f t="shared" si="0"/>
        <v>135240</v>
      </c>
      <c r="H38" s="16">
        <f t="shared" si="1"/>
        <v>17.07</v>
      </c>
      <c r="I38" s="15">
        <f t="shared" si="2"/>
        <v>3.7999999999999999E-2</v>
      </c>
      <c r="J38" s="15">
        <f>ROUND(G38/141640-1,2)</f>
        <v>-0.05</v>
      </c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48</v>
      </c>
      <c r="B40" s="1" t="s">
        <v>49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ROUND(G40/125-1,2)</f>
        <v>-1</v>
      </c>
    </row>
    <row r="41" spans="1:10" x14ac:dyDescent="0.25">
      <c r="A41" s="27" t="s">
        <v>12</v>
      </c>
      <c r="B41" s="27"/>
      <c r="C41" s="11">
        <f t="shared" ref="C41:H41" si="3">SUM(C8:C40)</f>
        <v>2438360</v>
      </c>
      <c r="D41" s="11">
        <f t="shared" si="3"/>
        <v>697</v>
      </c>
      <c r="E41" s="11">
        <f t="shared" si="3"/>
        <v>1052884</v>
      </c>
      <c r="F41" s="11">
        <f t="shared" si="3"/>
        <v>111250</v>
      </c>
      <c r="G41" s="11">
        <f t="shared" si="3"/>
        <v>3603191</v>
      </c>
      <c r="H41" s="14">
        <f t="shared" si="3"/>
        <v>454.78</v>
      </c>
      <c r="I41" s="17"/>
      <c r="J41" s="17"/>
    </row>
    <row r="42" spans="1:10" x14ac:dyDescent="0.25">
      <c r="A42" s="27" t="s">
        <v>14</v>
      </c>
      <c r="B42" s="27"/>
      <c r="C42" s="12">
        <f>ROUND(C41/G41,2)</f>
        <v>0.68</v>
      </c>
      <c r="D42" s="12">
        <f>ROUND(D41/G41,2)</f>
        <v>0</v>
      </c>
      <c r="E42" s="12">
        <f>ROUND(E41/G41,2)</f>
        <v>0.28999999999999998</v>
      </c>
      <c r="F42" s="12">
        <f>ROUND(F41/G41,2)</f>
        <v>0.03</v>
      </c>
      <c r="G42" s="13"/>
      <c r="H42" s="13"/>
      <c r="I42" s="17"/>
      <c r="J42" s="17"/>
    </row>
    <row r="43" spans="1:10" x14ac:dyDescent="0.25">
      <c r="A43" s="2" t="s">
        <v>52</v>
      </c>
      <c r="B43" s="2"/>
      <c r="C43" s="13"/>
      <c r="D43" s="13"/>
      <c r="E43" s="13"/>
      <c r="F43" s="13"/>
      <c r="G43" s="13"/>
      <c r="H43" s="13"/>
      <c r="I43" s="17"/>
      <c r="J43" s="17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A47" s="27" t="s">
        <v>53</v>
      </c>
      <c r="B47" s="27"/>
      <c r="C47" s="11" t="s">
        <v>8</v>
      </c>
      <c r="D47" s="11" t="s">
        <v>9</v>
      </c>
      <c r="E47" s="11" t="s">
        <v>10</v>
      </c>
      <c r="F47" s="11" t="s">
        <v>11</v>
      </c>
      <c r="G47" s="11" t="s">
        <v>12</v>
      </c>
      <c r="H47" s="14" t="s">
        <v>13</v>
      </c>
      <c r="I47" s="17"/>
      <c r="J47" s="17"/>
    </row>
    <row r="48" spans="1:10" x14ac:dyDescent="0.25">
      <c r="A48" s="22" t="s">
        <v>54</v>
      </c>
      <c r="B48" s="22"/>
      <c r="C48" s="10">
        <v>1597050</v>
      </c>
      <c r="D48" s="10">
        <v>697</v>
      </c>
      <c r="E48" s="10">
        <v>917644</v>
      </c>
      <c r="F48" s="10">
        <v>1640</v>
      </c>
      <c r="G48" s="10">
        <f>SUM(C48:F48)</f>
        <v>2517031</v>
      </c>
      <c r="H48" s="16">
        <f>ROUND(G48/7923,2)</f>
        <v>317.69</v>
      </c>
      <c r="I48" s="9"/>
      <c r="J48" s="9"/>
    </row>
    <row r="49" spans="1:10" x14ac:dyDescent="0.25">
      <c r="A49" s="22" t="s">
        <v>55</v>
      </c>
      <c r="B49" s="22"/>
      <c r="C49" s="10">
        <v>841310</v>
      </c>
      <c r="D49" s="10">
        <v>0</v>
      </c>
      <c r="E49" s="10">
        <v>135240</v>
      </c>
      <c r="F49" s="10">
        <v>109610</v>
      </c>
      <c r="G49" s="10">
        <f>SUM(C49:F49)</f>
        <v>1086160</v>
      </c>
      <c r="H49" s="16">
        <f>ROUND(G49/7923,2)</f>
        <v>137.09</v>
      </c>
      <c r="I49" s="9"/>
      <c r="J49" s="9"/>
    </row>
    <row r="50" spans="1:10" x14ac:dyDescent="0.25">
      <c r="A50" s="22" t="s">
        <v>56</v>
      </c>
      <c r="B50" s="22"/>
      <c r="C50" s="10">
        <v>0</v>
      </c>
      <c r="D50" s="10">
        <v>0</v>
      </c>
      <c r="E50" s="10">
        <v>0</v>
      </c>
      <c r="F50" s="10">
        <v>0</v>
      </c>
      <c r="G50" s="10">
        <f>SUM(C50:F50)</f>
        <v>0</v>
      </c>
      <c r="H50" s="16">
        <f>ROUND(G50/7923,2)</f>
        <v>0</v>
      </c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57</v>
      </c>
      <c r="B55" s="27"/>
      <c r="C55" s="14" t="s">
        <v>2</v>
      </c>
      <c r="D55" s="14">
        <v>2023</v>
      </c>
      <c r="E55" s="14" t="s">
        <v>59</v>
      </c>
      <c r="F55" s="13"/>
      <c r="G55" s="14" t="s">
        <v>60</v>
      </c>
      <c r="H55" s="14" t="s">
        <v>2</v>
      </c>
      <c r="I55" s="12" t="s">
        <v>61</v>
      </c>
      <c r="J55" s="12" t="s">
        <v>59</v>
      </c>
    </row>
    <row r="56" spans="1:10" x14ac:dyDescent="0.25">
      <c r="A56" s="22" t="s">
        <v>58</v>
      </c>
      <c r="B56" s="22"/>
      <c r="C56" s="15">
        <f>ROUND(0.7521, 4)</f>
        <v>0.75209999999999999</v>
      </c>
      <c r="D56" s="15">
        <f>ROUND(0.7471, 4)</f>
        <v>0.74709999999999999</v>
      </c>
      <c r="E56" s="15">
        <f>ROUND(0.777, 4)</f>
        <v>0.77700000000000002</v>
      </c>
      <c r="F56" s="8"/>
      <c r="G56" s="14" t="s">
        <v>62</v>
      </c>
      <c r="H56" s="28" t="s">
        <v>63</v>
      </c>
      <c r="I56" s="25" t="s">
        <v>64</v>
      </c>
      <c r="J56" s="25" t="s">
        <v>65</v>
      </c>
    </row>
    <row r="57" spans="1:10" x14ac:dyDescent="0.25">
      <c r="A57" s="22" t="s">
        <v>66</v>
      </c>
      <c r="B57" s="22"/>
      <c r="C57" s="15">
        <f>ROUND(0.7427, 4)</f>
        <v>0.74270000000000003</v>
      </c>
      <c r="D57" s="15">
        <f>ROUND(0.7373, 4)</f>
        <v>0.73729999999999996</v>
      </c>
      <c r="E57" s="15">
        <f>ROUND(0.7608, 4)</f>
        <v>0.76080000000000003</v>
      </c>
      <c r="F57" s="8"/>
      <c r="G57" s="14" t="s">
        <v>67</v>
      </c>
      <c r="H57" s="29"/>
      <c r="I57" s="26"/>
      <c r="J57" s="26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A61" s="27" t="s">
        <v>68</v>
      </c>
      <c r="B61" s="27"/>
      <c r="C61" s="14" t="s">
        <v>2</v>
      </c>
      <c r="D61" s="14" t="s">
        <v>296</v>
      </c>
      <c r="E61" s="14" t="s">
        <v>70</v>
      </c>
      <c r="F61" s="14" t="s">
        <v>71</v>
      </c>
      <c r="G61" s="14" t="s">
        <v>72</v>
      </c>
      <c r="H61" s="13"/>
      <c r="I61" s="17"/>
      <c r="J61" s="17"/>
    </row>
    <row r="62" spans="1:10" x14ac:dyDescent="0.25">
      <c r="A62" s="22" t="s">
        <v>73</v>
      </c>
      <c r="B62" s="22"/>
      <c r="C62" s="16">
        <v>106.19</v>
      </c>
      <c r="D62" s="16">
        <v>105.16</v>
      </c>
      <c r="E62" s="16">
        <v>92.53</v>
      </c>
      <c r="F62" s="16">
        <v>56.06</v>
      </c>
      <c r="G62" s="16">
        <f>12/11*C62</f>
        <v>115.84363636363635</v>
      </c>
      <c r="H62" s="8"/>
      <c r="I62" s="9"/>
      <c r="J62" s="9"/>
    </row>
    <row r="63" spans="1:10" x14ac:dyDescent="0.25">
      <c r="A63" s="22" t="s">
        <v>74</v>
      </c>
      <c r="B63" s="22"/>
      <c r="C63" s="16">
        <v>78.89</v>
      </c>
      <c r="D63" s="16">
        <v>86.34</v>
      </c>
      <c r="E63" s="16">
        <v>61.98</v>
      </c>
      <c r="F63" s="16">
        <v>64.09</v>
      </c>
      <c r="G63" s="16">
        <f>12/11*C63</f>
        <v>86.061818181818182</v>
      </c>
      <c r="H63" s="8"/>
      <c r="I63" s="9"/>
      <c r="J63" s="9"/>
    </row>
    <row r="64" spans="1:10" x14ac:dyDescent="0.25">
      <c r="A64" s="22" t="s">
        <v>75</v>
      </c>
      <c r="B64" s="22"/>
      <c r="C64" s="16">
        <v>317.69</v>
      </c>
      <c r="D64" s="16">
        <v>332.28</v>
      </c>
      <c r="E64" s="16">
        <v>291.51</v>
      </c>
      <c r="F64" s="16">
        <v>284.45</v>
      </c>
      <c r="G64" s="16">
        <f>12/11*C64</f>
        <v>346.57090909090908</v>
      </c>
      <c r="H64" s="8"/>
      <c r="I64" s="9"/>
      <c r="J64" s="9"/>
    </row>
    <row r="65" spans="1:10" x14ac:dyDescent="0.25">
      <c r="A65" s="22" t="s">
        <v>76</v>
      </c>
      <c r="B65" s="22"/>
      <c r="C65" s="16">
        <v>137.09</v>
      </c>
      <c r="D65" s="16">
        <v>135.13999999999999</v>
      </c>
      <c r="E65" s="16">
        <v>116.46</v>
      </c>
      <c r="F65" s="16">
        <v>79.959999999999994</v>
      </c>
      <c r="G65" s="16">
        <f>12/11*C65</f>
        <v>149.55272727272725</v>
      </c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3" t="s">
        <v>60</v>
      </c>
      <c r="B68" s="24"/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77</v>
      </c>
      <c r="B69" s="1" t="s">
        <v>297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70</v>
      </c>
      <c r="B70" s="1" t="s">
        <v>79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71</v>
      </c>
      <c r="B71" s="1" t="s">
        <v>80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A72" s="3" t="s">
        <v>72</v>
      </c>
      <c r="B72" s="1" t="s">
        <v>81</v>
      </c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  <row r="78" spans="1:10" x14ac:dyDescent="0.25">
      <c r="C78" s="8"/>
      <c r="D78" s="8"/>
      <c r="E78" s="8"/>
      <c r="F78" s="8"/>
      <c r="G78" s="8"/>
      <c r="H78" s="8"/>
      <c r="I78" s="9"/>
      <c r="J78" s="9"/>
    </row>
    <row r="79" spans="1:10" x14ac:dyDescent="0.25">
      <c r="C79" s="8"/>
      <c r="D79" s="8"/>
      <c r="E79" s="8"/>
      <c r="F79" s="8"/>
      <c r="G79" s="8"/>
      <c r="H79" s="8"/>
      <c r="I79" s="9"/>
      <c r="J79" s="9"/>
    </row>
    <row r="80" spans="1:10" x14ac:dyDescent="0.25">
      <c r="C80" s="8"/>
      <c r="D80" s="8"/>
      <c r="E80" s="8"/>
      <c r="F80" s="8"/>
      <c r="G80" s="8"/>
      <c r="H80" s="8"/>
      <c r="I80" s="9"/>
      <c r="J80" s="9"/>
    </row>
  </sheetData>
  <mergeCells count="19">
    <mergeCell ref="C7:G7"/>
    <mergeCell ref="A41:B41"/>
    <mergeCell ref="A42:B42"/>
    <mergeCell ref="A47:B47"/>
    <mergeCell ref="A48:B48"/>
    <mergeCell ref="J56:J57"/>
    <mergeCell ref="A57:B57"/>
    <mergeCell ref="A61:B61"/>
    <mergeCell ref="A62:B62"/>
    <mergeCell ref="A49:B49"/>
    <mergeCell ref="A50:B50"/>
    <mergeCell ref="A55:B55"/>
    <mergeCell ref="A56:B56"/>
    <mergeCell ref="H56:H57"/>
    <mergeCell ref="A63:B63"/>
    <mergeCell ref="A64:B64"/>
    <mergeCell ref="A65:B65"/>
    <mergeCell ref="A68:B68"/>
    <mergeCell ref="I56:I5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J80"/>
  <sheetViews>
    <sheetView workbookViewId="0"/>
  </sheetViews>
  <sheetFormatPr defaultRowHeight="15" x14ac:dyDescent="0.25"/>
  <cols>
    <col min="1" max="1" width="28.42578125" bestFit="1" customWidth="1"/>
    <col min="2" max="2" width="61.42578125" bestFit="1" customWidth="1"/>
    <col min="3" max="3" width="12.7109375" bestFit="1" customWidth="1"/>
    <col min="4" max="4" width="38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356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5682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231</v>
      </c>
      <c r="F9" s="10"/>
      <c r="G9" s="10">
        <f t="shared" ref="G9:G48" si="0">SUM(C9:F9)</f>
        <v>231</v>
      </c>
      <c r="H9" s="16">
        <f t="shared" ref="H9:H48" si="1">ROUND(G9/5682,2)</f>
        <v>0.04</v>
      </c>
      <c r="I9" s="15">
        <f t="shared" ref="I9:I48" si="2">ROUND(G9/$G$49,3)</f>
        <v>0</v>
      </c>
      <c r="J9" s="15">
        <f>ROUND(G9/163-1,2)</f>
        <v>0.42</v>
      </c>
    </row>
    <row r="10" spans="1:10" x14ac:dyDescent="0.25">
      <c r="A10" s="1" t="s">
        <v>16</v>
      </c>
      <c r="B10" s="1" t="s">
        <v>172</v>
      </c>
      <c r="C10" s="10"/>
      <c r="D10" s="10"/>
      <c r="E10" s="10">
        <v>200</v>
      </c>
      <c r="F10" s="10"/>
      <c r="G10" s="10">
        <f t="shared" si="0"/>
        <v>200</v>
      </c>
      <c r="H10" s="16">
        <f t="shared" si="1"/>
        <v>0.04</v>
      </c>
      <c r="I10" s="15">
        <f t="shared" si="2"/>
        <v>0</v>
      </c>
      <c r="J10" s="15"/>
    </row>
    <row r="11" spans="1:10" x14ac:dyDescent="0.25">
      <c r="A11" s="1" t="s">
        <v>16</v>
      </c>
      <c r="B11" s="1" t="s">
        <v>18</v>
      </c>
      <c r="C11" s="10">
        <v>46920</v>
      </c>
      <c r="D11" s="10"/>
      <c r="E11" s="10"/>
      <c r="F11" s="10"/>
      <c r="G11" s="10">
        <f t="shared" si="0"/>
        <v>46920</v>
      </c>
      <c r="H11" s="16">
        <f t="shared" si="1"/>
        <v>8.26</v>
      </c>
      <c r="I11" s="15">
        <f t="shared" si="2"/>
        <v>2.3E-2</v>
      </c>
      <c r="J11" s="15">
        <f>ROUND(G11/49510-1,2)</f>
        <v>-0.05</v>
      </c>
    </row>
    <row r="12" spans="1:10" x14ac:dyDescent="0.25">
      <c r="A12" s="1" t="s">
        <v>16</v>
      </c>
      <c r="B12" s="1" t="s">
        <v>90</v>
      </c>
      <c r="C12" s="10">
        <v>700</v>
      </c>
      <c r="D12" s="10"/>
      <c r="E12" s="10"/>
      <c r="F12" s="10"/>
      <c r="G12" s="10">
        <f t="shared" si="0"/>
        <v>700</v>
      </c>
      <c r="H12" s="16">
        <f t="shared" si="1"/>
        <v>0.12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19</v>
      </c>
      <c r="C13" s="10">
        <v>142700</v>
      </c>
      <c r="D13" s="10"/>
      <c r="E13" s="10"/>
      <c r="F13" s="10"/>
      <c r="G13" s="10">
        <f t="shared" si="0"/>
        <v>142700</v>
      </c>
      <c r="H13" s="16">
        <f t="shared" si="1"/>
        <v>25.11</v>
      </c>
      <c r="I13" s="15">
        <f t="shared" si="2"/>
        <v>7.0999999999999994E-2</v>
      </c>
      <c r="J13" s="15">
        <f>ROUND(G13/133220-1,2)</f>
        <v>7.0000000000000007E-2</v>
      </c>
    </row>
    <row r="14" spans="1:10" x14ac:dyDescent="0.25">
      <c r="A14" s="1" t="s">
        <v>16</v>
      </c>
      <c r="B14" s="1" t="s">
        <v>20</v>
      </c>
      <c r="C14" s="10">
        <v>148570</v>
      </c>
      <c r="D14" s="10"/>
      <c r="E14" s="10"/>
      <c r="F14" s="10"/>
      <c r="G14" s="10">
        <f t="shared" si="0"/>
        <v>148570</v>
      </c>
      <c r="H14" s="16">
        <f t="shared" si="1"/>
        <v>26.15</v>
      </c>
      <c r="I14" s="15">
        <f t="shared" si="2"/>
        <v>7.3999999999999996E-2</v>
      </c>
      <c r="J14" s="15">
        <f>ROUND(G14/156660-1,2)</f>
        <v>-0.05</v>
      </c>
    </row>
    <row r="15" spans="1:10" x14ac:dyDescent="0.25">
      <c r="A15" s="1" t="s">
        <v>16</v>
      </c>
      <c r="B15" s="1" t="s">
        <v>95</v>
      </c>
      <c r="C15" s="10"/>
      <c r="D15" s="10"/>
      <c r="E15" s="10">
        <v>322</v>
      </c>
      <c r="F15" s="10"/>
      <c r="G15" s="10">
        <f t="shared" si="0"/>
        <v>322</v>
      </c>
      <c r="H15" s="16">
        <f t="shared" si="1"/>
        <v>0.06</v>
      </c>
      <c r="I15" s="15">
        <f t="shared" si="2"/>
        <v>0</v>
      </c>
      <c r="J15" s="15">
        <f>ROUND(G15/264-1,2)</f>
        <v>0.22</v>
      </c>
    </row>
    <row r="16" spans="1:10" x14ac:dyDescent="0.25">
      <c r="A16" s="1" t="s">
        <v>16</v>
      </c>
      <c r="B16" s="1" t="s">
        <v>21</v>
      </c>
      <c r="C16" s="10"/>
      <c r="D16" s="10"/>
      <c r="E16" s="10">
        <v>455</v>
      </c>
      <c r="F16" s="10">
        <v>3</v>
      </c>
      <c r="G16" s="10">
        <f t="shared" si="0"/>
        <v>458</v>
      </c>
      <c r="H16" s="16">
        <f t="shared" si="1"/>
        <v>0.08</v>
      </c>
      <c r="I16" s="15">
        <f t="shared" si="2"/>
        <v>0</v>
      </c>
      <c r="J16" s="15">
        <f>ROUND(G16/471-1,2)</f>
        <v>-0.03</v>
      </c>
    </row>
    <row r="17" spans="1:10" x14ac:dyDescent="0.25">
      <c r="A17" s="1" t="s">
        <v>16</v>
      </c>
      <c r="B17" s="1" t="s">
        <v>22</v>
      </c>
      <c r="C17" s="10"/>
      <c r="D17" s="10"/>
      <c r="E17" s="10">
        <v>3580</v>
      </c>
      <c r="F17" s="10"/>
      <c r="G17" s="10">
        <f t="shared" si="0"/>
        <v>3580</v>
      </c>
      <c r="H17" s="16">
        <f t="shared" si="1"/>
        <v>0.63</v>
      </c>
      <c r="I17" s="15">
        <f t="shared" si="2"/>
        <v>2E-3</v>
      </c>
      <c r="J17" s="15">
        <f>ROUND(G17/2200-1,2)</f>
        <v>0.63</v>
      </c>
    </row>
    <row r="18" spans="1:10" x14ac:dyDescent="0.25">
      <c r="A18" s="1" t="s">
        <v>16</v>
      </c>
      <c r="B18" s="1" t="s">
        <v>98</v>
      </c>
      <c r="C18" s="10"/>
      <c r="D18" s="10"/>
      <c r="E18" s="10"/>
      <c r="F18" s="10">
        <v>1780</v>
      </c>
      <c r="G18" s="10">
        <f t="shared" si="0"/>
        <v>1780</v>
      </c>
      <c r="H18" s="16">
        <f t="shared" si="1"/>
        <v>0.31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23</v>
      </c>
      <c r="C19" s="10"/>
      <c r="D19" s="10"/>
      <c r="E19" s="10">
        <v>80970</v>
      </c>
      <c r="F19" s="10"/>
      <c r="G19" s="10">
        <f t="shared" si="0"/>
        <v>80970</v>
      </c>
      <c r="H19" s="16">
        <f t="shared" si="1"/>
        <v>14.25</v>
      </c>
      <c r="I19" s="15">
        <f t="shared" si="2"/>
        <v>0.04</v>
      </c>
      <c r="J19" s="15">
        <f>ROUND(G19/95970-1,2)</f>
        <v>-0.16</v>
      </c>
    </row>
    <row r="20" spans="1:10" x14ac:dyDescent="0.25">
      <c r="A20" s="1" t="s">
        <v>16</v>
      </c>
      <c r="B20" s="1" t="s">
        <v>24</v>
      </c>
      <c r="C20" s="10">
        <v>213020</v>
      </c>
      <c r="D20" s="10"/>
      <c r="E20" s="10"/>
      <c r="F20" s="10"/>
      <c r="G20" s="10">
        <f t="shared" si="0"/>
        <v>213020</v>
      </c>
      <c r="H20" s="16">
        <f t="shared" si="1"/>
        <v>37.49</v>
      </c>
      <c r="I20" s="15">
        <f t="shared" si="2"/>
        <v>0.106</v>
      </c>
      <c r="J20" s="15">
        <f>ROUND(G20/208100-1,2)</f>
        <v>0.02</v>
      </c>
    </row>
    <row r="21" spans="1:10" x14ac:dyDescent="0.25">
      <c r="A21" s="1" t="s">
        <v>16</v>
      </c>
      <c r="B21" s="1" t="s">
        <v>25</v>
      </c>
      <c r="C21" s="10"/>
      <c r="D21" s="10"/>
      <c r="E21" s="10">
        <v>18555</v>
      </c>
      <c r="F21" s="10"/>
      <c r="G21" s="10">
        <f t="shared" si="0"/>
        <v>18555</v>
      </c>
      <c r="H21" s="16">
        <f t="shared" si="1"/>
        <v>3.27</v>
      </c>
      <c r="I21" s="15">
        <f t="shared" si="2"/>
        <v>8.9999999999999993E-3</v>
      </c>
      <c r="J21" s="15">
        <f>ROUND(G21/18325-1,2)</f>
        <v>0.01</v>
      </c>
    </row>
    <row r="22" spans="1:10" x14ac:dyDescent="0.25">
      <c r="A22" s="1" t="s">
        <v>16</v>
      </c>
      <c r="B22" s="1" t="s">
        <v>26</v>
      </c>
      <c r="C22" s="10">
        <v>226895</v>
      </c>
      <c r="D22" s="10"/>
      <c r="E22" s="10"/>
      <c r="F22" s="10">
        <v>7175</v>
      </c>
      <c r="G22" s="10">
        <f t="shared" si="0"/>
        <v>234070</v>
      </c>
      <c r="H22" s="16">
        <f t="shared" si="1"/>
        <v>41.2</v>
      </c>
      <c r="I22" s="15">
        <f t="shared" si="2"/>
        <v>0.11700000000000001</v>
      </c>
      <c r="J22" s="15">
        <f>ROUND(G22/235760-1,2)</f>
        <v>-0.01</v>
      </c>
    </row>
    <row r="23" spans="1:10" x14ac:dyDescent="0.25">
      <c r="A23" s="1" t="s">
        <v>16</v>
      </c>
      <c r="B23" s="1" t="s">
        <v>27</v>
      </c>
      <c r="C23" s="10"/>
      <c r="D23" s="10"/>
      <c r="E23" s="10">
        <v>1896</v>
      </c>
      <c r="F23" s="10"/>
      <c r="G23" s="10">
        <f t="shared" si="0"/>
        <v>1896</v>
      </c>
      <c r="H23" s="16">
        <f t="shared" si="1"/>
        <v>0.33</v>
      </c>
      <c r="I23" s="15">
        <f t="shared" si="2"/>
        <v>1E-3</v>
      </c>
      <c r="J23" s="15">
        <f>ROUND(G23/1628-1,2)</f>
        <v>0.16</v>
      </c>
    </row>
    <row r="24" spans="1:10" x14ac:dyDescent="0.25">
      <c r="A24" s="1" t="s">
        <v>16</v>
      </c>
      <c r="B24" s="1" t="s">
        <v>28</v>
      </c>
      <c r="C24" s="10"/>
      <c r="D24" s="10"/>
      <c r="E24" s="10">
        <v>1105</v>
      </c>
      <c r="F24" s="10"/>
      <c r="G24" s="10">
        <f t="shared" si="0"/>
        <v>1105</v>
      </c>
      <c r="H24" s="16">
        <f t="shared" si="1"/>
        <v>0.19</v>
      </c>
      <c r="I24" s="15">
        <f t="shared" si="2"/>
        <v>1E-3</v>
      </c>
      <c r="J24" s="15">
        <f>ROUND(G24/1089-1,2)</f>
        <v>0.01</v>
      </c>
    </row>
    <row r="25" spans="1:10" x14ac:dyDescent="0.25">
      <c r="A25" s="1" t="s">
        <v>16</v>
      </c>
      <c r="B25" s="1" t="s">
        <v>42</v>
      </c>
      <c r="C25" s="10"/>
      <c r="D25" s="10"/>
      <c r="E25" s="10"/>
      <c r="F25" s="10">
        <v>2</v>
      </c>
      <c r="G25" s="10">
        <f t="shared" si="0"/>
        <v>2</v>
      </c>
      <c r="H25" s="16">
        <f t="shared" si="1"/>
        <v>0</v>
      </c>
      <c r="I25" s="15">
        <f t="shared" si="2"/>
        <v>0</v>
      </c>
      <c r="J25" s="15">
        <f>ROUND(G25/394-1,2)</f>
        <v>-0.99</v>
      </c>
    </row>
    <row r="26" spans="1:10" x14ac:dyDescent="0.25">
      <c r="A26" s="1" t="s">
        <v>16</v>
      </c>
      <c r="B26" s="1" t="s">
        <v>29</v>
      </c>
      <c r="C26" s="10"/>
      <c r="D26" s="10"/>
      <c r="E26" s="10">
        <v>5050</v>
      </c>
      <c r="F26" s="10"/>
      <c r="G26" s="10">
        <f t="shared" si="0"/>
        <v>5050</v>
      </c>
      <c r="H26" s="16">
        <f t="shared" si="1"/>
        <v>0.89</v>
      </c>
      <c r="I26" s="15">
        <f t="shared" si="2"/>
        <v>3.0000000000000001E-3</v>
      </c>
      <c r="J26" s="15">
        <f>ROUND(G26/10300-1,2)</f>
        <v>-0.51</v>
      </c>
    </row>
    <row r="27" spans="1:10" x14ac:dyDescent="0.25">
      <c r="A27" s="1" t="s">
        <v>16</v>
      </c>
      <c r="B27" s="1" t="s">
        <v>30</v>
      </c>
      <c r="C27" s="10"/>
      <c r="D27" s="10"/>
      <c r="E27" s="10">
        <v>4370</v>
      </c>
      <c r="F27" s="10">
        <v>32</v>
      </c>
      <c r="G27" s="10">
        <f t="shared" si="0"/>
        <v>4402</v>
      </c>
      <c r="H27" s="16">
        <f t="shared" si="1"/>
        <v>0.77</v>
      </c>
      <c r="I27" s="15">
        <f t="shared" si="2"/>
        <v>2E-3</v>
      </c>
      <c r="J27" s="15">
        <f>ROUND(G27/4210-1,2)</f>
        <v>0.05</v>
      </c>
    </row>
    <row r="28" spans="1:10" x14ac:dyDescent="0.25">
      <c r="A28" s="1" t="s">
        <v>16</v>
      </c>
      <c r="B28" s="1" t="s">
        <v>31</v>
      </c>
      <c r="C28" s="10"/>
      <c r="D28" s="10"/>
      <c r="E28" s="10">
        <v>1900</v>
      </c>
      <c r="F28" s="10">
        <v>23</v>
      </c>
      <c r="G28" s="10">
        <f t="shared" si="0"/>
        <v>1923</v>
      </c>
      <c r="H28" s="16">
        <f t="shared" si="1"/>
        <v>0.34</v>
      </c>
      <c r="I28" s="15">
        <f t="shared" si="2"/>
        <v>1E-3</v>
      </c>
      <c r="J28" s="15">
        <f>ROUND(G28/1650-1,2)</f>
        <v>0.17</v>
      </c>
    </row>
    <row r="29" spans="1:10" x14ac:dyDescent="0.25">
      <c r="A29" s="1" t="s">
        <v>16</v>
      </c>
      <c r="B29" s="1" t="s">
        <v>32</v>
      </c>
      <c r="C29" s="10"/>
      <c r="D29" s="10"/>
      <c r="E29" s="10">
        <v>3275</v>
      </c>
      <c r="F29" s="10">
        <v>30</v>
      </c>
      <c r="G29" s="10">
        <f t="shared" si="0"/>
        <v>3305</v>
      </c>
      <c r="H29" s="16">
        <f t="shared" si="1"/>
        <v>0.57999999999999996</v>
      </c>
      <c r="I29" s="15">
        <f t="shared" si="2"/>
        <v>2E-3</v>
      </c>
      <c r="J29" s="15">
        <f>ROUND(G29/3475-1,2)</f>
        <v>-0.05</v>
      </c>
    </row>
    <row r="30" spans="1:10" x14ac:dyDescent="0.25">
      <c r="A30" s="1" t="s">
        <v>16</v>
      </c>
      <c r="B30" s="1" t="s">
        <v>33</v>
      </c>
      <c r="C30" s="10"/>
      <c r="D30" s="10">
        <v>147</v>
      </c>
      <c r="E30" s="10">
        <v>107</v>
      </c>
      <c r="F30" s="10"/>
      <c r="G30" s="10">
        <f t="shared" si="0"/>
        <v>254</v>
      </c>
      <c r="H30" s="16">
        <f t="shared" si="1"/>
        <v>0.04</v>
      </c>
      <c r="I30" s="15">
        <f t="shared" si="2"/>
        <v>0</v>
      </c>
      <c r="J30" s="15">
        <f>ROUND(G30/214-1,2)</f>
        <v>0.19</v>
      </c>
    </row>
    <row r="31" spans="1:10" x14ac:dyDescent="0.25">
      <c r="A31" s="1" t="s">
        <v>16</v>
      </c>
      <c r="B31" s="1" t="s">
        <v>35</v>
      </c>
      <c r="C31" s="10"/>
      <c r="D31" s="10">
        <v>36</v>
      </c>
      <c r="E31" s="10">
        <v>600</v>
      </c>
      <c r="F31" s="10"/>
      <c r="G31" s="10">
        <f t="shared" si="0"/>
        <v>636</v>
      </c>
      <c r="H31" s="16">
        <f t="shared" si="1"/>
        <v>0.11</v>
      </c>
      <c r="I31" s="15">
        <f t="shared" si="2"/>
        <v>0</v>
      </c>
      <c r="J31" s="15">
        <f>ROUND(G31/320-1,2)</f>
        <v>0.99</v>
      </c>
    </row>
    <row r="32" spans="1:10" x14ac:dyDescent="0.25">
      <c r="A32" s="1" t="s">
        <v>16</v>
      </c>
      <c r="B32" s="1" t="s">
        <v>34</v>
      </c>
      <c r="C32" s="10"/>
      <c r="D32" s="10"/>
      <c r="E32" s="10">
        <v>3550</v>
      </c>
      <c r="F32" s="10"/>
      <c r="G32" s="10">
        <f t="shared" si="0"/>
        <v>3550</v>
      </c>
      <c r="H32" s="16">
        <f t="shared" si="1"/>
        <v>0.62</v>
      </c>
      <c r="I32" s="15">
        <f t="shared" si="2"/>
        <v>2E-3</v>
      </c>
      <c r="J32" s="15">
        <f>ROUND(G32/3980-1,2)</f>
        <v>-0.11</v>
      </c>
    </row>
    <row r="33" spans="1:10" x14ac:dyDescent="0.25">
      <c r="A33" s="1" t="s">
        <v>16</v>
      </c>
      <c r="B33" s="1" t="s">
        <v>43</v>
      </c>
      <c r="C33" s="10"/>
      <c r="D33" s="10"/>
      <c r="E33" s="10">
        <v>11194</v>
      </c>
      <c r="F33" s="10"/>
      <c r="G33" s="10">
        <f t="shared" si="0"/>
        <v>11194</v>
      </c>
      <c r="H33" s="16">
        <f t="shared" si="1"/>
        <v>1.97</v>
      </c>
      <c r="I33" s="15">
        <f t="shared" si="2"/>
        <v>6.0000000000000001E-3</v>
      </c>
      <c r="J33" s="15">
        <f>ROUND(G33/15903-1,2)</f>
        <v>-0.3</v>
      </c>
    </row>
    <row r="34" spans="1:10" x14ac:dyDescent="0.25">
      <c r="A34" s="1" t="s">
        <v>16</v>
      </c>
      <c r="B34" s="1" t="s">
        <v>37</v>
      </c>
      <c r="C34" s="10"/>
      <c r="D34" s="10"/>
      <c r="E34" s="10">
        <v>7720</v>
      </c>
      <c r="F34" s="10"/>
      <c r="G34" s="10">
        <f t="shared" si="0"/>
        <v>7720</v>
      </c>
      <c r="H34" s="16">
        <f t="shared" si="1"/>
        <v>1.36</v>
      </c>
      <c r="I34" s="15">
        <f t="shared" si="2"/>
        <v>4.0000000000000001E-3</v>
      </c>
      <c r="J34" s="15">
        <f>ROUND(G34/11950-1,2)</f>
        <v>-0.35</v>
      </c>
    </row>
    <row r="35" spans="1:10" x14ac:dyDescent="0.25">
      <c r="A35" s="1" t="s">
        <v>16</v>
      </c>
      <c r="B35" s="1" t="s">
        <v>38</v>
      </c>
      <c r="C35" s="10"/>
      <c r="D35" s="10"/>
      <c r="E35" s="10">
        <v>176760</v>
      </c>
      <c r="F35" s="10">
        <v>1970</v>
      </c>
      <c r="G35" s="10">
        <f t="shared" si="0"/>
        <v>178730</v>
      </c>
      <c r="H35" s="16">
        <f t="shared" si="1"/>
        <v>31.46</v>
      </c>
      <c r="I35" s="15">
        <f t="shared" si="2"/>
        <v>8.8999999999999996E-2</v>
      </c>
      <c r="J35" s="15">
        <f>ROUND(G35/158680-1,2)</f>
        <v>0.13</v>
      </c>
    </row>
    <row r="36" spans="1:10" x14ac:dyDescent="0.25">
      <c r="A36" s="1" t="s">
        <v>16</v>
      </c>
      <c r="B36" s="1" t="s">
        <v>39</v>
      </c>
      <c r="C36" s="10"/>
      <c r="D36" s="10"/>
      <c r="E36" s="10">
        <v>13690</v>
      </c>
      <c r="F36" s="10"/>
      <c r="G36" s="10">
        <f t="shared" si="0"/>
        <v>13690</v>
      </c>
      <c r="H36" s="16">
        <f t="shared" si="1"/>
        <v>2.41</v>
      </c>
      <c r="I36" s="15">
        <f t="shared" si="2"/>
        <v>7.0000000000000001E-3</v>
      </c>
      <c r="J36" s="15">
        <f>ROUND(G36/11380-1,2)</f>
        <v>0.2</v>
      </c>
    </row>
    <row r="37" spans="1:10" x14ac:dyDescent="0.25">
      <c r="A37" s="1" t="s">
        <v>16</v>
      </c>
      <c r="B37" s="1" t="s">
        <v>40</v>
      </c>
      <c r="C37" s="10"/>
      <c r="D37" s="10"/>
      <c r="E37" s="10">
        <v>52630</v>
      </c>
      <c r="F37" s="10"/>
      <c r="G37" s="10">
        <f t="shared" si="0"/>
        <v>52630</v>
      </c>
      <c r="H37" s="16">
        <f t="shared" si="1"/>
        <v>9.26</v>
      </c>
      <c r="I37" s="15">
        <f t="shared" si="2"/>
        <v>2.5999999999999999E-2</v>
      </c>
      <c r="J37" s="15">
        <f>ROUND(G37/63080-1,2)</f>
        <v>-0.17</v>
      </c>
    </row>
    <row r="38" spans="1:10" x14ac:dyDescent="0.25">
      <c r="A38" s="1" t="s">
        <v>16</v>
      </c>
      <c r="B38" s="1" t="s">
        <v>41</v>
      </c>
      <c r="C38" s="10"/>
      <c r="D38" s="10"/>
      <c r="E38" s="10">
        <v>143440</v>
      </c>
      <c r="F38" s="10">
        <v>3400</v>
      </c>
      <c r="G38" s="10">
        <f t="shared" si="0"/>
        <v>146840</v>
      </c>
      <c r="H38" s="16">
        <f t="shared" si="1"/>
        <v>25.84</v>
      </c>
      <c r="I38" s="15">
        <f t="shared" si="2"/>
        <v>7.2999999999999995E-2</v>
      </c>
      <c r="J38" s="15">
        <f>ROUND(G38/82200-1,2)</f>
        <v>0.79</v>
      </c>
    </row>
    <row r="39" spans="1:10" x14ac:dyDescent="0.25">
      <c r="A39" s="1" t="s">
        <v>16</v>
      </c>
      <c r="B39" s="1" t="s">
        <v>36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ROUND(G39/3920-1,2)</f>
        <v>-1</v>
      </c>
    </row>
    <row r="40" spans="1:10" x14ac:dyDescent="0.25">
      <c r="A40" s="1" t="s">
        <v>16</v>
      </c>
      <c r="B40" s="1" t="s">
        <v>262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16</v>
      </c>
      <c r="B41" s="1" t="s">
        <v>129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ROUND(G41/286-1,2)</f>
        <v>-1</v>
      </c>
    </row>
    <row r="42" spans="1:10" x14ac:dyDescent="0.25">
      <c r="A42" s="1" t="s">
        <v>44</v>
      </c>
      <c r="B42" s="1" t="s">
        <v>45</v>
      </c>
      <c r="C42" s="10">
        <v>529560</v>
      </c>
      <c r="D42" s="10">
        <v>17920</v>
      </c>
      <c r="E42" s="10"/>
      <c r="F42" s="10">
        <v>7380</v>
      </c>
      <c r="G42" s="10">
        <f t="shared" si="0"/>
        <v>554860</v>
      </c>
      <c r="H42" s="16">
        <f t="shared" si="1"/>
        <v>97.65</v>
      </c>
      <c r="I42" s="15">
        <f t="shared" si="2"/>
        <v>0.27700000000000002</v>
      </c>
      <c r="J42" s="15">
        <f>ROUND(G42/530760-1,2)</f>
        <v>0.05</v>
      </c>
    </row>
    <row r="43" spans="1:10" x14ac:dyDescent="0.25">
      <c r="A43" s="1" t="s">
        <v>44</v>
      </c>
      <c r="B43" s="1" t="s">
        <v>47</v>
      </c>
      <c r="C43" s="10"/>
      <c r="D43" s="10"/>
      <c r="E43" s="10"/>
      <c r="F43" s="10">
        <v>16140</v>
      </c>
      <c r="G43" s="10">
        <f t="shared" si="0"/>
        <v>16140</v>
      </c>
      <c r="H43" s="16">
        <f t="shared" si="1"/>
        <v>2.84</v>
      </c>
      <c r="I43" s="15">
        <f t="shared" si="2"/>
        <v>8.0000000000000002E-3</v>
      </c>
      <c r="J43" s="15">
        <f>ROUND(G43/9500-1,2)</f>
        <v>0.7</v>
      </c>
    </row>
    <row r="44" spans="1:10" x14ac:dyDescent="0.25">
      <c r="A44" s="1" t="s">
        <v>44</v>
      </c>
      <c r="B44" s="1" t="s">
        <v>46</v>
      </c>
      <c r="C44" s="10"/>
      <c r="D44" s="10"/>
      <c r="E44" s="10">
        <v>103640</v>
      </c>
      <c r="F44" s="10">
        <v>1100</v>
      </c>
      <c r="G44" s="10">
        <f t="shared" si="0"/>
        <v>104740</v>
      </c>
      <c r="H44" s="16">
        <f t="shared" si="1"/>
        <v>18.43</v>
      </c>
      <c r="I44" s="15">
        <f t="shared" si="2"/>
        <v>5.1999999999999998E-2</v>
      </c>
      <c r="J44" s="15">
        <f>ROUND(G44/83980-1,2)</f>
        <v>0.25</v>
      </c>
    </row>
    <row r="45" spans="1:10" x14ac:dyDescent="0.25">
      <c r="A45" s="1" t="s">
        <v>48</v>
      </c>
      <c r="B45" s="1" t="s">
        <v>51</v>
      </c>
      <c r="C45" s="10"/>
      <c r="D45" s="10"/>
      <c r="E45" s="10"/>
      <c r="F45" s="10"/>
      <c r="G45" s="10">
        <f t="shared" si="0"/>
        <v>0</v>
      </c>
      <c r="H45" s="16">
        <f t="shared" si="1"/>
        <v>0</v>
      </c>
      <c r="I45" s="15">
        <f t="shared" si="2"/>
        <v>0</v>
      </c>
      <c r="J45" s="15"/>
    </row>
    <row r="46" spans="1:10" x14ac:dyDescent="0.25">
      <c r="A46" s="1" t="s">
        <v>48</v>
      </c>
      <c r="B46" s="1" t="s">
        <v>86</v>
      </c>
      <c r="C46" s="10"/>
      <c r="D46" s="10"/>
      <c r="E46" s="10"/>
      <c r="F46" s="10"/>
      <c r="G46" s="10">
        <f t="shared" si="0"/>
        <v>0</v>
      </c>
      <c r="H46" s="16">
        <f t="shared" si="1"/>
        <v>0</v>
      </c>
      <c r="I46" s="15">
        <f t="shared" si="2"/>
        <v>0</v>
      </c>
      <c r="J46" s="15"/>
    </row>
    <row r="47" spans="1:10" x14ac:dyDescent="0.25">
      <c r="A47" s="1" t="s">
        <v>48</v>
      </c>
      <c r="B47" s="1" t="s">
        <v>50</v>
      </c>
      <c r="C47" s="10"/>
      <c r="D47" s="10"/>
      <c r="E47" s="10"/>
      <c r="F47" s="10"/>
      <c r="G47" s="10">
        <f t="shared" si="0"/>
        <v>0</v>
      </c>
      <c r="H47" s="16">
        <f t="shared" si="1"/>
        <v>0</v>
      </c>
      <c r="I47" s="15">
        <f t="shared" si="2"/>
        <v>0</v>
      </c>
      <c r="J47" s="15"/>
    </row>
    <row r="48" spans="1:10" x14ac:dyDescent="0.25">
      <c r="A48" s="1" t="s">
        <v>48</v>
      </c>
      <c r="B48" s="1" t="s">
        <v>49</v>
      </c>
      <c r="C48" s="10"/>
      <c r="D48" s="10"/>
      <c r="E48" s="10"/>
      <c r="F48" s="10"/>
      <c r="G48" s="10">
        <f t="shared" si="0"/>
        <v>0</v>
      </c>
      <c r="H48" s="16">
        <f t="shared" si="1"/>
        <v>0</v>
      </c>
      <c r="I48" s="15">
        <f t="shared" si="2"/>
        <v>0</v>
      </c>
      <c r="J48" s="15"/>
    </row>
    <row r="49" spans="1:10" x14ac:dyDescent="0.25">
      <c r="A49" s="27" t="s">
        <v>12</v>
      </c>
      <c r="B49" s="27"/>
      <c r="C49" s="11">
        <f t="shared" ref="C49:H49" si="3">SUM(C8:C48)</f>
        <v>1308365</v>
      </c>
      <c r="D49" s="11">
        <f t="shared" si="3"/>
        <v>18103</v>
      </c>
      <c r="E49" s="11">
        <f t="shared" si="3"/>
        <v>635240</v>
      </c>
      <c r="F49" s="11">
        <f t="shared" si="3"/>
        <v>39035</v>
      </c>
      <c r="G49" s="11">
        <f t="shared" si="3"/>
        <v>2000743</v>
      </c>
      <c r="H49" s="14">
        <f t="shared" si="3"/>
        <v>352.1</v>
      </c>
      <c r="I49" s="17"/>
      <c r="J49" s="17"/>
    </row>
    <row r="50" spans="1:10" x14ac:dyDescent="0.25">
      <c r="A50" s="27" t="s">
        <v>14</v>
      </c>
      <c r="B50" s="27"/>
      <c r="C50" s="12">
        <f>ROUND(C49/G49,2)</f>
        <v>0.65</v>
      </c>
      <c r="D50" s="12">
        <f>ROUND(D49/G49,2)</f>
        <v>0.01</v>
      </c>
      <c r="E50" s="12">
        <f>ROUND(E49/G49,2)</f>
        <v>0.32</v>
      </c>
      <c r="F50" s="12">
        <f>ROUND(F49/G49,2)</f>
        <v>0.02</v>
      </c>
      <c r="G50" s="13"/>
      <c r="H50" s="13"/>
      <c r="I50" s="17"/>
      <c r="J50" s="17"/>
    </row>
    <row r="51" spans="1:10" x14ac:dyDescent="0.25">
      <c r="A51" s="2" t="s">
        <v>52</v>
      </c>
      <c r="B51" s="2"/>
      <c r="C51" s="13"/>
      <c r="D51" s="13"/>
      <c r="E51" s="13"/>
      <c r="F51" s="13"/>
      <c r="G51" s="13"/>
      <c r="H51" s="13"/>
      <c r="I51" s="17"/>
      <c r="J51" s="17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53</v>
      </c>
      <c r="B55" s="27"/>
      <c r="C55" s="11" t="s">
        <v>8</v>
      </c>
      <c r="D55" s="11" t="s">
        <v>9</v>
      </c>
      <c r="E55" s="11" t="s">
        <v>10</v>
      </c>
      <c r="F55" s="11" t="s">
        <v>11</v>
      </c>
      <c r="G55" s="11" t="s">
        <v>12</v>
      </c>
      <c r="H55" s="14" t="s">
        <v>13</v>
      </c>
      <c r="I55" s="17"/>
      <c r="J55" s="17"/>
    </row>
    <row r="56" spans="1:10" x14ac:dyDescent="0.25">
      <c r="A56" s="22" t="s">
        <v>54</v>
      </c>
      <c r="B56" s="22"/>
      <c r="C56" s="10">
        <v>778805</v>
      </c>
      <c r="D56" s="10">
        <v>183</v>
      </c>
      <c r="E56" s="10">
        <v>531600</v>
      </c>
      <c r="F56" s="10">
        <v>14415</v>
      </c>
      <c r="G56" s="10">
        <f>SUM(C56:F56)</f>
        <v>1325003</v>
      </c>
      <c r="H56" s="16">
        <f>ROUND(G56/5682,2)</f>
        <v>233.19</v>
      </c>
      <c r="I56" s="9"/>
      <c r="J56" s="9"/>
    </row>
    <row r="57" spans="1:10" x14ac:dyDescent="0.25">
      <c r="A57" s="22" t="s">
        <v>55</v>
      </c>
      <c r="B57" s="22"/>
      <c r="C57" s="10">
        <v>529560</v>
      </c>
      <c r="D57" s="10">
        <v>17920</v>
      </c>
      <c r="E57" s="10">
        <v>103640</v>
      </c>
      <c r="F57" s="10">
        <v>24620</v>
      </c>
      <c r="G57" s="10">
        <f>SUM(C57:F57)</f>
        <v>675740</v>
      </c>
      <c r="H57" s="16">
        <f>ROUND(G57/5682,2)</f>
        <v>118.93</v>
      </c>
      <c r="I57" s="9"/>
      <c r="J57" s="9"/>
    </row>
    <row r="58" spans="1:10" x14ac:dyDescent="0.25">
      <c r="A58" s="22" t="s">
        <v>56</v>
      </c>
      <c r="B58" s="22"/>
      <c r="C58" s="10">
        <v>0</v>
      </c>
      <c r="D58" s="10">
        <v>0</v>
      </c>
      <c r="E58" s="10">
        <v>0</v>
      </c>
      <c r="F58" s="10">
        <v>0</v>
      </c>
      <c r="G58" s="10">
        <f>SUM(C58:F58)</f>
        <v>0</v>
      </c>
      <c r="H58" s="16">
        <f>ROUND(G58/5682,2)</f>
        <v>0</v>
      </c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27" t="s">
        <v>57</v>
      </c>
      <c r="B63" s="27"/>
      <c r="C63" s="14" t="s">
        <v>2</v>
      </c>
      <c r="D63" s="14">
        <v>2023</v>
      </c>
      <c r="E63" s="14" t="s">
        <v>59</v>
      </c>
      <c r="F63" s="13"/>
      <c r="G63" s="14" t="s">
        <v>60</v>
      </c>
      <c r="H63" s="14" t="s">
        <v>2</v>
      </c>
      <c r="I63" s="12" t="s">
        <v>61</v>
      </c>
      <c r="J63" s="12" t="s">
        <v>59</v>
      </c>
    </row>
    <row r="64" spans="1:10" x14ac:dyDescent="0.25">
      <c r="A64" s="22" t="s">
        <v>58</v>
      </c>
      <c r="B64" s="22"/>
      <c r="C64" s="15">
        <f>ROUND(0.66, 4)</f>
        <v>0.66</v>
      </c>
      <c r="D64" s="15">
        <f>ROUND(0.6585, 4)</f>
        <v>0.65849999999999997</v>
      </c>
      <c r="E64" s="15">
        <f>ROUND(0.777, 4)</f>
        <v>0.77700000000000002</v>
      </c>
      <c r="F64" s="8"/>
      <c r="G64" s="14" t="s">
        <v>62</v>
      </c>
      <c r="H64" s="28" t="s">
        <v>63</v>
      </c>
      <c r="I64" s="25" t="s">
        <v>64</v>
      </c>
      <c r="J64" s="25" t="s">
        <v>65</v>
      </c>
    </row>
    <row r="65" spans="1:10" x14ac:dyDescent="0.25">
      <c r="A65" s="22" t="s">
        <v>66</v>
      </c>
      <c r="B65" s="22"/>
      <c r="C65" s="15">
        <f>ROUND(0.6507, 4)</f>
        <v>0.65069999999999995</v>
      </c>
      <c r="D65" s="15">
        <f>ROUND(0.6486, 4)</f>
        <v>0.64859999999999995</v>
      </c>
      <c r="E65" s="15">
        <f>ROUND(0.7608, 4)</f>
        <v>0.76080000000000003</v>
      </c>
      <c r="F65" s="8"/>
      <c r="G65" s="14" t="s">
        <v>67</v>
      </c>
      <c r="H65" s="29"/>
      <c r="I65" s="26"/>
      <c r="J65" s="26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27" t="s">
        <v>68</v>
      </c>
      <c r="B69" s="27"/>
      <c r="C69" s="14" t="s">
        <v>2</v>
      </c>
      <c r="D69" s="14" t="s">
        <v>298</v>
      </c>
      <c r="E69" s="14" t="s">
        <v>70</v>
      </c>
      <c r="F69" s="14" t="s">
        <v>71</v>
      </c>
      <c r="G69" s="14" t="s">
        <v>72</v>
      </c>
      <c r="H69" s="13"/>
      <c r="I69" s="17"/>
      <c r="J69" s="17"/>
    </row>
    <row r="70" spans="1:10" x14ac:dyDescent="0.25">
      <c r="A70" s="22" t="s">
        <v>73</v>
      </c>
      <c r="B70" s="22"/>
      <c r="C70" s="16">
        <v>97.65</v>
      </c>
      <c r="D70" s="16">
        <v>98.26</v>
      </c>
      <c r="E70" s="16">
        <v>92.53</v>
      </c>
      <c r="F70" s="16">
        <v>56.06</v>
      </c>
      <c r="G70" s="16">
        <f>12/11*C70</f>
        <v>106.52727272727273</v>
      </c>
      <c r="H70" s="8"/>
      <c r="I70" s="9"/>
      <c r="J70" s="9"/>
    </row>
    <row r="71" spans="1:10" x14ac:dyDescent="0.25">
      <c r="A71" s="22" t="s">
        <v>74</v>
      </c>
      <c r="B71" s="22"/>
      <c r="C71" s="16">
        <v>41.2</v>
      </c>
      <c r="D71" s="16">
        <v>45</v>
      </c>
      <c r="E71" s="16">
        <v>61.98</v>
      </c>
      <c r="F71" s="16">
        <v>64.09</v>
      </c>
      <c r="G71" s="16">
        <f>12/11*C71</f>
        <v>44.945454545454545</v>
      </c>
      <c r="H71" s="8"/>
      <c r="I71" s="9"/>
      <c r="J71" s="9"/>
    </row>
    <row r="72" spans="1:10" x14ac:dyDescent="0.25">
      <c r="A72" s="22" t="s">
        <v>75</v>
      </c>
      <c r="B72" s="22"/>
      <c r="C72" s="16">
        <v>233.19</v>
      </c>
      <c r="D72" s="16">
        <v>249.2</v>
      </c>
      <c r="E72" s="16">
        <v>291.51</v>
      </c>
      <c r="F72" s="16">
        <v>284.45</v>
      </c>
      <c r="G72" s="16">
        <f>12/11*C72</f>
        <v>254.3890909090909</v>
      </c>
      <c r="H72" s="8"/>
      <c r="I72" s="9"/>
      <c r="J72" s="9"/>
    </row>
    <row r="73" spans="1:10" x14ac:dyDescent="0.25">
      <c r="A73" s="22" t="s">
        <v>76</v>
      </c>
      <c r="B73" s="22"/>
      <c r="C73" s="16">
        <v>118.93</v>
      </c>
      <c r="D73" s="16">
        <v>115.14</v>
      </c>
      <c r="E73" s="16">
        <v>116.46</v>
      </c>
      <c r="F73" s="16">
        <v>79.959999999999994</v>
      </c>
      <c r="G73" s="16">
        <f>12/11*C73</f>
        <v>129.74181818181819</v>
      </c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A76" s="23" t="s">
        <v>60</v>
      </c>
      <c r="B76" s="24"/>
      <c r="C76" s="8"/>
      <c r="D76" s="8"/>
      <c r="E76" s="8"/>
      <c r="F76" s="8"/>
      <c r="G76" s="8"/>
      <c r="H76" s="8"/>
      <c r="I76" s="9"/>
      <c r="J76" s="9"/>
    </row>
    <row r="77" spans="1:10" x14ac:dyDescent="0.25">
      <c r="A77" s="3" t="s">
        <v>77</v>
      </c>
      <c r="B77" s="1" t="s">
        <v>299</v>
      </c>
      <c r="C77" s="8"/>
      <c r="D77" s="8"/>
      <c r="E77" s="8"/>
      <c r="F77" s="8"/>
      <c r="G77" s="8"/>
      <c r="H77" s="8"/>
      <c r="I77" s="9"/>
      <c r="J77" s="9"/>
    </row>
    <row r="78" spans="1:10" x14ac:dyDescent="0.25">
      <c r="A78" s="3" t="s">
        <v>70</v>
      </c>
      <c r="B78" s="1" t="s">
        <v>79</v>
      </c>
    </row>
    <row r="79" spans="1:10" x14ac:dyDescent="0.25">
      <c r="A79" s="3" t="s">
        <v>71</v>
      </c>
      <c r="B79" s="1" t="s">
        <v>80</v>
      </c>
    </row>
    <row r="80" spans="1:10" x14ac:dyDescent="0.25">
      <c r="A80" s="3" t="s">
        <v>72</v>
      </c>
      <c r="B80" s="1" t="s">
        <v>81</v>
      </c>
    </row>
  </sheetData>
  <mergeCells count="19">
    <mergeCell ref="C7:G7"/>
    <mergeCell ref="A49:B49"/>
    <mergeCell ref="A50:B50"/>
    <mergeCell ref="A55:B55"/>
    <mergeCell ref="A56:B56"/>
    <mergeCell ref="J64:J65"/>
    <mergeCell ref="A65:B65"/>
    <mergeCell ref="A69:B69"/>
    <mergeCell ref="A70:B70"/>
    <mergeCell ref="A57:B57"/>
    <mergeCell ref="A58:B58"/>
    <mergeCell ref="A63:B63"/>
    <mergeCell ref="A64:B64"/>
    <mergeCell ref="H64:H65"/>
    <mergeCell ref="A71:B71"/>
    <mergeCell ref="A72:B72"/>
    <mergeCell ref="A73:B73"/>
    <mergeCell ref="A76:B76"/>
    <mergeCell ref="I64:I6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J77"/>
  <sheetViews>
    <sheetView workbookViewId="0"/>
  </sheetViews>
  <sheetFormatPr defaultRowHeight="15" x14ac:dyDescent="0.25"/>
  <cols>
    <col min="1" max="1" width="28.42578125" bestFit="1" customWidth="1"/>
    <col min="2" max="2" width="71.140625" bestFit="1" customWidth="1"/>
    <col min="3" max="3" width="12.7109375" bestFit="1" customWidth="1"/>
    <col min="4" max="4" width="40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300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6007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48</v>
      </c>
      <c r="B9" s="1" t="s">
        <v>50</v>
      </c>
      <c r="C9" s="10"/>
      <c r="D9" s="10"/>
      <c r="E9" s="10"/>
      <c r="F9" s="10">
        <v>289</v>
      </c>
      <c r="G9" s="10">
        <f t="shared" ref="G9:G45" si="0">SUM(C9:F9)</f>
        <v>289</v>
      </c>
      <c r="H9" s="16">
        <f t="shared" ref="H9:H45" si="1">ROUND(G9/6007,2)</f>
        <v>0.05</v>
      </c>
      <c r="I9" s="15">
        <f t="shared" ref="I9:I45" si="2">ROUND(G9/$G$46,3)</f>
        <v>0</v>
      </c>
      <c r="J9" s="15">
        <f>ROUND(G9/185-1,2)</f>
        <v>0.56000000000000005</v>
      </c>
    </row>
    <row r="10" spans="1:10" x14ac:dyDescent="0.25">
      <c r="A10" s="1" t="s">
        <v>48</v>
      </c>
      <c r="B10" s="1" t="s">
        <v>51</v>
      </c>
      <c r="C10" s="10"/>
      <c r="D10" s="10"/>
      <c r="E10" s="10"/>
      <c r="F10" s="10"/>
      <c r="G10" s="10">
        <f t="shared" si="0"/>
        <v>0</v>
      </c>
      <c r="H10" s="16">
        <f t="shared" si="1"/>
        <v>0</v>
      </c>
      <c r="I10" s="15">
        <f t="shared" si="2"/>
        <v>0</v>
      </c>
      <c r="J10" s="15"/>
    </row>
    <row r="11" spans="1:10" x14ac:dyDescent="0.25">
      <c r="A11" s="1" t="s">
        <v>48</v>
      </c>
      <c r="B11" s="1" t="s">
        <v>86</v>
      </c>
      <c r="C11" s="10"/>
      <c r="D11" s="10"/>
      <c r="E11" s="10"/>
      <c r="F11" s="10"/>
      <c r="G11" s="10">
        <f t="shared" si="0"/>
        <v>0</v>
      </c>
      <c r="H11" s="16">
        <f t="shared" si="1"/>
        <v>0</v>
      </c>
      <c r="I11" s="15">
        <f t="shared" si="2"/>
        <v>0</v>
      </c>
      <c r="J11" s="15"/>
    </row>
    <row r="12" spans="1:10" x14ac:dyDescent="0.25">
      <c r="A12" s="1" t="s">
        <v>48</v>
      </c>
      <c r="B12" s="1" t="s">
        <v>49</v>
      </c>
      <c r="C12" s="10"/>
      <c r="D12" s="10"/>
      <c r="E12" s="10"/>
      <c r="F12" s="10"/>
      <c r="G12" s="10">
        <f t="shared" si="0"/>
        <v>0</v>
      </c>
      <c r="H12" s="16">
        <f t="shared" si="1"/>
        <v>0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17</v>
      </c>
      <c r="C13" s="10"/>
      <c r="D13" s="10"/>
      <c r="E13" s="10">
        <v>129</v>
      </c>
      <c r="F13" s="10"/>
      <c r="G13" s="10">
        <f t="shared" si="0"/>
        <v>129</v>
      </c>
      <c r="H13" s="16">
        <f t="shared" si="1"/>
        <v>0.02</v>
      </c>
      <c r="I13" s="15">
        <f t="shared" si="2"/>
        <v>0</v>
      </c>
      <c r="J13" s="15">
        <f>ROUND(G13/116-1,2)</f>
        <v>0.11</v>
      </c>
    </row>
    <row r="14" spans="1:10" x14ac:dyDescent="0.25">
      <c r="A14" s="1" t="s">
        <v>16</v>
      </c>
      <c r="B14" s="1" t="s">
        <v>19</v>
      </c>
      <c r="C14" s="10">
        <v>233550</v>
      </c>
      <c r="D14" s="10"/>
      <c r="E14" s="10">
        <v>3630</v>
      </c>
      <c r="F14" s="10"/>
      <c r="G14" s="10">
        <f t="shared" si="0"/>
        <v>237180</v>
      </c>
      <c r="H14" s="16">
        <f t="shared" si="1"/>
        <v>39.479999999999997</v>
      </c>
      <c r="I14" s="15">
        <f t="shared" si="2"/>
        <v>0.107</v>
      </c>
      <c r="J14" s="15">
        <f>ROUND(G14/236960-1,2)</f>
        <v>0</v>
      </c>
    </row>
    <row r="15" spans="1:10" x14ac:dyDescent="0.25">
      <c r="A15" s="1" t="s">
        <v>16</v>
      </c>
      <c r="B15" s="1" t="s">
        <v>20</v>
      </c>
      <c r="C15" s="10">
        <v>204940</v>
      </c>
      <c r="D15" s="10"/>
      <c r="E15" s="10"/>
      <c r="F15" s="10"/>
      <c r="G15" s="10">
        <f t="shared" si="0"/>
        <v>204940</v>
      </c>
      <c r="H15" s="16">
        <f t="shared" si="1"/>
        <v>34.119999999999997</v>
      </c>
      <c r="I15" s="15">
        <f t="shared" si="2"/>
        <v>9.2999999999999999E-2</v>
      </c>
      <c r="J15" s="15">
        <f>ROUND(G15/209590-1,2)</f>
        <v>-0.02</v>
      </c>
    </row>
    <row r="16" spans="1:10" x14ac:dyDescent="0.25">
      <c r="A16" s="1" t="s">
        <v>16</v>
      </c>
      <c r="B16" s="1" t="s">
        <v>95</v>
      </c>
      <c r="C16" s="10"/>
      <c r="D16" s="10"/>
      <c r="E16" s="10">
        <v>322</v>
      </c>
      <c r="F16" s="10"/>
      <c r="G16" s="10">
        <f t="shared" si="0"/>
        <v>322</v>
      </c>
      <c r="H16" s="16">
        <f t="shared" si="1"/>
        <v>0.05</v>
      </c>
      <c r="I16" s="15">
        <f t="shared" si="2"/>
        <v>0</v>
      </c>
      <c r="J16" s="15">
        <f>ROUND(G16/243-1,2)</f>
        <v>0.33</v>
      </c>
    </row>
    <row r="17" spans="1:10" x14ac:dyDescent="0.25">
      <c r="A17" s="1" t="s">
        <v>16</v>
      </c>
      <c r="B17" s="1" t="s">
        <v>21</v>
      </c>
      <c r="C17" s="10"/>
      <c r="D17" s="10"/>
      <c r="E17" s="10">
        <v>186</v>
      </c>
      <c r="F17" s="10"/>
      <c r="G17" s="10">
        <f t="shared" si="0"/>
        <v>186</v>
      </c>
      <c r="H17" s="16">
        <f t="shared" si="1"/>
        <v>0.03</v>
      </c>
      <c r="I17" s="15">
        <f t="shared" si="2"/>
        <v>0</v>
      </c>
      <c r="J17" s="15">
        <f>ROUND(G17/225-1,2)</f>
        <v>-0.17</v>
      </c>
    </row>
    <row r="18" spans="1:10" x14ac:dyDescent="0.25">
      <c r="A18" s="1" t="s">
        <v>16</v>
      </c>
      <c r="B18" s="1" t="s">
        <v>22</v>
      </c>
      <c r="C18" s="10"/>
      <c r="D18" s="10"/>
      <c r="E18" s="10">
        <v>2660</v>
      </c>
      <c r="F18" s="10"/>
      <c r="G18" s="10">
        <f t="shared" si="0"/>
        <v>2660</v>
      </c>
      <c r="H18" s="16">
        <f t="shared" si="1"/>
        <v>0.44</v>
      </c>
      <c r="I18" s="15">
        <f t="shared" si="2"/>
        <v>1E-3</v>
      </c>
      <c r="J18" s="15">
        <f>ROUND(G18/1900-1,2)</f>
        <v>0.4</v>
      </c>
    </row>
    <row r="19" spans="1:10" x14ac:dyDescent="0.25">
      <c r="A19" s="1" t="s">
        <v>16</v>
      </c>
      <c r="B19" s="1" t="s">
        <v>301</v>
      </c>
      <c r="C19" s="10"/>
      <c r="D19" s="10"/>
      <c r="E19" s="10">
        <v>7070</v>
      </c>
      <c r="F19" s="10"/>
      <c r="G19" s="10">
        <f t="shared" si="0"/>
        <v>7070</v>
      </c>
      <c r="H19" s="16">
        <f t="shared" si="1"/>
        <v>1.18</v>
      </c>
      <c r="I19" s="15">
        <f t="shared" si="2"/>
        <v>3.0000000000000001E-3</v>
      </c>
      <c r="J19" s="15">
        <f>ROUND(G19/7870-1,2)</f>
        <v>-0.1</v>
      </c>
    </row>
    <row r="20" spans="1:10" x14ac:dyDescent="0.25">
      <c r="A20" s="1" t="s">
        <v>16</v>
      </c>
      <c r="B20" s="1" t="s">
        <v>23</v>
      </c>
      <c r="C20" s="10"/>
      <c r="D20" s="10"/>
      <c r="E20" s="10">
        <v>51560</v>
      </c>
      <c r="F20" s="10"/>
      <c r="G20" s="10">
        <f t="shared" si="0"/>
        <v>51560</v>
      </c>
      <c r="H20" s="16">
        <f t="shared" si="1"/>
        <v>8.58</v>
      </c>
      <c r="I20" s="15">
        <f t="shared" si="2"/>
        <v>2.3E-2</v>
      </c>
      <c r="J20" s="15">
        <f>ROUND(G20/47200-1,2)</f>
        <v>0.09</v>
      </c>
    </row>
    <row r="21" spans="1:10" x14ac:dyDescent="0.25">
      <c r="A21" s="1" t="s">
        <v>16</v>
      </c>
      <c r="B21" s="1" t="s">
        <v>24</v>
      </c>
      <c r="C21" s="10">
        <v>295180</v>
      </c>
      <c r="D21" s="10"/>
      <c r="E21" s="10">
        <v>31360</v>
      </c>
      <c r="F21" s="10"/>
      <c r="G21" s="10">
        <f t="shared" si="0"/>
        <v>326540</v>
      </c>
      <c r="H21" s="16">
        <f t="shared" si="1"/>
        <v>54.36</v>
      </c>
      <c r="I21" s="15">
        <f t="shared" si="2"/>
        <v>0.14799999999999999</v>
      </c>
      <c r="J21" s="15">
        <f>ROUND(G21/319310-1,2)</f>
        <v>0.02</v>
      </c>
    </row>
    <row r="22" spans="1:10" x14ac:dyDescent="0.25">
      <c r="A22" s="1" t="s">
        <v>16</v>
      </c>
      <c r="B22" s="1" t="s">
        <v>25</v>
      </c>
      <c r="C22" s="10"/>
      <c r="D22" s="10"/>
      <c r="E22" s="10">
        <v>8390</v>
      </c>
      <c r="F22" s="10"/>
      <c r="G22" s="10">
        <f t="shared" si="0"/>
        <v>8390</v>
      </c>
      <c r="H22" s="16">
        <f t="shared" si="1"/>
        <v>1.4</v>
      </c>
      <c r="I22" s="15">
        <f t="shared" si="2"/>
        <v>4.0000000000000001E-3</v>
      </c>
      <c r="J22" s="15">
        <f>ROUND(G22/6580-1,2)</f>
        <v>0.28000000000000003</v>
      </c>
    </row>
    <row r="23" spans="1:10" x14ac:dyDescent="0.25">
      <c r="A23" s="1" t="s">
        <v>16</v>
      </c>
      <c r="B23" s="1" t="s">
        <v>26</v>
      </c>
      <c r="C23" s="10">
        <v>345190</v>
      </c>
      <c r="D23" s="10"/>
      <c r="E23" s="10"/>
      <c r="F23" s="10">
        <v>1790</v>
      </c>
      <c r="G23" s="10">
        <f t="shared" si="0"/>
        <v>346980</v>
      </c>
      <c r="H23" s="16">
        <f t="shared" si="1"/>
        <v>57.76</v>
      </c>
      <c r="I23" s="15">
        <f t="shared" si="2"/>
        <v>0.157</v>
      </c>
      <c r="J23" s="15">
        <f>ROUND(G23/341720-1,2)</f>
        <v>0.02</v>
      </c>
    </row>
    <row r="24" spans="1:10" x14ac:dyDescent="0.25">
      <c r="A24" s="1" t="s">
        <v>16</v>
      </c>
      <c r="B24" s="1" t="s">
        <v>27</v>
      </c>
      <c r="C24" s="10"/>
      <c r="D24" s="10"/>
      <c r="E24" s="10">
        <v>616</v>
      </c>
      <c r="F24" s="10"/>
      <c r="G24" s="10">
        <f t="shared" si="0"/>
        <v>616</v>
      </c>
      <c r="H24" s="16">
        <f t="shared" si="1"/>
        <v>0.1</v>
      </c>
      <c r="I24" s="15">
        <f t="shared" si="2"/>
        <v>0</v>
      </c>
      <c r="J24" s="15">
        <f>ROUND(G24/917-1,2)</f>
        <v>-0.33</v>
      </c>
    </row>
    <row r="25" spans="1:10" x14ac:dyDescent="0.25">
      <c r="A25" s="1" t="s">
        <v>16</v>
      </c>
      <c r="B25" s="1" t="s">
        <v>28</v>
      </c>
      <c r="C25" s="10"/>
      <c r="D25" s="10"/>
      <c r="E25" s="10">
        <v>798</v>
      </c>
      <c r="F25" s="10"/>
      <c r="G25" s="10">
        <f t="shared" si="0"/>
        <v>798</v>
      </c>
      <c r="H25" s="16">
        <f t="shared" si="1"/>
        <v>0.13</v>
      </c>
      <c r="I25" s="15">
        <f t="shared" si="2"/>
        <v>0</v>
      </c>
      <c r="J25" s="15">
        <f>ROUND(G25/557-1,2)</f>
        <v>0.43</v>
      </c>
    </row>
    <row r="26" spans="1:10" x14ac:dyDescent="0.25">
      <c r="A26" s="1" t="s">
        <v>16</v>
      </c>
      <c r="B26" s="1" t="s">
        <v>29</v>
      </c>
      <c r="C26" s="10"/>
      <c r="D26" s="10"/>
      <c r="E26" s="10">
        <v>2770</v>
      </c>
      <c r="F26" s="10"/>
      <c r="G26" s="10">
        <f t="shared" si="0"/>
        <v>2770</v>
      </c>
      <c r="H26" s="16">
        <f t="shared" si="1"/>
        <v>0.46</v>
      </c>
      <c r="I26" s="15">
        <f t="shared" si="2"/>
        <v>1E-3</v>
      </c>
      <c r="J26" s="15">
        <f>ROUND(G26/7140-1,2)</f>
        <v>-0.61</v>
      </c>
    </row>
    <row r="27" spans="1:10" x14ac:dyDescent="0.25">
      <c r="A27" s="1" t="s">
        <v>16</v>
      </c>
      <c r="B27" s="1" t="s">
        <v>30</v>
      </c>
      <c r="C27" s="10"/>
      <c r="D27" s="10"/>
      <c r="E27" s="10">
        <v>1150</v>
      </c>
      <c r="F27" s="10"/>
      <c r="G27" s="10">
        <f t="shared" si="0"/>
        <v>1150</v>
      </c>
      <c r="H27" s="16">
        <f t="shared" si="1"/>
        <v>0.19</v>
      </c>
      <c r="I27" s="15">
        <f t="shared" si="2"/>
        <v>1E-3</v>
      </c>
      <c r="J27" s="15">
        <f>ROUND(G27/1070-1,2)</f>
        <v>7.0000000000000007E-2</v>
      </c>
    </row>
    <row r="28" spans="1:10" x14ac:dyDescent="0.25">
      <c r="A28" s="1" t="s">
        <v>16</v>
      </c>
      <c r="B28" s="1" t="s">
        <v>31</v>
      </c>
      <c r="C28" s="10"/>
      <c r="D28" s="10"/>
      <c r="E28" s="10">
        <v>1130</v>
      </c>
      <c r="F28" s="10"/>
      <c r="G28" s="10">
        <f t="shared" si="0"/>
        <v>1130</v>
      </c>
      <c r="H28" s="16">
        <f t="shared" si="1"/>
        <v>0.19</v>
      </c>
      <c r="I28" s="15">
        <f t="shared" si="2"/>
        <v>1E-3</v>
      </c>
      <c r="J28" s="15">
        <f>ROUND(G28/1170-1,2)</f>
        <v>-0.03</v>
      </c>
    </row>
    <row r="29" spans="1:10" x14ac:dyDescent="0.25">
      <c r="A29" s="1" t="s">
        <v>16</v>
      </c>
      <c r="B29" s="1" t="s">
        <v>32</v>
      </c>
      <c r="C29" s="10"/>
      <c r="D29" s="10"/>
      <c r="E29" s="10">
        <v>2480</v>
      </c>
      <c r="F29" s="10"/>
      <c r="G29" s="10">
        <f t="shared" si="0"/>
        <v>2480</v>
      </c>
      <c r="H29" s="16">
        <f t="shared" si="1"/>
        <v>0.41</v>
      </c>
      <c r="I29" s="15">
        <f t="shared" si="2"/>
        <v>1E-3</v>
      </c>
      <c r="J29" s="15">
        <f>ROUND(G29/3530-1,2)</f>
        <v>-0.3</v>
      </c>
    </row>
    <row r="30" spans="1:10" x14ac:dyDescent="0.25">
      <c r="A30" s="1" t="s">
        <v>16</v>
      </c>
      <c r="B30" s="1" t="s">
        <v>33</v>
      </c>
      <c r="C30" s="10"/>
      <c r="D30" s="10">
        <v>337</v>
      </c>
      <c r="E30" s="10">
        <v>75</v>
      </c>
      <c r="F30" s="10"/>
      <c r="G30" s="10">
        <f t="shared" si="0"/>
        <v>412</v>
      </c>
      <c r="H30" s="16">
        <f t="shared" si="1"/>
        <v>7.0000000000000007E-2</v>
      </c>
      <c r="I30" s="15">
        <f t="shared" si="2"/>
        <v>0</v>
      </c>
      <c r="J30" s="15">
        <f>ROUND(G30/348-1,2)</f>
        <v>0.18</v>
      </c>
    </row>
    <row r="31" spans="1:10" x14ac:dyDescent="0.25">
      <c r="A31" s="1" t="s">
        <v>16</v>
      </c>
      <c r="B31" s="1" t="s">
        <v>34</v>
      </c>
      <c r="C31" s="10"/>
      <c r="D31" s="10"/>
      <c r="E31" s="10">
        <v>1120</v>
      </c>
      <c r="F31" s="10"/>
      <c r="G31" s="10">
        <f t="shared" si="0"/>
        <v>1120</v>
      </c>
      <c r="H31" s="16">
        <f t="shared" si="1"/>
        <v>0.19</v>
      </c>
      <c r="I31" s="15">
        <f t="shared" si="2"/>
        <v>1E-3</v>
      </c>
      <c r="J31" s="15"/>
    </row>
    <row r="32" spans="1:10" x14ac:dyDescent="0.25">
      <c r="A32" s="1" t="s">
        <v>16</v>
      </c>
      <c r="B32" s="1" t="s">
        <v>37</v>
      </c>
      <c r="C32" s="10"/>
      <c r="D32" s="10"/>
      <c r="E32" s="10">
        <v>5200</v>
      </c>
      <c r="F32" s="10"/>
      <c r="G32" s="10">
        <f t="shared" si="0"/>
        <v>5200</v>
      </c>
      <c r="H32" s="16">
        <f t="shared" si="1"/>
        <v>0.87</v>
      </c>
      <c r="I32" s="15">
        <f t="shared" si="2"/>
        <v>2E-3</v>
      </c>
      <c r="J32" s="15">
        <f>ROUND(G32/6056-1,2)</f>
        <v>-0.14000000000000001</v>
      </c>
    </row>
    <row r="33" spans="1:10" x14ac:dyDescent="0.25">
      <c r="A33" s="1" t="s">
        <v>16</v>
      </c>
      <c r="B33" s="1" t="s">
        <v>43</v>
      </c>
      <c r="C33" s="10"/>
      <c r="D33" s="10"/>
      <c r="E33" s="10">
        <v>4200</v>
      </c>
      <c r="F33" s="10"/>
      <c r="G33" s="10">
        <f t="shared" si="0"/>
        <v>4200</v>
      </c>
      <c r="H33" s="16">
        <f t="shared" si="1"/>
        <v>0.7</v>
      </c>
      <c r="I33" s="15">
        <f t="shared" si="2"/>
        <v>2E-3</v>
      </c>
      <c r="J33" s="15">
        <f>ROUND(G33/7382-1,2)</f>
        <v>-0.43</v>
      </c>
    </row>
    <row r="34" spans="1:10" x14ac:dyDescent="0.25">
      <c r="A34" s="1" t="s">
        <v>16</v>
      </c>
      <c r="B34" s="1" t="s">
        <v>38</v>
      </c>
      <c r="C34" s="10"/>
      <c r="D34" s="10"/>
      <c r="E34" s="10">
        <v>145480</v>
      </c>
      <c r="F34" s="10"/>
      <c r="G34" s="10">
        <f t="shared" si="0"/>
        <v>145480</v>
      </c>
      <c r="H34" s="16">
        <f t="shared" si="1"/>
        <v>24.22</v>
      </c>
      <c r="I34" s="15">
        <f t="shared" si="2"/>
        <v>6.6000000000000003E-2</v>
      </c>
      <c r="J34" s="15">
        <f>ROUND(G34/141820-1,2)</f>
        <v>0.03</v>
      </c>
    </row>
    <row r="35" spans="1:10" x14ac:dyDescent="0.25">
      <c r="A35" s="1" t="s">
        <v>16</v>
      </c>
      <c r="B35" s="1" t="s">
        <v>39</v>
      </c>
      <c r="C35" s="10"/>
      <c r="D35" s="10"/>
      <c r="E35" s="10">
        <v>5830</v>
      </c>
      <c r="F35" s="10"/>
      <c r="G35" s="10">
        <f t="shared" si="0"/>
        <v>5830</v>
      </c>
      <c r="H35" s="16">
        <f t="shared" si="1"/>
        <v>0.97</v>
      </c>
      <c r="I35" s="15">
        <f t="shared" si="2"/>
        <v>3.0000000000000001E-3</v>
      </c>
      <c r="J35" s="15">
        <f>ROUND(G35/15720-1,2)</f>
        <v>-0.63</v>
      </c>
    </row>
    <row r="36" spans="1:10" x14ac:dyDescent="0.25">
      <c r="A36" s="1" t="s">
        <v>16</v>
      </c>
      <c r="B36" s="1" t="s">
        <v>40</v>
      </c>
      <c r="C36" s="10"/>
      <c r="D36" s="10"/>
      <c r="E36" s="10">
        <v>21750</v>
      </c>
      <c r="F36" s="10"/>
      <c r="G36" s="10">
        <f t="shared" si="0"/>
        <v>21750</v>
      </c>
      <c r="H36" s="16">
        <f t="shared" si="1"/>
        <v>3.62</v>
      </c>
      <c r="I36" s="15">
        <f t="shared" si="2"/>
        <v>0.01</v>
      </c>
      <c r="J36" s="15">
        <f>ROUND(G36/14890-1,2)</f>
        <v>0.46</v>
      </c>
    </row>
    <row r="37" spans="1:10" x14ac:dyDescent="0.25">
      <c r="A37" s="1" t="s">
        <v>16</v>
      </c>
      <c r="B37" s="1" t="s">
        <v>41</v>
      </c>
      <c r="C37" s="10"/>
      <c r="D37" s="10"/>
      <c r="E37" s="10">
        <v>379240</v>
      </c>
      <c r="F37" s="10">
        <v>9440</v>
      </c>
      <c r="G37" s="10">
        <f t="shared" si="0"/>
        <v>388680</v>
      </c>
      <c r="H37" s="16">
        <f t="shared" si="1"/>
        <v>64.7</v>
      </c>
      <c r="I37" s="15">
        <f t="shared" si="2"/>
        <v>0.17599999999999999</v>
      </c>
      <c r="J37" s="15">
        <f>ROUND(G37/279240-1,2)</f>
        <v>0.39</v>
      </c>
    </row>
    <row r="38" spans="1:10" x14ac:dyDescent="0.25">
      <c r="A38" s="1" t="s">
        <v>16</v>
      </c>
      <c r="B38" s="1" t="s">
        <v>42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ROUND(G38/89-1,2)</f>
        <v>-1</v>
      </c>
    </row>
    <row r="39" spans="1:10" x14ac:dyDescent="0.25">
      <c r="A39" s="1" t="s">
        <v>16</v>
      </c>
      <c r="B39" s="1" t="s">
        <v>36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ROUND(G39/4344-1,2)</f>
        <v>-1</v>
      </c>
    </row>
    <row r="40" spans="1:10" x14ac:dyDescent="0.25">
      <c r="A40" s="1" t="s">
        <v>16</v>
      </c>
      <c r="B40" s="1" t="s">
        <v>35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ROUND(G40/400-1,2)</f>
        <v>-1</v>
      </c>
    </row>
    <row r="41" spans="1:10" x14ac:dyDescent="0.25">
      <c r="A41" s="1" t="s">
        <v>16</v>
      </c>
      <c r="B41" s="1" t="s">
        <v>96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1" t="s">
        <v>16</v>
      </c>
      <c r="B42" s="1" t="s">
        <v>302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1" t="s">
        <v>44</v>
      </c>
      <c r="B43" s="1" t="s">
        <v>45</v>
      </c>
      <c r="C43" s="10">
        <v>318460</v>
      </c>
      <c r="D43" s="10"/>
      <c r="E43" s="10"/>
      <c r="F43" s="10"/>
      <c r="G43" s="10">
        <f t="shared" si="0"/>
        <v>318460</v>
      </c>
      <c r="H43" s="16">
        <f t="shared" si="1"/>
        <v>53.01</v>
      </c>
      <c r="I43" s="15">
        <f t="shared" si="2"/>
        <v>0.14399999999999999</v>
      </c>
      <c r="J43" s="15">
        <f>ROUND(G43/321150-1,2)</f>
        <v>-0.01</v>
      </c>
    </row>
    <row r="44" spans="1:10" x14ac:dyDescent="0.25">
      <c r="A44" s="1" t="s">
        <v>44</v>
      </c>
      <c r="B44" s="1" t="s">
        <v>47</v>
      </c>
      <c r="C44" s="10"/>
      <c r="D44" s="10"/>
      <c r="E44" s="10"/>
      <c r="F44" s="10">
        <v>44290</v>
      </c>
      <c r="G44" s="10">
        <f t="shared" si="0"/>
        <v>44290</v>
      </c>
      <c r="H44" s="16">
        <f t="shared" si="1"/>
        <v>7.37</v>
      </c>
      <c r="I44" s="15">
        <f t="shared" si="2"/>
        <v>0.02</v>
      </c>
      <c r="J44" s="15">
        <f>ROUND(G44/44200-1,2)</f>
        <v>0</v>
      </c>
    </row>
    <row r="45" spans="1:10" x14ac:dyDescent="0.25">
      <c r="A45" s="1" t="s">
        <v>44</v>
      </c>
      <c r="B45" s="1" t="s">
        <v>46</v>
      </c>
      <c r="C45" s="10"/>
      <c r="D45" s="10"/>
      <c r="E45" s="10">
        <v>82485</v>
      </c>
      <c r="F45" s="10"/>
      <c r="G45" s="10">
        <f t="shared" si="0"/>
        <v>82485</v>
      </c>
      <c r="H45" s="16">
        <f t="shared" si="1"/>
        <v>13.73</v>
      </c>
      <c r="I45" s="15">
        <f t="shared" si="2"/>
        <v>3.6999999999999998E-2</v>
      </c>
      <c r="J45" s="15">
        <f>ROUND(G45/78500-1,2)</f>
        <v>0.05</v>
      </c>
    </row>
    <row r="46" spans="1:10" x14ac:dyDescent="0.25">
      <c r="A46" s="27" t="s">
        <v>12</v>
      </c>
      <c r="B46" s="27"/>
      <c r="C46" s="11">
        <f t="shared" ref="C46:H46" si="3">SUM(C8:C45)</f>
        <v>1397320</v>
      </c>
      <c r="D46" s="11">
        <f t="shared" si="3"/>
        <v>337</v>
      </c>
      <c r="E46" s="11">
        <f t="shared" si="3"/>
        <v>759631</v>
      </c>
      <c r="F46" s="11">
        <f t="shared" si="3"/>
        <v>55809</v>
      </c>
      <c r="G46" s="11">
        <f t="shared" si="3"/>
        <v>2213097</v>
      </c>
      <c r="H46" s="14">
        <f t="shared" si="3"/>
        <v>368.4</v>
      </c>
      <c r="I46" s="17"/>
      <c r="J46" s="17"/>
    </row>
    <row r="47" spans="1:10" x14ac:dyDescent="0.25">
      <c r="A47" s="27" t="s">
        <v>14</v>
      </c>
      <c r="B47" s="27"/>
      <c r="C47" s="12">
        <f>ROUND(C46/G46,2)</f>
        <v>0.63</v>
      </c>
      <c r="D47" s="12">
        <f>ROUND(D46/G46,2)</f>
        <v>0</v>
      </c>
      <c r="E47" s="12">
        <f>ROUND(E46/G46,2)</f>
        <v>0.34</v>
      </c>
      <c r="F47" s="12">
        <f>ROUND(F46/G46,2)</f>
        <v>0.03</v>
      </c>
      <c r="G47" s="13"/>
      <c r="H47" s="13"/>
      <c r="I47" s="17"/>
      <c r="J47" s="17"/>
    </row>
    <row r="48" spans="1:10" x14ac:dyDescent="0.25">
      <c r="A48" s="2" t="s">
        <v>52</v>
      </c>
      <c r="B48" s="2"/>
      <c r="C48" s="13"/>
      <c r="D48" s="13"/>
      <c r="E48" s="13"/>
      <c r="F48" s="13"/>
      <c r="G48" s="13"/>
      <c r="H48" s="13"/>
      <c r="I48" s="17"/>
      <c r="J48" s="17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53</v>
      </c>
      <c r="B52" s="27"/>
      <c r="C52" s="11" t="s">
        <v>8</v>
      </c>
      <c r="D52" s="11" t="s">
        <v>9</v>
      </c>
      <c r="E52" s="11" t="s">
        <v>10</v>
      </c>
      <c r="F52" s="11" t="s">
        <v>11</v>
      </c>
      <c r="G52" s="11" t="s">
        <v>12</v>
      </c>
      <c r="H52" s="14" t="s">
        <v>13</v>
      </c>
      <c r="I52" s="17"/>
      <c r="J52" s="17"/>
    </row>
    <row r="53" spans="1:10" x14ac:dyDescent="0.25">
      <c r="A53" s="22" t="s">
        <v>54</v>
      </c>
      <c r="B53" s="22"/>
      <c r="C53" s="10">
        <v>1078860</v>
      </c>
      <c r="D53" s="10">
        <v>337</v>
      </c>
      <c r="E53" s="10">
        <v>677146</v>
      </c>
      <c r="F53" s="10">
        <v>11230</v>
      </c>
      <c r="G53" s="10">
        <f>SUM(C53:F53)</f>
        <v>1767573</v>
      </c>
      <c r="H53" s="16">
        <f>ROUND(G53/6007,2)</f>
        <v>294.25</v>
      </c>
      <c r="I53" s="9"/>
      <c r="J53" s="9"/>
    </row>
    <row r="54" spans="1:10" x14ac:dyDescent="0.25">
      <c r="A54" s="22" t="s">
        <v>55</v>
      </c>
      <c r="B54" s="22"/>
      <c r="C54" s="10">
        <v>318460</v>
      </c>
      <c r="D54" s="10">
        <v>0</v>
      </c>
      <c r="E54" s="10">
        <v>82485</v>
      </c>
      <c r="F54" s="10">
        <v>44290</v>
      </c>
      <c r="G54" s="10">
        <f>SUM(C54:F54)</f>
        <v>445235</v>
      </c>
      <c r="H54" s="16">
        <f>ROUND(G54/6007,2)</f>
        <v>74.12</v>
      </c>
      <c r="I54" s="9"/>
      <c r="J54" s="9"/>
    </row>
    <row r="55" spans="1:10" x14ac:dyDescent="0.25">
      <c r="A55" s="22" t="s">
        <v>56</v>
      </c>
      <c r="B55" s="22"/>
      <c r="C55" s="10">
        <v>0</v>
      </c>
      <c r="D55" s="10">
        <v>0</v>
      </c>
      <c r="E55" s="10">
        <v>0</v>
      </c>
      <c r="F55" s="10">
        <v>289</v>
      </c>
      <c r="G55" s="10">
        <f>SUM(C55:F55)</f>
        <v>289</v>
      </c>
      <c r="H55" s="16">
        <f>ROUND(G55/6007,2)</f>
        <v>0.05</v>
      </c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57</v>
      </c>
      <c r="B60" s="27"/>
      <c r="C60" s="14" t="s">
        <v>2</v>
      </c>
      <c r="D60" s="14">
        <v>2023</v>
      </c>
      <c r="E60" s="14" t="s">
        <v>59</v>
      </c>
      <c r="F60" s="13"/>
      <c r="G60" s="14" t="s">
        <v>60</v>
      </c>
      <c r="H60" s="14" t="s">
        <v>2</v>
      </c>
      <c r="I60" s="12" t="s">
        <v>61</v>
      </c>
      <c r="J60" s="12" t="s">
        <v>59</v>
      </c>
    </row>
    <row r="61" spans="1:10" x14ac:dyDescent="0.25">
      <c r="A61" s="22" t="s">
        <v>58</v>
      </c>
      <c r="B61" s="22"/>
      <c r="C61" s="15">
        <f>ROUND(0.8458, 4)</f>
        <v>0.8458</v>
      </c>
      <c r="D61" s="15">
        <f>ROUND(0.833, 4)</f>
        <v>0.83299999999999996</v>
      </c>
      <c r="E61" s="15">
        <f>ROUND(0.777, 4)</f>
        <v>0.77700000000000002</v>
      </c>
      <c r="F61" s="8"/>
      <c r="G61" s="14" t="s">
        <v>62</v>
      </c>
      <c r="H61" s="28" t="s">
        <v>63</v>
      </c>
      <c r="I61" s="25" t="s">
        <v>64</v>
      </c>
      <c r="J61" s="25" t="s">
        <v>65</v>
      </c>
    </row>
    <row r="62" spans="1:10" x14ac:dyDescent="0.25">
      <c r="A62" s="22" t="s">
        <v>66</v>
      </c>
      <c r="B62" s="22"/>
      <c r="C62" s="15">
        <f>ROUND(0.8316, 4)</f>
        <v>0.83160000000000001</v>
      </c>
      <c r="D62" s="15">
        <f>ROUND(0.8183, 4)</f>
        <v>0.81830000000000003</v>
      </c>
      <c r="E62" s="15">
        <f>ROUND(0.7608, 4)</f>
        <v>0.76080000000000003</v>
      </c>
      <c r="F62" s="8"/>
      <c r="G62" s="14" t="s">
        <v>67</v>
      </c>
      <c r="H62" s="29"/>
      <c r="I62" s="26"/>
      <c r="J62" s="26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7" t="s">
        <v>68</v>
      </c>
      <c r="B66" s="27"/>
      <c r="C66" s="14" t="s">
        <v>2</v>
      </c>
      <c r="D66" s="14" t="s">
        <v>303</v>
      </c>
      <c r="E66" s="14" t="s">
        <v>70</v>
      </c>
      <c r="F66" s="14" t="s">
        <v>71</v>
      </c>
      <c r="G66" s="14" t="s">
        <v>72</v>
      </c>
      <c r="H66" s="13"/>
      <c r="I66" s="17"/>
      <c r="J66" s="17"/>
    </row>
    <row r="67" spans="1:10" x14ac:dyDescent="0.25">
      <c r="A67" s="22" t="s">
        <v>73</v>
      </c>
      <c r="B67" s="22"/>
      <c r="C67" s="16">
        <v>53.01</v>
      </c>
      <c r="D67" s="16">
        <v>71.569999999999993</v>
      </c>
      <c r="E67" s="16">
        <v>92.53</v>
      </c>
      <c r="F67" s="16">
        <v>56.06</v>
      </c>
      <c r="G67" s="16">
        <f>12/11*C67</f>
        <v>57.829090909090901</v>
      </c>
      <c r="H67" s="8"/>
      <c r="I67" s="9"/>
      <c r="J67" s="9"/>
    </row>
    <row r="68" spans="1:10" x14ac:dyDescent="0.25">
      <c r="A68" s="22" t="s">
        <v>74</v>
      </c>
      <c r="B68" s="22"/>
      <c r="C68" s="16">
        <v>57.76</v>
      </c>
      <c r="D68" s="16">
        <v>60.91</v>
      </c>
      <c r="E68" s="16">
        <v>61.98</v>
      </c>
      <c r="F68" s="16">
        <v>64.09</v>
      </c>
      <c r="G68" s="16">
        <f>12/11*C68</f>
        <v>63.010909090909081</v>
      </c>
      <c r="H68" s="8"/>
      <c r="I68" s="9"/>
      <c r="J68" s="9"/>
    </row>
    <row r="69" spans="1:10" x14ac:dyDescent="0.25">
      <c r="A69" s="22" t="s">
        <v>75</v>
      </c>
      <c r="B69" s="22"/>
      <c r="C69" s="16">
        <v>294.25</v>
      </c>
      <c r="D69" s="16">
        <v>324.02999999999997</v>
      </c>
      <c r="E69" s="16">
        <v>291.51</v>
      </c>
      <c r="F69" s="16">
        <v>284.45</v>
      </c>
      <c r="G69" s="16">
        <f>12/11*C69</f>
        <v>321</v>
      </c>
      <c r="H69" s="8"/>
      <c r="I69" s="9"/>
      <c r="J69" s="9"/>
    </row>
    <row r="70" spans="1:10" x14ac:dyDescent="0.25">
      <c r="A70" s="22" t="s">
        <v>76</v>
      </c>
      <c r="B70" s="22"/>
      <c r="C70" s="1">
        <v>74.12</v>
      </c>
      <c r="D70" s="1">
        <v>96.72</v>
      </c>
      <c r="E70" s="1">
        <v>116.46</v>
      </c>
      <c r="F70" s="1">
        <v>79.959999999999994</v>
      </c>
      <c r="G70" s="1">
        <f>12/11*C70</f>
        <v>80.858181818181819</v>
      </c>
    </row>
    <row r="73" spans="1:10" x14ac:dyDescent="0.25">
      <c r="A73" s="23" t="s">
        <v>60</v>
      </c>
      <c r="B73" s="24"/>
    </row>
    <row r="74" spans="1:10" x14ac:dyDescent="0.25">
      <c r="A74" s="3" t="s">
        <v>77</v>
      </c>
      <c r="B74" s="1" t="s">
        <v>304</v>
      </c>
    </row>
    <row r="75" spans="1:10" x14ac:dyDescent="0.25">
      <c r="A75" s="3" t="s">
        <v>70</v>
      </c>
      <c r="B75" s="1" t="s">
        <v>79</v>
      </c>
    </row>
    <row r="76" spans="1:10" x14ac:dyDescent="0.25">
      <c r="A76" s="3" t="s">
        <v>71</v>
      </c>
      <c r="B76" s="1" t="s">
        <v>80</v>
      </c>
    </row>
    <row r="77" spans="1:10" x14ac:dyDescent="0.25">
      <c r="A77" s="3" t="s">
        <v>72</v>
      </c>
      <c r="B77" s="1" t="s">
        <v>81</v>
      </c>
    </row>
  </sheetData>
  <mergeCells count="19">
    <mergeCell ref="C7:G7"/>
    <mergeCell ref="A46:B46"/>
    <mergeCell ref="A47:B47"/>
    <mergeCell ref="A52:B52"/>
    <mergeCell ref="A53:B53"/>
    <mergeCell ref="J61:J62"/>
    <mergeCell ref="A62:B62"/>
    <mergeCell ref="A66:B66"/>
    <mergeCell ref="A67:B67"/>
    <mergeCell ref="A54:B54"/>
    <mergeCell ref="A55:B55"/>
    <mergeCell ref="A60:B60"/>
    <mergeCell ref="A61:B61"/>
    <mergeCell ref="H61:H62"/>
    <mergeCell ref="A68:B68"/>
    <mergeCell ref="A69:B69"/>
    <mergeCell ref="A70:B70"/>
    <mergeCell ref="A73:B73"/>
    <mergeCell ref="I61:I6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J73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5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305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1668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21</v>
      </c>
      <c r="F9" s="10"/>
      <c r="G9" s="10">
        <f t="shared" ref="G9:G37" si="0">SUM(C9:F9)</f>
        <v>21</v>
      </c>
      <c r="H9" s="16">
        <f t="shared" ref="H9:H37" si="1">ROUND(G9/1668,2)</f>
        <v>0.01</v>
      </c>
      <c r="I9" s="15">
        <f t="shared" ref="I9:I37" si="2">ROUND(G9/$G$38,3)</f>
        <v>0</v>
      </c>
      <c r="J9" s="15">
        <f>ROUND(G9/17-1,2)</f>
        <v>0.24</v>
      </c>
    </row>
    <row r="10" spans="1:10" x14ac:dyDescent="0.25">
      <c r="A10" s="1" t="s">
        <v>16</v>
      </c>
      <c r="B10" s="1" t="s">
        <v>19</v>
      </c>
      <c r="C10" s="10">
        <v>47820</v>
      </c>
      <c r="D10" s="10"/>
      <c r="E10" s="10"/>
      <c r="F10" s="10">
        <v>180</v>
      </c>
      <c r="G10" s="10">
        <f t="shared" si="0"/>
        <v>48000</v>
      </c>
      <c r="H10" s="16">
        <f t="shared" si="1"/>
        <v>28.78</v>
      </c>
      <c r="I10" s="15">
        <f t="shared" si="2"/>
        <v>0.106</v>
      </c>
      <c r="J10" s="15">
        <f>ROUND(G10/48640-1,2)</f>
        <v>-0.01</v>
      </c>
    </row>
    <row r="11" spans="1:10" x14ac:dyDescent="0.25">
      <c r="A11" s="1" t="s">
        <v>16</v>
      </c>
      <c r="B11" s="1" t="s">
        <v>20</v>
      </c>
      <c r="C11" s="10">
        <v>77840</v>
      </c>
      <c r="D11" s="10"/>
      <c r="E11" s="10"/>
      <c r="F11" s="10">
        <v>480</v>
      </c>
      <c r="G11" s="10">
        <f t="shared" si="0"/>
        <v>78320</v>
      </c>
      <c r="H11" s="16">
        <f t="shared" si="1"/>
        <v>46.95</v>
      </c>
      <c r="I11" s="15">
        <f t="shared" si="2"/>
        <v>0.17299999999999999</v>
      </c>
      <c r="J11" s="15">
        <f>ROUND(G11/72040-1,2)</f>
        <v>0.09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58</v>
      </c>
      <c r="F12" s="10"/>
      <c r="G12" s="10">
        <f t="shared" si="0"/>
        <v>58</v>
      </c>
      <c r="H12" s="16">
        <f t="shared" si="1"/>
        <v>0.03</v>
      </c>
      <c r="I12" s="15">
        <f t="shared" si="2"/>
        <v>0</v>
      </c>
      <c r="J12" s="15">
        <f>ROUND(G12/43-1,2)</f>
        <v>0.35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65</v>
      </c>
      <c r="F13" s="10"/>
      <c r="G13" s="10">
        <f t="shared" si="0"/>
        <v>65</v>
      </c>
      <c r="H13" s="16">
        <f t="shared" si="1"/>
        <v>0.04</v>
      </c>
      <c r="I13" s="15">
        <f t="shared" si="2"/>
        <v>0</v>
      </c>
      <c r="J13" s="15">
        <f>ROUND(G13/90-1,2)</f>
        <v>-0.28000000000000003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1000</v>
      </c>
      <c r="F14" s="10"/>
      <c r="G14" s="10">
        <f t="shared" si="0"/>
        <v>1000</v>
      </c>
      <c r="H14" s="16">
        <f t="shared" si="1"/>
        <v>0.6</v>
      </c>
      <c r="I14" s="15">
        <f t="shared" si="2"/>
        <v>2E-3</v>
      </c>
      <c r="J14" s="15">
        <f>ROUND(G14/700-1,2)</f>
        <v>0.43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12600</v>
      </c>
      <c r="F15" s="10"/>
      <c r="G15" s="10">
        <f t="shared" si="0"/>
        <v>12600</v>
      </c>
      <c r="H15" s="16">
        <f t="shared" si="1"/>
        <v>7.55</v>
      </c>
      <c r="I15" s="15">
        <f t="shared" si="2"/>
        <v>2.8000000000000001E-2</v>
      </c>
      <c r="J15" s="15">
        <f>ROUND(G15/19040-1,2)</f>
        <v>-0.34</v>
      </c>
    </row>
    <row r="16" spans="1:10" x14ac:dyDescent="0.25">
      <c r="A16" s="1" t="s">
        <v>16</v>
      </c>
      <c r="B16" s="1" t="s">
        <v>24</v>
      </c>
      <c r="C16" s="10">
        <v>56960</v>
      </c>
      <c r="D16" s="10"/>
      <c r="E16" s="10"/>
      <c r="F16" s="10">
        <v>60</v>
      </c>
      <c r="G16" s="10">
        <f t="shared" si="0"/>
        <v>57020</v>
      </c>
      <c r="H16" s="16">
        <f t="shared" si="1"/>
        <v>34.18</v>
      </c>
      <c r="I16" s="15">
        <f t="shared" si="2"/>
        <v>0.126</v>
      </c>
      <c r="J16" s="15">
        <f>ROUND(G16/61030-1,2)</f>
        <v>-7.0000000000000007E-2</v>
      </c>
    </row>
    <row r="17" spans="1:10" x14ac:dyDescent="0.25">
      <c r="A17" s="1" t="s">
        <v>16</v>
      </c>
      <c r="B17" s="1" t="s">
        <v>26</v>
      </c>
      <c r="C17" s="10">
        <v>97700</v>
      </c>
      <c r="D17" s="10"/>
      <c r="E17" s="10"/>
      <c r="F17" s="10">
        <v>630</v>
      </c>
      <c r="G17" s="10">
        <f t="shared" si="0"/>
        <v>98330</v>
      </c>
      <c r="H17" s="16">
        <f t="shared" si="1"/>
        <v>58.95</v>
      </c>
      <c r="I17" s="15">
        <f t="shared" si="2"/>
        <v>0.217</v>
      </c>
      <c r="J17" s="15">
        <f>ROUND(G17/93330-1,2)</f>
        <v>0.05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115</v>
      </c>
      <c r="F18" s="10"/>
      <c r="G18" s="10">
        <f t="shared" si="0"/>
        <v>115</v>
      </c>
      <c r="H18" s="16">
        <f t="shared" si="1"/>
        <v>7.0000000000000007E-2</v>
      </c>
      <c r="I18" s="15">
        <f t="shared" si="2"/>
        <v>0</v>
      </c>
      <c r="J18" s="15">
        <f>ROUND(G18/181-1,2)</f>
        <v>-0.36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150</v>
      </c>
      <c r="F19" s="10"/>
      <c r="G19" s="10">
        <f t="shared" si="0"/>
        <v>150</v>
      </c>
      <c r="H19" s="16">
        <f t="shared" si="1"/>
        <v>0.09</v>
      </c>
      <c r="I19" s="15">
        <f t="shared" si="2"/>
        <v>0</v>
      </c>
      <c r="J19" s="15">
        <f>ROUND(G19/128-1,2)</f>
        <v>0.17</v>
      </c>
    </row>
    <row r="20" spans="1:10" x14ac:dyDescent="0.25">
      <c r="A20" s="1" t="s">
        <v>16</v>
      </c>
      <c r="B20" s="1" t="s">
        <v>29</v>
      </c>
      <c r="C20" s="10"/>
      <c r="D20" s="10"/>
      <c r="E20" s="10">
        <v>940</v>
      </c>
      <c r="F20" s="10"/>
      <c r="G20" s="10">
        <f t="shared" si="0"/>
        <v>940</v>
      </c>
      <c r="H20" s="16">
        <f t="shared" si="1"/>
        <v>0.56000000000000005</v>
      </c>
      <c r="I20" s="15">
        <f t="shared" si="2"/>
        <v>2E-3</v>
      </c>
      <c r="J20" s="15">
        <f>ROUND(G20/1660-1,2)</f>
        <v>-0.43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500</v>
      </c>
      <c r="F21" s="10"/>
      <c r="G21" s="10">
        <f t="shared" si="0"/>
        <v>500</v>
      </c>
      <c r="H21" s="16">
        <f t="shared" si="1"/>
        <v>0.3</v>
      </c>
      <c r="I21" s="15">
        <f t="shared" si="2"/>
        <v>1E-3</v>
      </c>
      <c r="J21" s="15">
        <f>ROUND(G21/450-1,2)</f>
        <v>0.11</v>
      </c>
    </row>
    <row r="22" spans="1:10" x14ac:dyDescent="0.25">
      <c r="A22" s="1" t="s">
        <v>16</v>
      </c>
      <c r="B22" s="1" t="s">
        <v>31</v>
      </c>
      <c r="C22" s="10"/>
      <c r="D22" s="10"/>
      <c r="E22" s="10">
        <v>210</v>
      </c>
      <c r="F22" s="10"/>
      <c r="G22" s="10">
        <f t="shared" si="0"/>
        <v>210</v>
      </c>
      <c r="H22" s="16">
        <f t="shared" si="1"/>
        <v>0.13</v>
      </c>
      <c r="I22" s="15">
        <f t="shared" si="2"/>
        <v>0</v>
      </c>
      <c r="J22" s="15">
        <f>ROUND(G22/120-1,2)</f>
        <v>0.75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530</v>
      </c>
      <c r="F23" s="10"/>
      <c r="G23" s="10">
        <f t="shared" si="0"/>
        <v>530</v>
      </c>
      <c r="H23" s="16">
        <f t="shared" si="1"/>
        <v>0.32</v>
      </c>
      <c r="I23" s="15">
        <f t="shared" si="2"/>
        <v>1E-3</v>
      </c>
      <c r="J23" s="15">
        <f>ROUND(G23/670-1,2)</f>
        <v>-0.21</v>
      </c>
    </row>
    <row r="24" spans="1:10" x14ac:dyDescent="0.25">
      <c r="A24" s="1" t="s">
        <v>16</v>
      </c>
      <c r="B24" s="1" t="s">
        <v>33</v>
      </c>
      <c r="C24" s="10"/>
      <c r="D24" s="10">
        <v>184</v>
      </c>
      <c r="E24" s="10">
        <v>13</v>
      </c>
      <c r="F24" s="10"/>
      <c r="G24" s="10">
        <f t="shared" si="0"/>
        <v>197</v>
      </c>
      <c r="H24" s="16">
        <f t="shared" si="1"/>
        <v>0.12</v>
      </c>
      <c r="I24" s="15">
        <f t="shared" si="2"/>
        <v>0</v>
      </c>
      <c r="J24" s="15">
        <f>ROUND(G24/257-1,2)</f>
        <v>-0.23</v>
      </c>
    </row>
    <row r="25" spans="1:10" x14ac:dyDescent="0.25">
      <c r="A25" s="1" t="s">
        <v>16</v>
      </c>
      <c r="B25" s="1" t="s">
        <v>35</v>
      </c>
      <c r="C25" s="10"/>
      <c r="D25" s="10">
        <v>50</v>
      </c>
      <c r="E25" s="10"/>
      <c r="F25" s="10"/>
      <c r="G25" s="10">
        <f t="shared" si="0"/>
        <v>50</v>
      </c>
      <c r="H25" s="16">
        <f t="shared" si="1"/>
        <v>0.03</v>
      </c>
      <c r="I25" s="15">
        <f t="shared" si="2"/>
        <v>0</v>
      </c>
      <c r="J25" s="15">
        <f>ROUND(G25/215-1,2)</f>
        <v>-0.77</v>
      </c>
    </row>
    <row r="26" spans="1:10" x14ac:dyDescent="0.25">
      <c r="A26" s="1" t="s">
        <v>16</v>
      </c>
      <c r="B26" s="1" t="s">
        <v>37</v>
      </c>
      <c r="C26" s="10"/>
      <c r="D26" s="10"/>
      <c r="E26" s="10">
        <v>1370</v>
      </c>
      <c r="F26" s="10"/>
      <c r="G26" s="10">
        <f t="shared" si="0"/>
        <v>1370</v>
      </c>
      <c r="H26" s="16">
        <f t="shared" si="1"/>
        <v>0.82</v>
      </c>
      <c r="I26" s="15">
        <f t="shared" si="2"/>
        <v>3.0000000000000001E-3</v>
      </c>
      <c r="J26" s="15">
        <f>ROUND(G26/700-1,2)</f>
        <v>0.96</v>
      </c>
    </row>
    <row r="27" spans="1:10" x14ac:dyDescent="0.25">
      <c r="A27" s="1" t="s">
        <v>16</v>
      </c>
      <c r="B27" s="1" t="s">
        <v>38</v>
      </c>
      <c r="C27" s="10"/>
      <c r="D27" s="10"/>
      <c r="E27" s="10">
        <v>26250</v>
      </c>
      <c r="F27" s="10"/>
      <c r="G27" s="10">
        <f t="shared" si="0"/>
        <v>26250</v>
      </c>
      <c r="H27" s="16">
        <f t="shared" si="1"/>
        <v>15.74</v>
      </c>
      <c r="I27" s="15">
        <f t="shared" si="2"/>
        <v>5.8000000000000003E-2</v>
      </c>
      <c r="J27" s="15">
        <f>ROUND(G27/26020-1,2)</f>
        <v>0.01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7910</v>
      </c>
      <c r="F28" s="10"/>
      <c r="G28" s="10">
        <f t="shared" si="0"/>
        <v>7910</v>
      </c>
      <c r="H28" s="16">
        <f t="shared" si="1"/>
        <v>4.74</v>
      </c>
      <c r="I28" s="15">
        <f t="shared" si="2"/>
        <v>1.7000000000000001E-2</v>
      </c>
      <c r="J28" s="15">
        <f>ROUND(G28/6880-1,2)</f>
        <v>0.15</v>
      </c>
    </row>
    <row r="29" spans="1:10" x14ac:dyDescent="0.25">
      <c r="A29" s="1" t="s">
        <v>16</v>
      </c>
      <c r="B29" s="1" t="s">
        <v>41</v>
      </c>
      <c r="C29" s="10"/>
      <c r="D29" s="10"/>
      <c r="E29" s="10">
        <v>10700</v>
      </c>
      <c r="F29" s="10"/>
      <c r="G29" s="10">
        <f t="shared" si="0"/>
        <v>10700</v>
      </c>
      <c r="H29" s="16">
        <f t="shared" si="1"/>
        <v>6.41</v>
      </c>
      <c r="I29" s="15">
        <f t="shared" si="2"/>
        <v>2.4E-2</v>
      </c>
      <c r="J29" s="15">
        <f>ROUND(G29/10620-1,2)</f>
        <v>0.01</v>
      </c>
    </row>
    <row r="30" spans="1:10" x14ac:dyDescent="0.25">
      <c r="A30" s="1" t="s">
        <v>16</v>
      </c>
      <c r="B30" s="1" t="s">
        <v>25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ROUND(G30/2930-1,2)</f>
        <v>-1</v>
      </c>
    </row>
    <row r="31" spans="1:10" x14ac:dyDescent="0.25">
      <c r="A31" s="1" t="s">
        <v>16</v>
      </c>
      <c r="B31" s="1" t="s">
        <v>36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ROUND(G31/970-1,2)</f>
        <v>-1</v>
      </c>
    </row>
    <row r="32" spans="1:10" x14ac:dyDescent="0.25">
      <c r="A32" s="1" t="s">
        <v>16</v>
      </c>
      <c r="B32" s="1" t="s">
        <v>42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ROUND(G32/131-1,2)</f>
        <v>-1</v>
      </c>
    </row>
    <row r="33" spans="1:10" x14ac:dyDescent="0.25">
      <c r="A33" s="1" t="s">
        <v>16</v>
      </c>
      <c r="B33" s="1" t="s">
        <v>43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ROUND(G33/2620-1,2)</f>
        <v>-1</v>
      </c>
    </row>
    <row r="34" spans="1:10" x14ac:dyDescent="0.25">
      <c r="A34" s="1" t="s">
        <v>16</v>
      </c>
      <c r="B34" s="1" t="s">
        <v>34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ROUND(G34/550-1,2)</f>
        <v>-1</v>
      </c>
    </row>
    <row r="35" spans="1:10" x14ac:dyDescent="0.25">
      <c r="A35" s="1" t="s">
        <v>44</v>
      </c>
      <c r="B35" s="1" t="s">
        <v>45</v>
      </c>
      <c r="C35" s="10">
        <v>77270</v>
      </c>
      <c r="D35" s="10"/>
      <c r="E35" s="10"/>
      <c r="F35" s="10"/>
      <c r="G35" s="10">
        <f t="shared" si="0"/>
        <v>77270</v>
      </c>
      <c r="H35" s="16">
        <f t="shared" si="1"/>
        <v>46.32</v>
      </c>
      <c r="I35" s="15">
        <f t="shared" si="2"/>
        <v>0.17100000000000001</v>
      </c>
      <c r="J35" s="15">
        <f>ROUND(G35/71540-1,2)</f>
        <v>0.08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30590</v>
      </c>
      <c r="F36" s="10"/>
      <c r="G36" s="10">
        <f t="shared" si="0"/>
        <v>30590</v>
      </c>
      <c r="H36" s="16">
        <f t="shared" si="1"/>
        <v>18.34</v>
      </c>
      <c r="I36" s="15">
        <f t="shared" si="2"/>
        <v>6.8000000000000005E-2</v>
      </c>
      <c r="J36" s="15">
        <f>ROUND(G36/34860-1,2)</f>
        <v>-0.12</v>
      </c>
    </row>
    <row r="37" spans="1:10" x14ac:dyDescent="0.25">
      <c r="A37" s="1" t="s">
        <v>48</v>
      </c>
      <c r="B37" s="1" t="s">
        <v>51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27" t="s">
        <v>12</v>
      </c>
      <c r="B38" s="27"/>
      <c r="C38" s="11">
        <f t="shared" ref="C38:H38" si="3">SUM(C8:C37)</f>
        <v>357590</v>
      </c>
      <c r="D38" s="11">
        <f t="shared" si="3"/>
        <v>234</v>
      </c>
      <c r="E38" s="11">
        <f t="shared" si="3"/>
        <v>93022</v>
      </c>
      <c r="F38" s="11">
        <f t="shared" si="3"/>
        <v>1350</v>
      </c>
      <c r="G38" s="11">
        <f t="shared" si="3"/>
        <v>452196</v>
      </c>
      <c r="H38" s="14">
        <f t="shared" si="3"/>
        <v>271.08000000000004</v>
      </c>
      <c r="I38" s="17"/>
      <c r="J38" s="17"/>
    </row>
    <row r="39" spans="1:10" x14ac:dyDescent="0.25">
      <c r="A39" s="27" t="s">
        <v>14</v>
      </c>
      <c r="B39" s="27"/>
      <c r="C39" s="12">
        <f>ROUND(C38/G38,2)</f>
        <v>0.79</v>
      </c>
      <c r="D39" s="12">
        <f>ROUND(D38/G38,2)</f>
        <v>0</v>
      </c>
      <c r="E39" s="12">
        <f>ROUND(E38/G38,2)</f>
        <v>0.21</v>
      </c>
      <c r="F39" s="12">
        <f>ROUND(F38/G38,2)</f>
        <v>0</v>
      </c>
      <c r="G39" s="13"/>
      <c r="H39" s="13"/>
      <c r="I39" s="17"/>
      <c r="J39" s="17"/>
    </row>
    <row r="40" spans="1:10" x14ac:dyDescent="0.25">
      <c r="A40" s="2" t="s">
        <v>52</v>
      </c>
      <c r="B40" s="2"/>
      <c r="C40" s="13"/>
      <c r="D40" s="13"/>
      <c r="E40" s="13"/>
      <c r="F40" s="13"/>
      <c r="G40" s="13"/>
      <c r="H40" s="13"/>
      <c r="I40" s="17"/>
      <c r="J40" s="17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A44" s="27" t="s">
        <v>53</v>
      </c>
      <c r="B44" s="27"/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4" t="s">
        <v>13</v>
      </c>
      <c r="I44" s="17"/>
      <c r="J44" s="17"/>
    </row>
    <row r="45" spans="1:10" x14ac:dyDescent="0.25">
      <c r="A45" s="22" t="s">
        <v>54</v>
      </c>
      <c r="B45" s="22"/>
      <c r="C45" s="10">
        <v>280320</v>
      </c>
      <c r="D45" s="10">
        <v>234</v>
      </c>
      <c r="E45" s="10">
        <v>62432</v>
      </c>
      <c r="F45" s="10">
        <v>1350</v>
      </c>
      <c r="G45" s="10">
        <f>SUM(C45:F45)</f>
        <v>344336</v>
      </c>
      <c r="H45" s="16">
        <f>ROUND(G45/1668,2)</f>
        <v>206.44</v>
      </c>
      <c r="I45" s="9"/>
      <c r="J45" s="9"/>
    </row>
    <row r="46" spans="1:10" x14ac:dyDescent="0.25">
      <c r="A46" s="22" t="s">
        <v>55</v>
      </c>
      <c r="B46" s="22"/>
      <c r="C46" s="10">
        <v>77270</v>
      </c>
      <c r="D46" s="10">
        <v>0</v>
      </c>
      <c r="E46" s="10">
        <v>30590</v>
      </c>
      <c r="F46" s="10">
        <v>0</v>
      </c>
      <c r="G46" s="10">
        <f>SUM(C46:F46)</f>
        <v>107860</v>
      </c>
      <c r="H46" s="16">
        <f>ROUND(G46/1668,2)</f>
        <v>64.66</v>
      </c>
      <c r="I46" s="9"/>
      <c r="J46" s="9"/>
    </row>
    <row r="47" spans="1:10" x14ac:dyDescent="0.25">
      <c r="A47" s="22" t="s">
        <v>56</v>
      </c>
      <c r="B47" s="22"/>
      <c r="C47" s="10">
        <v>0</v>
      </c>
      <c r="D47" s="10">
        <v>0</v>
      </c>
      <c r="E47" s="10">
        <v>0</v>
      </c>
      <c r="F47" s="10">
        <v>0</v>
      </c>
      <c r="G47" s="10">
        <f>SUM(C47:F47)</f>
        <v>0</v>
      </c>
      <c r="H47" s="16">
        <f>ROUND(G47/1668,2)</f>
        <v>0</v>
      </c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57</v>
      </c>
      <c r="B52" s="27"/>
      <c r="C52" s="14" t="s">
        <v>2</v>
      </c>
      <c r="D52" s="14">
        <v>2023</v>
      </c>
      <c r="E52" s="14" t="s">
        <v>59</v>
      </c>
      <c r="F52" s="13"/>
      <c r="G52" s="14" t="s">
        <v>60</v>
      </c>
      <c r="H52" s="14" t="s">
        <v>2</v>
      </c>
      <c r="I52" s="12" t="s">
        <v>61</v>
      </c>
      <c r="J52" s="12" t="s">
        <v>59</v>
      </c>
    </row>
    <row r="53" spans="1:10" x14ac:dyDescent="0.25">
      <c r="A53" s="22" t="s">
        <v>58</v>
      </c>
      <c r="B53" s="22"/>
      <c r="C53" s="15">
        <f>ROUND(0.823, 4)</f>
        <v>0.82299999999999995</v>
      </c>
      <c r="D53" s="15">
        <f>ROUND(0.8246, 4)</f>
        <v>0.8246</v>
      </c>
      <c r="E53" s="15">
        <f>ROUND(0.777, 4)</f>
        <v>0.77700000000000002</v>
      </c>
      <c r="F53" s="8"/>
      <c r="G53" s="14" t="s">
        <v>62</v>
      </c>
      <c r="H53" s="28" t="s">
        <v>63</v>
      </c>
      <c r="I53" s="25" t="s">
        <v>64</v>
      </c>
      <c r="J53" s="25" t="s">
        <v>65</v>
      </c>
    </row>
    <row r="54" spans="1:10" x14ac:dyDescent="0.25">
      <c r="A54" s="22" t="s">
        <v>66</v>
      </c>
      <c r="B54" s="22"/>
      <c r="C54" s="15">
        <f>ROUND(0.809, 4)</f>
        <v>0.80900000000000005</v>
      </c>
      <c r="D54" s="15">
        <f>ROUND(0.8105, 4)</f>
        <v>0.8105</v>
      </c>
      <c r="E54" s="15">
        <f>ROUND(0.7608, 4)</f>
        <v>0.76080000000000003</v>
      </c>
      <c r="F54" s="8"/>
      <c r="G54" s="14" t="s">
        <v>67</v>
      </c>
      <c r="H54" s="29"/>
      <c r="I54" s="26"/>
      <c r="J54" s="26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68</v>
      </c>
      <c r="B58" s="27"/>
      <c r="C58" s="14" t="s">
        <v>2</v>
      </c>
      <c r="D58" s="14" t="s">
        <v>306</v>
      </c>
      <c r="E58" s="14" t="s">
        <v>70</v>
      </c>
      <c r="F58" s="14" t="s">
        <v>71</v>
      </c>
      <c r="G58" s="14" t="s">
        <v>72</v>
      </c>
      <c r="H58" s="13"/>
      <c r="I58" s="17"/>
      <c r="J58" s="17"/>
    </row>
    <row r="59" spans="1:10" x14ac:dyDescent="0.25">
      <c r="A59" s="22" t="s">
        <v>73</v>
      </c>
      <c r="B59" s="22"/>
      <c r="C59" s="16">
        <v>46.32</v>
      </c>
      <c r="D59" s="16">
        <v>41.86</v>
      </c>
      <c r="E59" s="16">
        <v>92.53</v>
      </c>
      <c r="F59" s="16">
        <v>56.06</v>
      </c>
      <c r="G59" s="16">
        <f>12/11*C59</f>
        <v>50.530909090909084</v>
      </c>
      <c r="H59" s="8"/>
      <c r="I59" s="9"/>
      <c r="J59" s="9"/>
    </row>
    <row r="60" spans="1:10" x14ac:dyDescent="0.25">
      <c r="A60" s="22" t="s">
        <v>74</v>
      </c>
      <c r="B60" s="22"/>
      <c r="C60" s="16">
        <v>58.95</v>
      </c>
      <c r="D60" s="16">
        <v>61.59</v>
      </c>
      <c r="E60" s="16">
        <v>61.98</v>
      </c>
      <c r="F60" s="16">
        <v>64.09</v>
      </c>
      <c r="G60" s="16">
        <f>12/11*C60</f>
        <v>64.309090909090912</v>
      </c>
      <c r="H60" s="8"/>
      <c r="I60" s="9"/>
      <c r="J60" s="9"/>
    </row>
    <row r="61" spans="1:10" x14ac:dyDescent="0.25">
      <c r="A61" s="22" t="s">
        <v>75</v>
      </c>
      <c r="B61" s="22"/>
      <c r="C61" s="16">
        <v>206.44</v>
      </c>
      <c r="D61" s="16">
        <v>226.85</v>
      </c>
      <c r="E61" s="16">
        <v>291.51</v>
      </c>
      <c r="F61" s="16">
        <v>284.45</v>
      </c>
      <c r="G61" s="16">
        <f>12/11*C61</f>
        <v>225.20727272727271</v>
      </c>
      <c r="H61" s="8"/>
      <c r="I61" s="9"/>
      <c r="J61" s="9"/>
    </row>
    <row r="62" spans="1:10" x14ac:dyDescent="0.25">
      <c r="A62" s="22" t="s">
        <v>76</v>
      </c>
      <c r="B62" s="22"/>
      <c r="C62" s="16">
        <v>64.66</v>
      </c>
      <c r="D62" s="16">
        <v>60.87</v>
      </c>
      <c r="E62" s="16">
        <v>116.46</v>
      </c>
      <c r="F62" s="16">
        <v>79.959999999999994</v>
      </c>
      <c r="G62" s="16">
        <f>12/11*C62</f>
        <v>70.538181818181812</v>
      </c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3" t="s">
        <v>60</v>
      </c>
      <c r="B65" s="24"/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77</v>
      </c>
      <c r="B66" s="1" t="s">
        <v>307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70</v>
      </c>
      <c r="B67" s="1" t="s">
        <v>79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71</v>
      </c>
      <c r="B68" s="1" t="s">
        <v>80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72</v>
      </c>
      <c r="B69" s="1" t="s">
        <v>81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</sheetData>
  <mergeCells count="19">
    <mergeCell ref="C7:G7"/>
    <mergeCell ref="A38:B38"/>
    <mergeCell ref="A39:B39"/>
    <mergeCell ref="A44:B44"/>
    <mergeCell ref="A45:B45"/>
    <mergeCell ref="J53:J54"/>
    <mergeCell ref="A54:B54"/>
    <mergeCell ref="A58:B58"/>
    <mergeCell ref="A59:B59"/>
    <mergeCell ref="A46:B46"/>
    <mergeCell ref="A47:B47"/>
    <mergeCell ref="A52:B52"/>
    <mergeCell ref="A53:B53"/>
    <mergeCell ref="H53:H54"/>
    <mergeCell ref="A60:B60"/>
    <mergeCell ref="A61:B61"/>
    <mergeCell ref="A62:B62"/>
    <mergeCell ref="A65:B65"/>
    <mergeCell ref="I53:I54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J73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2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308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1311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>
        <v>5340</v>
      </c>
      <c r="D9" s="10">
        <v>73380</v>
      </c>
      <c r="E9" s="10"/>
      <c r="F9" s="10"/>
      <c r="G9" s="10">
        <f t="shared" ref="G9:G41" si="0">SUM(C9:F9)</f>
        <v>78720</v>
      </c>
      <c r="H9" s="16">
        <f t="shared" ref="H9:H41" si="1">ROUND(G9/1311,2)</f>
        <v>60.05</v>
      </c>
      <c r="I9" s="15">
        <f t="shared" ref="I9:I41" si="2">ROUND(G9/$G$42,3)</f>
        <v>7.8E-2</v>
      </c>
      <c r="J9" s="15">
        <f>ROUND(G9/95050-1,2)</f>
        <v>-0.17</v>
      </c>
    </row>
    <row r="10" spans="1:10" x14ac:dyDescent="0.25">
      <c r="A10" s="1" t="s">
        <v>16</v>
      </c>
      <c r="B10" s="1" t="s">
        <v>20</v>
      </c>
      <c r="C10" s="10"/>
      <c r="D10" s="10">
        <v>125560</v>
      </c>
      <c r="E10" s="10">
        <v>7440</v>
      </c>
      <c r="F10" s="10"/>
      <c r="G10" s="10">
        <f t="shared" si="0"/>
        <v>133000</v>
      </c>
      <c r="H10" s="16">
        <f t="shared" si="1"/>
        <v>101.45</v>
      </c>
      <c r="I10" s="15">
        <f t="shared" si="2"/>
        <v>0.13100000000000001</v>
      </c>
      <c r="J10" s="15">
        <f>ROUND(G10/126280-1,2)</f>
        <v>0.05</v>
      </c>
    </row>
    <row r="11" spans="1:10" x14ac:dyDescent="0.25">
      <c r="A11" s="1" t="s">
        <v>16</v>
      </c>
      <c r="B11" s="1" t="s">
        <v>21</v>
      </c>
      <c r="C11" s="10"/>
      <c r="D11" s="10"/>
      <c r="E11" s="10">
        <v>50</v>
      </c>
      <c r="F11" s="10"/>
      <c r="G11" s="10">
        <f t="shared" si="0"/>
        <v>50</v>
      </c>
      <c r="H11" s="16">
        <f t="shared" si="1"/>
        <v>0.04</v>
      </c>
      <c r="I11" s="15">
        <f t="shared" si="2"/>
        <v>0</v>
      </c>
      <c r="J11" s="15"/>
    </row>
    <row r="12" spans="1:10" x14ac:dyDescent="0.25">
      <c r="A12" s="1" t="s">
        <v>16</v>
      </c>
      <c r="B12" s="1" t="s">
        <v>22</v>
      </c>
      <c r="C12" s="10"/>
      <c r="D12" s="10"/>
      <c r="E12" s="10">
        <v>1420</v>
      </c>
      <c r="F12" s="10"/>
      <c r="G12" s="10">
        <f t="shared" si="0"/>
        <v>1420</v>
      </c>
      <c r="H12" s="16">
        <f t="shared" si="1"/>
        <v>1.08</v>
      </c>
      <c r="I12" s="15">
        <f t="shared" si="2"/>
        <v>1E-3</v>
      </c>
      <c r="J12" s="15">
        <f>ROUND(G12/2700-1,2)</f>
        <v>-0.47</v>
      </c>
    </row>
    <row r="13" spans="1:10" x14ac:dyDescent="0.25">
      <c r="A13" s="1" t="s">
        <v>16</v>
      </c>
      <c r="B13" s="1" t="s">
        <v>23</v>
      </c>
      <c r="C13" s="10"/>
      <c r="D13" s="10"/>
      <c r="E13" s="10">
        <v>44120</v>
      </c>
      <c r="F13" s="10"/>
      <c r="G13" s="10">
        <f t="shared" si="0"/>
        <v>44120</v>
      </c>
      <c r="H13" s="16">
        <f t="shared" si="1"/>
        <v>33.65</v>
      </c>
      <c r="I13" s="15">
        <f t="shared" si="2"/>
        <v>4.2999999999999997E-2</v>
      </c>
      <c r="J13" s="15">
        <f>ROUND(G13/8770-1,2)</f>
        <v>4.03</v>
      </c>
    </row>
    <row r="14" spans="1:10" x14ac:dyDescent="0.25">
      <c r="A14" s="1" t="s">
        <v>16</v>
      </c>
      <c r="B14" s="1" t="s">
        <v>24</v>
      </c>
      <c r="C14" s="10"/>
      <c r="D14" s="10">
        <v>117580</v>
      </c>
      <c r="E14" s="10">
        <v>16970</v>
      </c>
      <c r="F14" s="10"/>
      <c r="G14" s="10">
        <f t="shared" si="0"/>
        <v>134550</v>
      </c>
      <c r="H14" s="16">
        <f t="shared" si="1"/>
        <v>102.63</v>
      </c>
      <c r="I14" s="15">
        <f t="shared" si="2"/>
        <v>0.13300000000000001</v>
      </c>
      <c r="J14" s="15">
        <f>ROUND(G14/130040-1,2)</f>
        <v>0.03</v>
      </c>
    </row>
    <row r="15" spans="1:10" x14ac:dyDescent="0.25">
      <c r="A15" s="1" t="s">
        <v>16</v>
      </c>
      <c r="B15" s="1" t="s">
        <v>25</v>
      </c>
      <c r="C15" s="10"/>
      <c r="D15" s="10"/>
      <c r="E15" s="10">
        <v>3600</v>
      </c>
      <c r="F15" s="10"/>
      <c r="G15" s="10">
        <f t="shared" si="0"/>
        <v>3600</v>
      </c>
      <c r="H15" s="16">
        <f t="shared" si="1"/>
        <v>2.75</v>
      </c>
      <c r="I15" s="15">
        <f t="shared" si="2"/>
        <v>4.0000000000000001E-3</v>
      </c>
      <c r="J15" s="15"/>
    </row>
    <row r="16" spans="1:10" x14ac:dyDescent="0.25">
      <c r="A16" s="1" t="s">
        <v>16</v>
      </c>
      <c r="B16" s="1" t="s">
        <v>26</v>
      </c>
      <c r="C16" s="10"/>
      <c r="D16" s="10">
        <v>113400</v>
      </c>
      <c r="E16" s="10"/>
      <c r="F16" s="10"/>
      <c r="G16" s="10">
        <f t="shared" si="0"/>
        <v>113400</v>
      </c>
      <c r="H16" s="16">
        <f t="shared" si="1"/>
        <v>86.5</v>
      </c>
      <c r="I16" s="15">
        <f t="shared" si="2"/>
        <v>0.112</v>
      </c>
      <c r="J16" s="15">
        <f>ROUND(G16/116440-1,2)</f>
        <v>-0.03</v>
      </c>
    </row>
    <row r="17" spans="1:10" x14ac:dyDescent="0.25">
      <c r="A17" s="1" t="s">
        <v>16</v>
      </c>
      <c r="B17" s="1" t="s">
        <v>29</v>
      </c>
      <c r="C17" s="10"/>
      <c r="D17" s="10"/>
      <c r="E17" s="10">
        <v>1890</v>
      </c>
      <c r="F17" s="10"/>
      <c r="G17" s="10">
        <f t="shared" si="0"/>
        <v>1890</v>
      </c>
      <c r="H17" s="16">
        <f t="shared" si="1"/>
        <v>1.44</v>
      </c>
      <c r="I17" s="15">
        <f t="shared" si="2"/>
        <v>2E-3</v>
      </c>
      <c r="J17" s="15">
        <f>ROUND(G17/1580-1,2)</f>
        <v>0.2</v>
      </c>
    </row>
    <row r="18" spans="1:10" x14ac:dyDescent="0.25">
      <c r="A18" s="1" t="s">
        <v>16</v>
      </c>
      <c r="B18" s="1" t="s">
        <v>32</v>
      </c>
      <c r="C18" s="10"/>
      <c r="D18" s="10"/>
      <c r="E18" s="10">
        <v>1060</v>
      </c>
      <c r="F18" s="10"/>
      <c r="G18" s="10">
        <f t="shared" si="0"/>
        <v>1060</v>
      </c>
      <c r="H18" s="16">
        <f t="shared" si="1"/>
        <v>0.81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33</v>
      </c>
      <c r="C19" s="10"/>
      <c r="D19" s="10"/>
      <c r="E19" s="10">
        <v>75</v>
      </c>
      <c r="F19" s="10"/>
      <c r="G19" s="10">
        <f t="shared" si="0"/>
        <v>75</v>
      </c>
      <c r="H19" s="16">
        <f t="shared" si="1"/>
        <v>0.06</v>
      </c>
      <c r="I19" s="15">
        <f t="shared" si="2"/>
        <v>0</v>
      </c>
      <c r="J19" s="15">
        <f>ROUND(G19/255-1,2)</f>
        <v>-0.71</v>
      </c>
    </row>
    <row r="20" spans="1:10" x14ac:dyDescent="0.25">
      <c r="A20" s="1" t="s">
        <v>16</v>
      </c>
      <c r="B20" s="1" t="s">
        <v>34</v>
      </c>
      <c r="C20" s="10"/>
      <c r="D20" s="10"/>
      <c r="E20" s="10">
        <v>300</v>
      </c>
      <c r="F20" s="10"/>
      <c r="G20" s="10">
        <f t="shared" si="0"/>
        <v>300</v>
      </c>
      <c r="H20" s="16">
        <f t="shared" si="1"/>
        <v>0.23</v>
      </c>
      <c r="I20" s="15">
        <f t="shared" si="2"/>
        <v>0</v>
      </c>
      <c r="J20" s="15">
        <f>ROUND(G20/550-1,2)</f>
        <v>-0.45</v>
      </c>
    </row>
    <row r="21" spans="1:10" x14ac:dyDescent="0.25">
      <c r="A21" s="1" t="s">
        <v>16</v>
      </c>
      <c r="B21" s="1" t="s">
        <v>43</v>
      </c>
      <c r="C21" s="10"/>
      <c r="D21" s="10"/>
      <c r="E21" s="10">
        <v>2309</v>
      </c>
      <c r="F21" s="10"/>
      <c r="G21" s="10">
        <f t="shared" si="0"/>
        <v>2309</v>
      </c>
      <c r="H21" s="16">
        <f t="shared" si="1"/>
        <v>1.76</v>
      </c>
      <c r="I21" s="15">
        <f t="shared" si="2"/>
        <v>2E-3</v>
      </c>
      <c r="J21" s="15">
        <f>ROUND(G21/1092-1,2)</f>
        <v>1.1100000000000001</v>
      </c>
    </row>
    <row r="22" spans="1:10" x14ac:dyDescent="0.25">
      <c r="A22" s="1" t="s">
        <v>16</v>
      </c>
      <c r="B22" s="1" t="s">
        <v>37</v>
      </c>
      <c r="C22" s="10"/>
      <c r="D22" s="10"/>
      <c r="E22" s="10">
        <v>2430</v>
      </c>
      <c r="F22" s="10"/>
      <c r="G22" s="10">
        <f t="shared" si="0"/>
        <v>2430</v>
      </c>
      <c r="H22" s="16">
        <f t="shared" si="1"/>
        <v>1.85</v>
      </c>
      <c r="I22" s="15">
        <f t="shared" si="2"/>
        <v>2E-3</v>
      </c>
      <c r="J22" s="15">
        <f>ROUND(G22/4110-1,2)</f>
        <v>-0.41</v>
      </c>
    </row>
    <row r="23" spans="1:10" x14ac:dyDescent="0.25">
      <c r="A23" s="1" t="s">
        <v>16</v>
      </c>
      <c r="B23" s="1" t="s">
        <v>38</v>
      </c>
      <c r="C23" s="10"/>
      <c r="D23" s="10"/>
      <c r="E23" s="10">
        <v>92560</v>
      </c>
      <c r="F23" s="10"/>
      <c r="G23" s="10">
        <f t="shared" si="0"/>
        <v>92560</v>
      </c>
      <c r="H23" s="16">
        <f t="shared" si="1"/>
        <v>70.599999999999994</v>
      </c>
      <c r="I23" s="15">
        <f t="shared" si="2"/>
        <v>9.0999999999999998E-2</v>
      </c>
      <c r="J23" s="15">
        <f>ROUND(G23/39740-1,2)</f>
        <v>1.33</v>
      </c>
    </row>
    <row r="24" spans="1:10" x14ac:dyDescent="0.25">
      <c r="A24" s="1" t="s">
        <v>16</v>
      </c>
      <c r="B24" s="1" t="s">
        <v>39</v>
      </c>
      <c r="C24" s="10"/>
      <c r="D24" s="10"/>
      <c r="E24" s="10">
        <v>5100</v>
      </c>
      <c r="F24" s="10"/>
      <c r="G24" s="10">
        <f t="shared" si="0"/>
        <v>5100</v>
      </c>
      <c r="H24" s="16">
        <f t="shared" si="1"/>
        <v>3.89</v>
      </c>
      <c r="I24" s="15">
        <f t="shared" si="2"/>
        <v>5.0000000000000001E-3</v>
      </c>
      <c r="J24" s="15">
        <f>ROUND(G24/4120-1,2)</f>
        <v>0.24</v>
      </c>
    </row>
    <row r="25" spans="1:10" x14ac:dyDescent="0.25">
      <c r="A25" s="1" t="s">
        <v>16</v>
      </c>
      <c r="B25" s="1" t="s">
        <v>40</v>
      </c>
      <c r="C25" s="10"/>
      <c r="D25" s="10"/>
      <c r="E25" s="10">
        <v>17040</v>
      </c>
      <c r="F25" s="10"/>
      <c r="G25" s="10">
        <f t="shared" si="0"/>
        <v>17040</v>
      </c>
      <c r="H25" s="16">
        <f t="shared" si="1"/>
        <v>13</v>
      </c>
      <c r="I25" s="15">
        <f t="shared" si="2"/>
        <v>1.7000000000000001E-2</v>
      </c>
      <c r="J25" s="15">
        <f>ROUND(G25/3570-1,2)</f>
        <v>3.77</v>
      </c>
    </row>
    <row r="26" spans="1:10" x14ac:dyDescent="0.25">
      <c r="A26" s="1" t="s">
        <v>16</v>
      </c>
      <c r="B26" s="1" t="s">
        <v>41</v>
      </c>
      <c r="C26" s="10"/>
      <c r="D26" s="10"/>
      <c r="E26" s="10">
        <v>18430</v>
      </c>
      <c r="F26" s="10"/>
      <c r="G26" s="10">
        <f t="shared" si="0"/>
        <v>18430</v>
      </c>
      <c r="H26" s="16">
        <f t="shared" si="1"/>
        <v>14.06</v>
      </c>
      <c r="I26" s="15">
        <f t="shared" si="2"/>
        <v>1.7999999999999999E-2</v>
      </c>
      <c r="J26" s="15">
        <f>ROUND(G26/5340-1,2)</f>
        <v>2.4500000000000002</v>
      </c>
    </row>
    <row r="27" spans="1:10" x14ac:dyDescent="0.25">
      <c r="A27" s="1" t="s">
        <v>16</v>
      </c>
      <c r="B27" s="1" t="s">
        <v>18</v>
      </c>
      <c r="C27" s="10"/>
      <c r="D27" s="10"/>
      <c r="E27" s="10"/>
      <c r="F27" s="10"/>
      <c r="G27" s="10">
        <f t="shared" si="0"/>
        <v>0</v>
      </c>
      <c r="H27" s="16">
        <f t="shared" si="1"/>
        <v>0</v>
      </c>
      <c r="I27" s="15">
        <f t="shared" si="2"/>
        <v>0</v>
      </c>
      <c r="J27" s="15">
        <f>ROUND(G27/3160-1,2)</f>
        <v>-1</v>
      </c>
    </row>
    <row r="28" spans="1:10" x14ac:dyDescent="0.25">
      <c r="A28" s="1" t="s">
        <v>16</v>
      </c>
      <c r="B28" s="1" t="s">
        <v>36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ROUND(G28/1450-1,2)</f>
        <v>-1</v>
      </c>
    </row>
    <row r="29" spans="1:10" x14ac:dyDescent="0.25">
      <c r="A29" s="1" t="s">
        <v>16</v>
      </c>
      <c r="B29" s="1" t="s">
        <v>30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ROUND(G29/300-1,2)</f>
        <v>-1</v>
      </c>
    </row>
    <row r="30" spans="1:10" x14ac:dyDescent="0.25">
      <c r="A30" s="1" t="s">
        <v>16</v>
      </c>
      <c r="B30" s="1" t="s">
        <v>35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ROUND(G30/491-1,2)</f>
        <v>-1</v>
      </c>
    </row>
    <row r="31" spans="1:10" x14ac:dyDescent="0.25">
      <c r="A31" s="1" t="s">
        <v>16</v>
      </c>
      <c r="B31" s="1" t="s">
        <v>96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ROUND(G31/77-1,2)</f>
        <v>-1</v>
      </c>
    </row>
    <row r="32" spans="1:10" x14ac:dyDescent="0.25">
      <c r="A32" s="1" t="s">
        <v>16</v>
      </c>
      <c r="B32" s="1" t="s">
        <v>98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ROUND(G32/127-1,2)</f>
        <v>-1</v>
      </c>
    </row>
    <row r="33" spans="1:10" x14ac:dyDescent="0.25">
      <c r="A33" s="1" t="s">
        <v>16</v>
      </c>
      <c r="B33" s="1" t="s">
        <v>116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ROUND(G33/60140-1,2)</f>
        <v>-1</v>
      </c>
    </row>
    <row r="34" spans="1:10" x14ac:dyDescent="0.25">
      <c r="A34" s="1" t="s">
        <v>16</v>
      </c>
      <c r="B34" s="1" t="s">
        <v>42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16</v>
      </c>
      <c r="B35" s="1" t="s">
        <v>31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44</v>
      </c>
      <c r="B36" s="1" t="s">
        <v>45</v>
      </c>
      <c r="C36" s="10"/>
      <c r="D36" s="10">
        <v>336900</v>
      </c>
      <c r="E36" s="10"/>
      <c r="F36" s="10"/>
      <c r="G36" s="10">
        <f t="shared" si="0"/>
        <v>336900</v>
      </c>
      <c r="H36" s="16">
        <f t="shared" si="1"/>
        <v>256.98</v>
      </c>
      <c r="I36" s="15">
        <f t="shared" si="2"/>
        <v>0.33200000000000002</v>
      </c>
      <c r="J36" s="15">
        <f>ROUND(G36/330290-1,2)</f>
        <v>0.02</v>
      </c>
    </row>
    <row r="37" spans="1:10" x14ac:dyDescent="0.25">
      <c r="A37" s="1" t="s">
        <v>44</v>
      </c>
      <c r="B37" s="1" t="s">
        <v>46</v>
      </c>
      <c r="C37" s="10"/>
      <c r="D37" s="10"/>
      <c r="E37" s="10">
        <v>27610</v>
      </c>
      <c r="F37" s="10"/>
      <c r="G37" s="10">
        <f t="shared" si="0"/>
        <v>27610</v>
      </c>
      <c r="H37" s="16">
        <f t="shared" si="1"/>
        <v>21.06</v>
      </c>
      <c r="I37" s="15">
        <f t="shared" si="2"/>
        <v>2.7E-2</v>
      </c>
      <c r="J37" s="15">
        <f>ROUND(G37/23140-1,2)</f>
        <v>0.19</v>
      </c>
    </row>
    <row r="38" spans="1:10" x14ac:dyDescent="0.25">
      <c r="A38" s="1" t="s">
        <v>44</v>
      </c>
      <c r="B38" s="1" t="s">
        <v>47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48</v>
      </c>
      <c r="B39" s="1" t="s">
        <v>49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ROUND(G39/33-1,2)</f>
        <v>-1</v>
      </c>
    </row>
    <row r="40" spans="1:10" x14ac:dyDescent="0.25">
      <c r="A40" s="1" t="s">
        <v>48</v>
      </c>
      <c r="B40" s="1" t="s">
        <v>50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ROUND(G40/196-1,2)</f>
        <v>-1</v>
      </c>
    </row>
    <row r="41" spans="1:10" x14ac:dyDescent="0.25">
      <c r="A41" s="1" t="s">
        <v>48</v>
      </c>
      <c r="B41" s="1" t="s">
        <v>51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27" t="s">
        <v>12</v>
      </c>
      <c r="B42" s="27"/>
      <c r="C42" s="11">
        <f t="shared" ref="C42:H42" si="3">SUM(C8:C41)</f>
        <v>5340</v>
      </c>
      <c r="D42" s="11">
        <f t="shared" si="3"/>
        <v>766820</v>
      </c>
      <c r="E42" s="11">
        <f t="shared" si="3"/>
        <v>242404</v>
      </c>
      <c r="F42" s="11">
        <f t="shared" si="3"/>
        <v>0</v>
      </c>
      <c r="G42" s="11">
        <f t="shared" si="3"/>
        <v>1014564</v>
      </c>
      <c r="H42" s="14">
        <f t="shared" si="3"/>
        <v>773.88999999999987</v>
      </c>
      <c r="I42" s="17"/>
      <c r="J42" s="17"/>
    </row>
    <row r="43" spans="1:10" x14ac:dyDescent="0.25">
      <c r="A43" s="27" t="s">
        <v>14</v>
      </c>
      <c r="B43" s="27"/>
      <c r="C43" s="12">
        <f>ROUND(C42/G42,2)</f>
        <v>0.01</v>
      </c>
      <c r="D43" s="12">
        <f>ROUND(D42/G42,2)</f>
        <v>0.76</v>
      </c>
      <c r="E43" s="12">
        <f>ROUND(E42/G42,2)</f>
        <v>0.24</v>
      </c>
      <c r="F43" s="12">
        <f>ROUND(F42/G42,2)</f>
        <v>0</v>
      </c>
      <c r="G43" s="13"/>
      <c r="H43" s="13"/>
      <c r="I43" s="17"/>
      <c r="J43" s="17"/>
    </row>
    <row r="44" spans="1:10" x14ac:dyDescent="0.25">
      <c r="A44" s="2" t="s">
        <v>52</v>
      </c>
      <c r="B44" s="2"/>
      <c r="C44" s="13"/>
      <c r="D44" s="13"/>
      <c r="E44" s="13"/>
      <c r="F44" s="13"/>
      <c r="G44" s="13"/>
      <c r="H44" s="13"/>
      <c r="I44" s="17"/>
      <c r="J44" s="17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A48" s="27" t="s">
        <v>53</v>
      </c>
      <c r="B48" s="27"/>
      <c r="C48" s="11" t="s">
        <v>8</v>
      </c>
      <c r="D48" s="11" t="s">
        <v>9</v>
      </c>
      <c r="E48" s="11" t="s">
        <v>10</v>
      </c>
      <c r="F48" s="11" t="s">
        <v>11</v>
      </c>
      <c r="G48" s="11" t="s">
        <v>12</v>
      </c>
      <c r="H48" s="14" t="s">
        <v>13</v>
      </c>
      <c r="I48" s="17"/>
      <c r="J48" s="17"/>
    </row>
    <row r="49" spans="1:10" x14ac:dyDescent="0.25">
      <c r="A49" s="22" t="s">
        <v>54</v>
      </c>
      <c r="B49" s="22"/>
      <c r="C49" s="10">
        <v>5340</v>
      </c>
      <c r="D49" s="10">
        <v>429920</v>
      </c>
      <c r="E49" s="10">
        <v>214794</v>
      </c>
      <c r="F49" s="10">
        <v>0</v>
      </c>
      <c r="G49" s="10">
        <f>SUM(C49:F49)</f>
        <v>650054</v>
      </c>
      <c r="H49" s="16">
        <f>ROUND(G49/1311,2)</f>
        <v>495.85</v>
      </c>
      <c r="I49" s="9"/>
      <c r="J49" s="9"/>
    </row>
    <row r="50" spans="1:10" x14ac:dyDescent="0.25">
      <c r="A50" s="22" t="s">
        <v>55</v>
      </c>
      <c r="B50" s="22"/>
      <c r="C50" s="10">
        <v>0</v>
      </c>
      <c r="D50" s="10">
        <v>336900</v>
      </c>
      <c r="E50" s="10">
        <v>27610</v>
      </c>
      <c r="F50" s="10">
        <v>0</v>
      </c>
      <c r="G50" s="10">
        <f>SUM(C50:F50)</f>
        <v>364510</v>
      </c>
      <c r="H50" s="16">
        <f>ROUND(G50/1311,2)</f>
        <v>278.04000000000002</v>
      </c>
      <c r="I50" s="9"/>
      <c r="J50" s="9"/>
    </row>
    <row r="51" spans="1:10" x14ac:dyDescent="0.25">
      <c r="A51" s="22" t="s">
        <v>56</v>
      </c>
      <c r="B51" s="22"/>
      <c r="C51" s="10">
        <v>0</v>
      </c>
      <c r="D51" s="10">
        <v>0</v>
      </c>
      <c r="E51" s="10">
        <v>0</v>
      </c>
      <c r="F51" s="10">
        <v>0</v>
      </c>
      <c r="G51" s="10">
        <f>SUM(C51:F51)</f>
        <v>0</v>
      </c>
      <c r="H51" s="16">
        <f>ROUND(G51/1311,2)</f>
        <v>0</v>
      </c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A56" s="27" t="s">
        <v>57</v>
      </c>
      <c r="B56" s="27"/>
      <c r="C56" s="14" t="s">
        <v>2</v>
      </c>
      <c r="D56" s="14">
        <v>2023</v>
      </c>
      <c r="E56" s="14" t="s">
        <v>59</v>
      </c>
      <c r="F56" s="13"/>
      <c r="G56" s="14" t="s">
        <v>60</v>
      </c>
      <c r="H56" s="14" t="s">
        <v>2</v>
      </c>
      <c r="I56" s="12" t="s">
        <v>61</v>
      </c>
      <c r="J56" s="12" t="s">
        <v>59</v>
      </c>
    </row>
    <row r="57" spans="1:10" x14ac:dyDescent="0.25">
      <c r="A57" s="22" t="s">
        <v>58</v>
      </c>
      <c r="B57" s="22"/>
      <c r="C57" s="15">
        <f>ROUND(0.6493, 4)</f>
        <v>0.64929999999999999</v>
      </c>
      <c r="D57" s="15">
        <f>ROUND(0.6459, 4)</f>
        <v>0.64590000000000003</v>
      </c>
      <c r="E57" s="15">
        <f>ROUND(0.777, 4)</f>
        <v>0.77700000000000002</v>
      </c>
      <c r="F57" s="8"/>
      <c r="G57" s="14" t="s">
        <v>62</v>
      </c>
      <c r="H57" s="28" t="s">
        <v>63</v>
      </c>
      <c r="I57" s="25" t="s">
        <v>64</v>
      </c>
      <c r="J57" s="25" t="s">
        <v>65</v>
      </c>
    </row>
    <row r="58" spans="1:10" x14ac:dyDescent="0.25">
      <c r="A58" s="22" t="s">
        <v>66</v>
      </c>
      <c r="B58" s="22"/>
      <c r="C58" s="15">
        <f>ROUND(0.6191, 4)</f>
        <v>0.61909999999999998</v>
      </c>
      <c r="D58" s="15">
        <f>ROUND(0.6087, 4)</f>
        <v>0.60870000000000002</v>
      </c>
      <c r="E58" s="15">
        <f>ROUND(0.7608, 4)</f>
        <v>0.76080000000000003</v>
      </c>
      <c r="F58" s="8"/>
      <c r="G58" s="14" t="s">
        <v>67</v>
      </c>
      <c r="H58" s="29"/>
      <c r="I58" s="26"/>
      <c r="J58" s="26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68</v>
      </c>
      <c r="B62" s="27"/>
      <c r="C62" s="14" t="s">
        <v>2</v>
      </c>
      <c r="D62" s="14" t="s">
        <v>309</v>
      </c>
      <c r="E62" s="14" t="s">
        <v>70</v>
      </c>
      <c r="F62" s="14" t="s">
        <v>71</v>
      </c>
      <c r="G62" s="14" t="s">
        <v>72</v>
      </c>
      <c r="H62" s="13"/>
      <c r="I62" s="17"/>
      <c r="J62" s="17"/>
    </row>
    <row r="63" spans="1:10" x14ac:dyDescent="0.25">
      <c r="A63" s="22" t="s">
        <v>73</v>
      </c>
      <c r="B63" s="22"/>
      <c r="C63" s="16">
        <v>256.98</v>
      </c>
      <c r="D63" s="16">
        <v>252.81</v>
      </c>
      <c r="E63" s="16">
        <v>92.53</v>
      </c>
      <c r="F63" s="16">
        <v>56.06</v>
      </c>
      <c r="G63" s="16">
        <f>12/11*C63</f>
        <v>280.34181818181816</v>
      </c>
      <c r="H63" s="8"/>
      <c r="I63" s="9"/>
      <c r="J63" s="9"/>
    </row>
    <row r="64" spans="1:10" x14ac:dyDescent="0.25">
      <c r="A64" s="22" t="s">
        <v>74</v>
      </c>
      <c r="B64" s="22"/>
      <c r="C64" s="16">
        <v>86.5</v>
      </c>
      <c r="D64" s="16">
        <v>93.67</v>
      </c>
      <c r="E64" s="16">
        <v>61.98</v>
      </c>
      <c r="F64" s="16">
        <v>64.09</v>
      </c>
      <c r="G64" s="16">
        <f>12/11*C64</f>
        <v>94.36363636363636</v>
      </c>
      <c r="H64" s="8"/>
      <c r="I64" s="9"/>
      <c r="J64" s="9"/>
    </row>
    <row r="65" spans="1:10" x14ac:dyDescent="0.25">
      <c r="A65" s="22" t="s">
        <v>75</v>
      </c>
      <c r="B65" s="22"/>
      <c r="C65" s="16">
        <v>495.85</v>
      </c>
      <c r="D65" s="16">
        <v>502.37</v>
      </c>
      <c r="E65" s="16">
        <v>291.51</v>
      </c>
      <c r="F65" s="16">
        <v>284.45</v>
      </c>
      <c r="G65" s="16">
        <f>12/11*C65</f>
        <v>540.92727272727268</v>
      </c>
      <c r="H65" s="8"/>
      <c r="I65" s="9"/>
      <c r="J65" s="9"/>
    </row>
    <row r="66" spans="1:10" x14ac:dyDescent="0.25">
      <c r="A66" s="22" t="s">
        <v>76</v>
      </c>
      <c r="B66" s="22"/>
      <c r="C66" s="16">
        <v>278.04000000000002</v>
      </c>
      <c r="D66" s="16">
        <v>280.55</v>
      </c>
      <c r="E66" s="16">
        <v>116.46</v>
      </c>
      <c r="F66" s="16">
        <v>79.959999999999994</v>
      </c>
      <c r="G66" s="16">
        <f>12/11*C66</f>
        <v>303.31636363636363</v>
      </c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23" t="s">
        <v>60</v>
      </c>
      <c r="B69" s="24"/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77</v>
      </c>
      <c r="B70" s="1" t="s">
        <v>310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70</v>
      </c>
      <c r="B71" s="1" t="s">
        <v>79</v>
      </c>
    </row>
    <row r="72" spans="1:10" x14ac:dyDescent="0.25">
      <c r="A72" s="3" t="s">
        <v>71</v>
      </c>
      <c r="B72" s="1" t="s">
        <v>80</v>
      </c>
    </row>
    <row r="73" spans="1:10" x14ac:dyDescent="0.25">
      <c r="A73" s="3" t="s">
        <v>72</v>
      </c>
      <c r="B73" s="1" t="s">
        <v>81</v>
      </c>
    </row>
  </sheetData>
  <mergeCells count="19">
    <mergeCell ref="C7:G7"/>
    <mergeCell ref="A42:B42"/>
    <mergeCell ref="A43:B43"/>
    <mergeCell ref="A48:B48"/>
    <mergeCell ref="A49:B49"/>
    <mergeCell ref="J57:J58"/>
    <mergeCell ref="A58:B58"/>
    <mergeCell ref="A62:B62"/>
    <mergeCell ref="A63:B63"/>
    <mergeCell ref="A50:B50"/>
    <mergeCell ref="A51:B51"/>
    <mergeCell ref="A56:B56"/>
    <mergeCell ref="A57:B57"/>
    <mergeCell ref="H57:H58"/>
    <mergeCell ref="A64:B64"/>
    <mergeCell ref="A65:B65"/>
    <mergeCell ref="A66:B66"/>
    <mergeCell ref="A69:B69"/>
    <mergeCell ref="I57:I58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J76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0.71093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311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392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>
        <v>23390</v>
      </c>
      <c r="D9" s="10"/>
      <c r="E9" s="10"/>
      <c r="F9" s="10"/>
      <c r="G9" s="10">
        <f t="shared" ref="G9:G38" si="0">SUM(C9:F9)</f>
        <v>23390</v>
      </c>
      <c r="H9" s="16">
        <f t="shared" ref="H9:H38" si="1">ROUND(G9/392,2)</f>
        <v>59.67</v>
      </c>
      <c r="I9" s="15">
        <f t="shared" ref="I9:I38" si="2">ROUND(G9/$G$39,3)</f>
        <v>9.4E-2</v>
      </c>
      <c r="J9" s="15">
        <f>ROUND(G9/25160-1,2)</f>
        <v>-7.0000000000000007E-2</v>
      </c>
    </row>
    <row r="10" spans="1:10" x14ac:dyDescent="0.25">
      <c r="A10" s="1" t="s">
        <v>16</v>
      </c>
      <c r="B10" s="1" t="s">
        <v>20</v>
      </c>
      <c r="C10" s="10">
        <v>50545</v>
      </c>
      <c r="D10" s="10"/>
      <c r="E10" s="10"/>
      <c r="F10" s="10"/>
      <c r="G10" s="10">
        <f t="shared" si="0"/>
        <v>50545</v>
      </c>
      <c r="H10" s="16">
        <f t="shared" si="1"/>
        <v>128.94</v>
      </c>
      <c r="I10" s="15">
        <f t="shared" si="2"/>
        <v>0.20300000000000001</v>
      </c>
      <c r="J10" s="15">
        <f>ROUND(G10/45210-1,2)</f>
        <v>0.12</v>
      </c>
    </row>
    <row r="11" spans="1:10" x14ac:dyDescent="0.25">
      <c r="A11" s="1" t="s">
        <v>16</v>
      </c>
      <c r="B11" s="1" t="s">
        <v>23</v>
      </c>
      <c r="C11" s="10"/>
      <c r="D11" s="10"/>
      <c r="E11" s="10">
        <v>7660</v>
      </c>
      <c r="F11" s="10"/>
      <c r="G11" s="10">
        <f t="shared" si="0"/>
        <v>7660</v>
      </c>
      <c r="H11" s="16">
        <f t="shared" si="1"/>
        <v>19.54</v>
      </c>
      <c r="I11" s="15">
        <f t="shared" si="2"/>
        <v>3.1E-2</v>
      </c>
      <c r="J11" s="15">
        <f>ROUND(G11/18420-1,2)</f>
        <v>-0.57999999999999996</v>
      </c>
    </row>
    <row r="12" spans="1:10" x14ac:dyDescent="0.25">
      <c r="A12" s="1" t="s">
        <v>16</v>
      </c>
      <c r="B12" s="1" t="s">
        <v>24</v>
      </c>
      <c r="C12" s="10">
        <v>39240</v>
      </c>
      <c r="D12" s="10"/>
      <c r="E12" s="10"/>
      <c r="F12" s="10">
        <v>100</v>
      </c>
      <c r="G12" s="10">
        <f t="shared" si="0"/>
        <v>39340</v>
      </c>
      <c r="H12" s="16">
        <f t="shared" si="1"/>
        <v>100.36</v>
      </c>
      <c r="I12" s="15">
        <f t="shared" si="2"/>
        <v>0.158</v>
      </c>
      <c r="J12" s="15">
        <f>ROUND(G12/35010-1,2)</f>
        <v>0.12</v>
      </c>
    </row>
    <row r="13" spans="1:10" x14ac:dyDescent="0.25">
      <c r="A13" s="1" t="s">
        <v>16</v>
      </c>
      <c r="B13" s="1" t="s">
        <v>26</v>
      </c>
      <c r="C13" s="10">
        <v>31320</v>
      </c>
      <c r="D13" s="10"/>
      <c r="E13" s="10"/>
      <c r="F13" s="10">
        <v>1100</v>
      </c>
      <c r="G13" s="10">
        <f t="shared" si="0"/>
        <v>32420</v>
      </c>
      <c r="H13" s="16">
        <f t="shared" si="1"/>
        <v>82.7</v>
      </c>
      <c r="I13" s="15">
        <f t="shared" si="2"/>
        <v>0.13</v>
      </c>
      <c r="J13" s="15">
        <f>ROUND(G13/39000-1,2)</f>
        <v>-0.17</v>
      </c>
    </row>
    <row r="14" spans="1:10" x14ac:dyDescent="0.25">
      <c r="A14" s="1" t="s">
        <v>16</v>
      </c>
      <c r="B14" s="1" t="s">
        <v>27</v>
      </c>
      <c r="C14" s="10"/>
      <c r="D14" s="10"/>
      <c r="E14" s="10">
        <v>44</v>
      </c>
      <c r="F14" s="10"/>
      <c r="G14" s="10">
        <f t="shared" si="0"/>
        <v>44</v>
      </c>
      <c r="H14" s="16">
        <f t="shared" si="1"/>
        <v>0.11</v>
      </c>
      <c r="I14" s="15">
        <f t="shared" si="2"/>
        <v>0</v>
      </c>
      <c r="J14" s="15"/>
    </row>
    <row r="15" spans="1:10" x14ac:dyDescent="0.25">
      <c r="A15" s="1" t="s">
        <v>16</v>
      </c>
      <c r="B15" s="1" t="s">
        <v>28</v>
      </c>
      <c r="C15" s="10"/>
      <c r="D15" s="10"/>
      <c r="E15" s="10">
        <v>20</v>
      </c>
      <c r="F15" s="10"/>
      <c r="G15" s="10">
        <f t="shared" si="0"/>
        <v>20</v>
      </c>
      <c r="H15" s="16">
        <f t="shared" si="1"/>
        <v>0.05</v>
      </c>
      <c r="I15" s="15">
        <f t="shared" si="2"/>
        <v>0</v>
      </c>
      <c r="J15" s="15"/>
    </row>
    <row r="16" spans="1:10" x14ac:dyDescent="0.25">
      <c r="A16" s="1" t="s">
        <v>16</v>
      </c>
      <c r="B16" s="1" t="s">
        <v>33</v>
      </c>
      <c r="C16" s="10"/>
      <c r="D16" s="10"/>
      <c r="E16" s="10">
        <v>48</v>
      </c>
      <c r="F16" s="10"/>
      <c r="G16" s="10">
        <f t="shared" si="0"/>
        <v>48</v>
      </c>
      <c r="H16" s="16">
        <f t="shared" si="1"/>
        <v>0.12</v>
      </c>
      <c r="I16" s="15">
        <f t="shared" si="2"/>
        <v>0</v>
      </c>
      <c r="J16" s="15"/>
    </row>
    <row r="17" spans="1:10" x14ac:dyDescent="0.25">
      <c r="A17" s="1" t="s">
        <v>16</v>
      </c>
      <c r="B17" s="1" t="s">
        <v>38</v>
      </c>
      <c r="C17" s="10"/>
      <c r="D17" s="10"/>
      <c r="E17" s="10">
        <v>12640</v>
      </c>
      <c r="F17" s="10"/>
      <c r="G17" s="10">
        <f t="shared" si="0"/>
        <v>12640</v>
      </c>
      <c r="H17" s="16">
        <f t="shared" si="1"/>
        <v>32.24</v>
      </c>
      <c r="I17" s="15">
        <f t="shared" si="2"/>
        <v>5.0999999999999997E-2</v>
      </c>
      <c r="J17" s="15">
        <f>ROUND(G17/17370-1,2)</f>
        <v>-0.27</v>
      </c>
    </row>
    <row r="18" spans="1:10" x14ac:dyDescent="0.25">
      <c r="A18" s="1" t="s">
        <v>16</v>
      </c>
      <c r="B18" s="1" t="s">
        <v>40</v>
      </c>
      <c r="C18" s="10"/>
      <c r="D18" s="10"/>
      <c r="E18" s="10">
        <v>7860</v>
      </c>
      <c r="F18" s="10"/>
      <c r="G18" s="10">
        <f t="shared" si="0"/>
        <v>7860</v>
      </c>
      <c r="H18" s="16">
        <f t="shared" si="1"/>
        <v>20.05</v>
      </c>
      <c r="I18" s="15">
        <f t="shared" si="2"/>
        <v>3.2000000000000001E-2</v>
      </c>
      <c r="J18" s="15">
        <f>ROUND(G18/4830-1,2)</f>
        <v>0.63</v>
      </c>
    </row>
    <row r="19" spans="1:10" x14ac:dyDescent="0.25">
      <c r="A19" s="1" t="s">
        <v>16</v>
      </c>
      <c r="B19" s="1" t="s">
        <v>42</v>
      </c>
      <c r="C19" s="10"/>
      <c r="D19" s="10"/>
      <c r="E19" s="10"/>
      <c r="F19" s="10"/>
      <c r="G19" s="10">
        <f t="shared" si="0"/>
        <v>0</v>
      </c>
      <c r="H19" s="16">
        <f t="shared" si="1"/>
        <v>0</v>
      </c>
      <c r="I19" s="15">
        <f t="shared" si="2"/>
        <v>0</v>
      </c>
      <c r="J19" s="15"/>
    </row>
    <row r="20" spans="1:10" x14ac:dyDescent="0.25">
      <c r="A20" s="1" t="s">
        <v>16</v>
      </c>
      <c r="B20" s="1" t="s">
        <v>29</v>
      </c>
      <c r="C20" s="10"/>
      <c r="D20" s="10"/>
      <c r="E20" s="10"/>
      <c r="F20" s="10"/>
      <c r="G20" s="10">
        <f t="shared" si="0"/>
        <v>0</v>
      </c>
      <c r="H20" s="16">
        <f t="shared" si="1"/>
        <v>0</v>
      </c>
      <c r="I20" s="15">
        <f t="shared" si="2"/>
        <v>0</v>
      </c>
      <c r="J20" s="15">
        <f>ROUND(G20/1460-1,2)</f>
        <v>-1</v>
      </c>
    </row>
    <row r="21" spans="1:10" x14ac:dyDescent="0.25">
      <c r="A21" s="1" t="s">
        <v>16</v>
      </c>
      <c r="B21" s="1" t="s">
        <v>37</v>
      </c>
      <c r="C21" s="10"/>
      <c r="D21" s="10"/>
      <c r="E21" s="10"/>
      <c r="F21" s="10"/>
      <c r="G21" s="10">
        <f t="shared" si="0"/>
        <v>0</v>
      </c>
      <c r="H21" s="16">
        <f t="shared" si="1"/>
        <v>0</v>
      </c>
      <c r="I21" s="15">
        <f t="shared" si="2"/>
        <v>0</v>
      </c>
      <c r="J21" s="15">
        <f>ROUND(G21/1720-1,2)</f>
        <v>-1</v>
      </c>
    </row>
    <row r="22" spans="1:10" x14ac:dyDescent="0.25">
      <c r="A22" s="1" t="s">
        <v>16</v>
      </c>
      <c r="B22" s="1" t="s">
        <v>43</v>
      </c>
      <c r="C22" s="10"/>
      <c r="D22" s="10"/>
      <c r="E22" s="10"/>
      <c r="F22" s="10"/>
      <c r="G22" s="10">
        <f t="shared" si="0"/>
        <v>0</v>
      </c>
      <c r="H22" s="16">
        <f t="shared" si="1"/>
        <v>0</v>
      </c>
      <c r="I22" s="15">
        <f t="shared" si="2"/>
        <v>0</v>
      </c>
      <c r="J22" s="15">
        <f>ROUND(G22/1840-1,2)</f>
        <v>-1</v>
      </c>
    </row>
    <row r="23" spans="1:10" x14ac:dyDescent="0.25">
      <c r="A23" s="1" t="s">
        <v>16</v>
      </c>
      <c r="B23" s="1" t="s">
        <v>30</v>
      </c>
      <c r="C23" s="10"/>
      <c r="D23" s="10"/>
      <c r="E23" s="10"/>
      <c r="F23" s="10"/>
      <c r="G23" s="10">
        <f t="shared" si="0"/>
        <v>0</v>
      </c>
      <c r="H23" s="16">
        <f t="shared" si="1"/>
        <v>0</v>
      </c>
      <c r="I23" s="15">
        <f t="shared" si="2"/>
        <v>0</v>
      </c>
      <c r="J23" s="15">
        <f>ROUND(G23/200-1,2)</f>
        <v>-1</v>
      </c>
    </row>
    <row r="24" spans="1:10" x14ac:dyDescent="0.25">
      <c r="A24" s="1" t="s">
        <v>16</v>
      </c>
      <c r="B24" s="1" t="s">
        <v>41</v>
      </c>
      <c r="C24" s="10"/>
      <c r="D24" s="10"/>
      <c r="E24" s="10"/>
      <c r="F24" s="10"/>
      <c r="G24" s="10">
        <f t="shared" si="0"/>
        <v>0</v>
      </c>
      <c r="H24" s="16">
        <f t="shared" si="1"/>
        <v>0</v>
      </c>
      <c r="I24" s="15">
        <f t="shared" si="2"/>
        <v>0</v>
      </c>
      <c r="J24" s="15">
        <f>ROUND(G24/1460-1,2)</f>
        <v>-1</v>
      </c>
    </row>
    <row r="25" spans="1:10" x14ac:dyDescent="0.25">
      <c r="A25" s="1" t="s">
        <v>16</v>
      </c>
      <c r="B25" s="1" t="s">
        <v>98</v>
      </c>
      <c r="C25" s="10"/>
      <c r="D25" s="10"/>
      <c r="E25" s="10"/>
      <c r="F25" s="10"/>
      <c r="G25" s="10">
        <f t="shared" si="0"/>
        <v>0</v>
      </c>
      <c r="H25" s="16">
        <f t="shared" si="1"/>
        <v>0</v>
      </c>
      <c r="I25" s="15">
        <f t="shared" si="2"/>
        <v>0</v>
      </c>
      <c r="J25" s="15">
        <f>ROUND(G25/100-1,2)</f>
        <v>-1</v>
      </c>
    </row>
    <row r="26" spans="1:10" x14ac:dyDescent="0.25">
      <c r="A26" s="1" t="s">
        <v>16</v>
      </c>
      <c r="B26" s="1" t="s">
        <v>36</v>
      </c>
      <c r="C26" s="10"/>
      <c r="D26" s="10"/>
      <c r="E26" s="10"/>
      <c r="F26" s="10"/>
      <c r="G26" s="10">
        <f t="shared" si="0"/>
        <v>0</v>
      </c>
      <c r="H26" s="16">
        <f t="shared" si="1"/>
        <v>0</v>
      </c>
      <c r="I26" s="15">
        <f t="shared" si="2"/>
        <v>0</v>
      </c>
      <c r="J26" s="15">
        <f>ROUND(G26/710-1,2)</f>
        <v>-1</v>
      </c>
    </row>
    <row r="27" spans="1:10" x14ac:dyDescent="0.25">
      <c r="A27" s="1" t="s">
        <v>16</v>
      </c>
      <c r="B27" s="1" t="s">
        <v>25</v>
      </c>
      <c r="C27" s="10"/>
      <c r="D27" s="10"/>
      <c r="E27" s="10"/>
      <c r="F27" s="10"/>
      <c r="G27" s="10">
        <f t="shared" si="0"/>
        <v>0</v>
      </c>
      <c r="H27" s="16">
        <f t="shared" si="1"/>
        <v>0</v>
      </c>
      <c r="I27" s="15">
        <f t="shared" si="2"/>
        <v>0</v>
      </c>
      <c r="J27" s="15">
        <f>ROUND(G27/1390-1,2)</f>
        <v>-1</v>
      </c>
    </row>
    <row r="28" spans="1:10" x14ac:dyDescent="0.25">
      <c r="A28" s="1" t="s">
        <v>16</v>
      </c>
      <c r="B28" s="1" t="s">
        <v>21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ROUND(G28/310-1,2)</f>
        <v>-1</v>
      </c>
    </row>
    <row r="29" spans="1:10" x14ac:dyDescent="0.25">
      <c r="A29" s="1" t="s">
        <v>16</v>
      </c>
      <c r="B29" s="1" t="s">
        <v>32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ROUND(G29/545-1,2)</f>
        <v>-1</v>
      </c>
    </row>
    <row r="30" spans="1:10" x14ac:dyDescent="0.25">
      <c r="A30" s="1" t="s">
        <v>16</v>
      </c>
      <c r="B30" s="1" t="s">
        <v>120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/>
    </row>
    <row r="31" spans="1:10" x14ac:dyDescent="0.25">
      <c r="A31" s="1" t="s">
        <v>16</v>
      </c>
      <c r="B31" s="1" t="s">
        <v>22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/>
    </row>
    <row r="32" spans="1:10" x14ac:dyDescent="0.25">
      <c r="A32" s="1" t="s">
        <v>16</v>
      </c>
      <c r="B32" s="1" t="s">
        <v>31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35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39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44</v>
      </c>
      <c r="B35" s="1" t="s">
        <v>45</v>
      </c>
      <c r="C35" s="10">
        <v>63520</v>
      </c>
      <c r="D35" s="10"/>
      <c r="E35" s="10"/>
      <c r="F35" s="10">
        <v>80</v>
      </c>
      <c r="G35" s="10">
        <f t="shared" si="0"/>
        <v>63600</v>
      </c>
      <c r="H35" s="16">
        <f t="shared" si="1"/>
        <v>162.24</v>
      </c>
      <c r="I35" s="15">
        <f t="shared" si="2"/>
        <v>0.25600000000000001</v>
      </c>
      <c r="J35" s="15">
        <f>ROUND(G35/73880-1,2)</f>
        <v>-0.14000000000000001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10890</v>
      </c>
      <c r="F36" s="10"/>
      <c r="G36" s="10">
        <f t="shared" si="0"/>
        <v>10890</v>
      </c>
      <c r="H36" s="16">
        <f t="shared" si="1"/>
        <v>27.78</v>
      </c>
      <c r="I36" s="15">
        <f t="shared" si="2"/>
        <v>4.3999999999999997E-2</v>
      </c>
      <c r="J36" s="15">
        <f>ROUND(G36/8930-1,2)</f>
        <v>0.22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ROUND(G37/9820-1,2)</f>
        <v>-1</v>
      </c>
    </row>
    <row r="38" spans="1:10" x14ac:dyDescent="0.25">
      <c r="A38" s="1" t="s">
        <v>48</v>
      </c>
      <c r="B38" s="1" t="s">
        <v>51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ROUND(G38/4-1,2)</f>
        <v>-1</v>
      </c>
    </row>
    <row r="39" spans="1:10" x14ac:dyDescent="0.25">
      <c r="A39" s="27" t="s">
        <v>12</v>
      </c>
      <c r="B39" s="27"/>
      <c r="C39" s="11">
        <f t="shared" ref="C39:H39" si="3">SUM(C8:C38)</f>
        <v>208015</v>
      </c>
      <c r="D39" s="11">
        <f t="shared" si="3"/>
        <v>0</v>
      </c>
      <c r="E39" s="11">
        <f t="shared" si="3"/>
        <v>39162</v>
      </c>
      <c r="F39" s="11">
        <f t="shared" si="3"/>
        <v>1280</v>
      </c>
      <c r="G39" s="11">
        <f t="shared" si="3"/>
        <v>248457</v>
      </c>
      <c r="H39" s="14">
        <f t="shared" si="3"/>
        <v>633.79999999999995</v>
      </c>
      <c r="I39" s="17"/>
      <c r="J39" s="17"/>
    </row>
    <row r="40" spans="1:10" x14ac:dyDescent="0.25">
      <c r="A40" s="27" t="s">
        <v>14</v>
      </c>
      <c r="B40" s="27"/>
      <c r="C40" s="12">
        <f>ROUND(C39/G39,2)</f>
        <v>0.84</v>
      </c>
      <c r="D40" s="12">
        <f>ROUND(D39/G39,2)</f>
        <v>0</v>
      </c>
      <c r="E40" s="12">
        <f>ROUND(E39/G39,2)</f>
        <v>0.16</v>
      </c>
      <c r="F40" s="12">
        <f>ROUND(F39/G39,2)</f>
        <v>0.01</v>
      </c>
      <c r="G40" s="13"/>
      <c r="H40" s="13"/>
      <c r="I40" s="17"/>
      <c r="J40" s="17"/>
    </row>
    <row r="41" spans="1:10" x14ac:dyDescent="0.25">
      <c r="A41" s="2" t="s">
        <v>52</v>
      </c>
      <c r="B41" s="2"/>
      <c r="C41" s="13"/>
      <c r="D41" s="13"/>
      <c r="E41" s="13"/>
      <c r="F41" s="13"/>
      <c r="G41" s="13"/>
      <c r="H41" s="13"/>
      <c r="I41" s="17"/>
      <c r="J41" s="17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A45" s="27" t="s">
        <v>53</v>
      </c>
      <c r="B45" s="27"/>
      <c r="C45" s="11" t="s">
        <v>8</v>
      </c>
      <c r="D45" s="11" t="s">
        <v>9</v>
      </c>
      <c r="E45" s="11" t="s">
        <v>10</v>
      </c>
      <c r="F45" s="11" t="s">
        <v>11</v>
      </c>
      <c r="G45" s="11" t="s">
        <v>12</v>
      </c>
      <c r="H45" s="14" t="s">
        <v>13</v>
      </c>
      <c r="I45" s="17"/>
      <c r="J45" s="17"/>
    </row>
    <row r="46" spans="1:10" x14ac:dyDescent="0.25">
      <c r="A46" s="22" t="s">
        <v>54</v>
      </c>
      <c r="B46" s="22"/>
      <c r="C46" s="10">
        <v>144495</v>
      </c>
      <c r="D46" s="10">
        <v>0</v>
      </c>
      <c r="E46" s="10">
        <v>28272</v>
      </c>
      <c r="F46" s="10">
        <v>1200</v>
      </c>
      <c r="G46" s="10">
        <f>SUM(C46:F46)</f>
        <v>173967</v>
      </c>
      <c r="H46" s="16">
        <f>ROUND(G46/392,2)</f>
        <v>443.79</v>
      </c>
      <c r="I46" s="9"/>
      <c r="J46" s="9"/>
    </row>
    <row r="47" spans="1:10" x14ac:dyDescent="0.25">
      <c r="A47" s="22" t="s">
        <v>55</v>
      </c>
      <c r="B47" s="22"/>
      <c r="C47" s="10">
        <v>63520</v>
      </c>
      <c r="D47" s="10">
        <v>0</v>
      </c>
      <c r="E47" s="10">
        <v>10890</v>
      </c>
      <c r="F47" s="10">
        <v>80</v>
      </c>
      <c r="G47" s="10">
        <f>SUM(C47:F47)</f>
        <v>74490</v>
      </c>
      <c r="H47" s="16">
        <f>ROUND(G47/392,2)</f>
        <v>190.03</v>
      </c>
      <c r="I47" s="9"/>
      <c r="J47" s="9"/>
    </row>
    <row r="48" spans="1:10" x14ac:dyDescent="0.25">
      <c r="A48" s="22" t="s">
        <v>56</v>
      </c>
      <c r="B48" s="22"/>
      <c r="C48" s="10">
        <v>0</v>
      </c>
      <c r="D48" s="10">
        <v>0</v>
      </c>
      <c r="E48" s="10">
        <v>0</v>
      </c>
      <c r="F48" s="10">
        <v>0</v>
      </c>
      <c r="G48" s="10">
        <f>SUM(C48:F48)</f>
        <v>0</v>
      </c>
      <c r="H48" s="16">
        <f>ROUND(G48/392,2)</f>
        <v>0</v>
      </c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A53" s="27" t="s">
        <v>57</v>
      </c>
      <c r="B53" s="27"/>
      <c r="C53" s="14" t="s">
        <v>2</v>
      </c>
      <c r="D53" s="14">
        <v>2023</v>
      </c>
      <c r="E53" s="14" t="s">
        <v>59</v>
      </c>
      <c r="F53" s="13"/>
      <c r="G53" s="14" t="s">
        <v>60</v>
      </c>
      <c r="H53" s="14" t="s">
        <v>2</v>
      </c>
      <c r="I53" s="12" t="s">
        <v>61</v>
      </c>
      <c r="J53" s="12" t="s">
        <v>59</v>
      </c>
    </row>
    <row r="54" spans="1:10" x14ac:dyDescent="0.25">
      <c r="A54" s="22" t="s">
        <v>58</v>
      </c>
      <c r="B54" s="22"/>
      <c r="C54" s="15">
        <f>ROUND(0.731, 4)</f>
        <v>0.73099999999999998</v>
      </c>
      <c r="D54" s="15">
        <f>ROUND(0.7232, 4)</f>
        <v>0.72319999999999995</v>
      </c>
      <c r="E54" s="15">
        <f>ROUND(0.777, 4)</f>
        <v>0.77700000000000002</v>
      </c>
      <c r="F54" s="8"/>
      <c r="G54" s="14" t="s">
        <v>62</v>
      </c>
      <c r="H54" s="28" t="s">
        <v>63</v>
      </c>
      <c r="I54" s="25" t="s">
        <v>64</v>
      </c>
      <c r="J54" s="25" t="s">
        <v>65</v>
      </c>
    </row>
    <row r="55" spans="1:10" x14ac:dyDescent="0.25">
      <c r="A55" s="22" t="s">
        <v>66</v>
      </c>
      <c r="B55" s="22"/>
      <c r="C55" s="15">
        <f>ROUND(0.6949, 4)</f>
        <v>0.69489999999999996</v>
      </c>
      <c r="D55" s="15">
        <f>ROUND(0.6889, 4)</f>
        <v>0.68889999999999996</v>
      </c>
      <c r="E55" s="15">
        <f>ROUND(0.7608, 4)</f>
        <v>0.76080000000000003</v>
      </c>
      <c r="F55" s="8"/>
      <c r="G55" s="14" t="s">
        <v>67</v>
      </c>
      <c r="H55" s="29"/>
      <c r="I55" s="26"/>
      <c r="J55" s="26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68</v>
      </c>
      <c r="B59" s="27"/>
      <c r="C59" s="14" t="s">
        <v>2</v>
      </c>
      <c r="D59" s="14" t="s">
        <v>312</v>
      </c>
      <c r="E59" s="14" t="s">
        <v>70</v>
      </c>
      <c r="F59" s="14" t="s">
        <v>71</v>
      </c>
      <c r="G59" s="14" t="s">
        <v>72</v>
      </c>
      <c r="H59" s="13"/>
      <c r="I59" s="17"/>
      <c r="J59" s="17"/>
    </row>
    <row r="60" spans="1:10" x14ac:dyDescent="0.25">
      <c r="A60" s="22" t="s">
        <v>73</v>
      </c>
      <c r="B60" s="22"/>
      <c r="C60" s="16">
        <v>162.24</v>
      </c>
      <c r="D60" s="16">
        <v>186.49</v>
      </c>
      <c r="E60" s="16">
        <v>92.53</v>
      </c>
      <c r="F60" s="16">
        <v>56.06</v>
      </c>
      <c r="G60" s="16">
        <f>12/11*C60</f>
        <v>176.98909090909092</v>
      </c>
      <c r="H60" s="8"/>
      <c r="I60" s="9"/>
      <c r="J60" s="9"/>
    </row>
    <row r="61" spans="1:10" x14ac:dyDescent="0.25">
      <c r="A61" s="22" t="s">
        <v>74</v>
      </c>
      <c r="B61" s="22"/>
      <c r="C61" s="16">
        <v>82.7</v>
      </c>
      <c r="D61" s="16">
        <v>97.11</v>
      </c>
      <c r="E61" s="16">
        <v>61.98</v>
      </c>
      <c r="F61" s="16">
        <v>64.09</v>
      </c>
      <c r="G61" s="16">
        <f>12/11*C61</f>
        <v>90.218181818181819</v>
      </c>
      <c r="H61" s="8"/>
      <c r="I61" s="9"/>
      <c r="J61" s="9"/>
    </row>
    <row r="62" spans="1:10" x14ac:dyDescent="0.25">
      <c r="A62" s="22" t="s">
        <v>75</v>
      </c>
      <c r="B62" s="22"/>
      <c r="C62" s="16">
        <v>443.79</v>
      </c>
      <c r="D62" s="16">
        <v>498.47</v>
      </c>
      <c r="E62" s="16">
        <v>291.51</v>
      </c>
      <c r="F62" s="16">
        <v>284.45</v>
      </c>
      <c r="G62" s="16">
        <f>12/11*C62</f>
        <v>484.13454545454545</v>
      </c>
      <c r="H62" s="8"/>
      <c r="I62" s="9"/>
      <c r="J62" s="9"/>
    </row>
    <row r="63" spans="1:10" x14ac:dyDescent="0.25">
      <c r="A63" s="22" t="s">
        <v>76</v>
      </c>
      <c r="B63" s="22"/>
      <c r="C63" s="16">
        <v>190.03</v>
      </c>
      <c r="D63" s="16">
        <v>245.04</v>
      </c>
      <c r="E63" s="16">
        <v>116.46</v>
      </c>
      <c r="F63" s="16">
        <v>79.959999999999994</v>
      </c>
      <c r="G63" s="16">
        <f>12/11*C63</f>
        <v>207.30545454545452</v>
      </c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23" t="s">
        <v>60</v>
      </c>
      <c r="B66" s="24"/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77</v>
      </c>
      <c r="B67" s="1" t="s">
        <v>313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70</v>
      </c>
      <c r="B68" s="1" t="s">
        <v>79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71</v>
      </c>
      <c r="B69" s="1" t="s">
        <v>80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72</v>
      </c>
      <c r="B70" s="1" t="s">
        <v>81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</sheetData>
  <mergeCells count="19">
    <mergeCell ref="C7:G7"/>
    <mergeCell ref="A39:B39"/>
    <mergeCell ref="A40:B40"/>
    <mergeCell ref="A45:B45"/>
    <mergeCell ref="A46:B46"/>
    <mergeCell ref="J54:J55"/>
    <mergeCell ref="A55:B55"/>
    <mergeCell ref="A59:B59"/>
    <mergeCell ref="A60:B60"/>
    <mergeCell ref="A47:B47"/>
    <mergeCell ref="A48:B48"/>
    <mergeCell ref="A53:B53"/>
    <mergeCell ref="A54:B54"/>
    <mergeCell ref="H54:H55"/>
    <mergeCell ref="A61:B61"/>
    <mergeCell ref="A62:B62"/>
    <mergeCell ref="A63:B63"/>
    <mergeCell ref="A66:B66"/>
    <mergeCell ref="I54:I5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2:J76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5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314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3688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41</v>
      </c>
      <c r="F9" s="10"/>
      <c r="G9" s="10">
        <f t="shared" ref="G9:G44" si="0">SUM(C9:F9)</f>
        <v>41</v>
      </c>
      <c r="H9" s="16">
        <f t="shared" ref="H9:H44" si="1">ROUND(G9/3688,2)</f>
        <v>0.01</v>
      </c>
      <c r="I9" s="15">
        <f t="shared" ref="I9:I44" si="2">ROUND(G9/$G$45,3)</f>
        <v>0</v>
      </c>
      <c r="J9" s="15">
        <f>ROUND(G9/50-1,2)</f>
        <v>-0.18</v>
      </c>
    </row>
    <row r="10" spans="1:10" x14ac:dyDescent="0.25">
      <c r="A10" s="1" t="s">
        <v>16</v>
      </c>
      <c r="B10" s="1" t="s">
        <v>19</v>
      </c>
      <c r="C10" s="10">
        <v>122600</v>
      </c>
      <c r="D10" s="10"/>
      <c r="E10" s="10">
        <v>3160</v>
      </c>
      <c r="F10" s="10">
        <v>540</v>
      </c>
      <c r="G10" s="10">
        <f t="shared" si="0"/>
        <v>126300</v>
      </c>
      <c r="H10" s="16">
        <f t="shared" si="1"/>
        <v>34.25</v>
      </c>
      <c r="I10" s="15">
        <f t="shared" si="2"/>
        <v>0.11899999999999999</v>
      </c>
      <c r="J10" s="15">
        <f>ROUND(G10/116010-1,2)</f>
        <v>0.09</v>
      </c>
    </row>
    <row r="11" spans="1:10" x14ac:dyDescent="0.25">
      <c r="A11" s="1" t="s">
        <v>16</v>
      </c>
      <c r="B11" s="1" t="s">
        <v>20</v>
      </c>
      <c r="C11" s="10">
        <v>127180</v>
      </c>
      <c r="D11" s="10"/>
      <c r="E11" s="10"/>
      <c r="F11" s="10"/>
      <c r="G11" s="10">
        <f t="shared" si="0"/>
        <v>127180</v>
      </c>
      <c r="H11" s="16">
        <f t="shared" si="1"/>
        <v>34.479999999999997</v>
      </c>
      <c r="I11" s="15">
        <f t="shared" si="2"/>
        <v>0.12</v>
      </c>
      <c r="J11" s="15">
        <f>ROUND(G11/130560-1,2)</f>
        <v>-0.03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56</v>
      </c>
      <c r="F12" s="10"/>
      <c r="G12" s="10">
        <f t="shared" si="0"/>
        <v>56</v>
      </c>
      <c r="H12" s="16">
        <f t="shared" si="1"/>
        <v>0.02</v>
      </c>
      <c r="I12" s="15">
        <f t="shared" si="2"/>
        <v>0</v>
      </c>
      <c r="J12" s="15">
        <f>ROUND(G12/48-1,2)</f>
        <v>0.17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167</v>
      </c>
      <c r="F13" s="10"/>
      <c r="G13" s="10">
        <f t="shared" si="0"/>
        <v>167</v>
      </c>
      <c r="H13" s="16">
        <f t="shared" si="1"/>
        <v>0.05</v>
      </c>
      <c r="I13" s="15">
        <f t="shared" si="2"/>
        <v>0</v>
      </c>
      <c r="J13" s="15">
        <f>ROUND(G13/126-1,2)</f>
        <v>0.33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37960</v>
      </c>
      <c r="F14" s="10"/>
      <c r="G14" s="10">
        <f t="shared" si="0"/>
        <v>37960</v>
      </c>
      <c r="H14" s="16">
        <f t="shared" si="1"/>
        <v>10.29</v>
      </c>
      <c r="I14" s="15">
        <f t="shared" si="2"/>
        <v>3.5999999999999997E-2</v>
      </c>
      <c r="J14" s="15">
        <f>ROUND(G14/35480-1,2)</f>
        <v>7.0000000000000007E-2</v>
      </c>
    </row>
    <row r="15" spans="1:10" x14ac:dyDescent="0.25">
      <c r="A15" s="1" t="s">
        <v>16</v>
      </c>
      <c r="B15" s="1" t="s">
        <v>24</v>
      </c>
      <c r="C15" s="10">
        <v>147480</v>
      </c>
      <c r="D15" s="10"/>
      <c r="E15" s="10">
        <v>12140</v>
      </c>
      <c r="F15" s="10"/>
      <c r="G15" s="10">
        <f t="shared" si="0"/>
        <v>159620</v>
      </c>
      <c r="H15" s="16">
        <f t="shared" si="1"/>
        <v>43.28</v>
      </c>
      <c r="I15" s="15">
        <f t="shared" si="2"/>
        <v>0.15</v>
      </c>
      <c r="J15" s="15">
        <f>ROUND(G15/162490-1,2)</f>
        <v>-0.02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1750</v>
      </c>
      <c r="F16" s="10"/>
      <c r="G16" s="10">
        <f t="shared" si="0"/>
        <v>1750</v>
      </c>
      <c r="H16" s="16">
        <f t="shared" si="1"/>
        <v>0.47</v>
      </c>
      <c r="I16" s="15">
        <f t="shared" si="2"/>
        <v>2E-3</v>
      </c>
      <c r="J16" s="15">
        <f>ROUND(G16/2840-1,2)</f>
        <v>-0.38</v>
      </c>
    </row>
    <row r="17" spans="1:10" x14ac:dyDescent="0.25">
      <c r="A17" s="1" t="s">
        <v>16</v>
      </c>
      <c r="B17" s="1" t="s">
        <v>26</v>
      </c>
      <c r="C17" s="10">
        <v>164440</v>
      </c>
      <c r="D17" s="10"/>
      <c r="E17" s="10"/>
      <c r="F17" s="10">
        <v>1200</v>
      </c>
      <c r="G17" s="10">
        <f t="shared" si="0"/>
        <v>165640</v>
      </c>
      <c r="H17" s="16">
        <f t="shared" si="1"/>
        <v>44.91</v>
      </c>
      <c r="I17" s="15">
        <f t="shared" si="2"/>
        <v>0.156</v>
      </c>
      <c r="J17" s="15">
        <f>ROUND(G17/158320-1,2)</f>
        <v>0.05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383</v>
      </c>
      <c r="F18" s="10"/>
      <c r="G18" s="10">
        <f t="shared" si="0"/>
        <v>383</v>
      </c>
      <c r="H18" s="16">
        <f t="shared" si="1"/>
        <v>0.1</v>
      </c>
      <c r="I18" s="15">
        <f t="shared" si="2"/>
        <v>0</v>
      </c>
      <c r="J18" s="15">
        <f>ROUND(G18/806-1,2)</f>
        <v>-0.52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359</v>
      </c>
      <c r="F19" s="10"/>
      <c r="G19" s="10">
        <f t="shared" si="0"/>
        <v>359</v>
      </c>
      <c r="H19" s="16">
        <f t="shared" si="1"/>
        <v>0.1</v>
      </c>
      <c r="I19" s="15">
        <f t="shared" si="2"/>
        <v>0</v>
      </c>
      <c r="J19" s="15">
        <f>ROUND(G19/175-1,2)</f>
        <v>1.05</v>
      </c>
    </row>
    <row r="20" spans="1:10" x14ac:dyDescent="0.25">
      <c r="A20" s="1" t="s">
        <v>16</v>
      </c>
      <c r="B20" s="1" t="s">
        <v>29</v>
      </c>
      <c r="C20" s="10"/>
      <c r="D20" s="10"/>
      <c r="E20" s="10">
        <v>4210</v>
      </c>
      <c r="F20" s="10"/>
      <c r="G20" s="10">
        <f t="shared" si="0"/>
        <v>4210</v>
      </c>
      <c r="H20" s="16">
        <f t="shared" si="1"/>
        <v>1.1399999999999999</v>
      </c>
      <c r="I20" s="15">
        <f t="shared" si="2"/>
        <v>4.0000000000000001E-3</v>
      </c>
      <c r="J20" s="15">
        <f>ROUND(G20/6630-1,2)</f>
        <v>-0.37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1300</v>
      </c>
      <c r="F21" s="10"/>
      <c r="G21" s="10">
        <f t="shared" si="0"/>
        <v>1300</v>
      </c>
      <c r="H21" s="16">
        <f t="shared" si="1"/>
        <v>0.35</v>
      </c>
      <c r="I21" s="15">
        <f t="shared" si="2"/>
        <v>1E-3</v>
      </c>
      <c r="J21" s="15">
        <f>ROUND(G21/970-1,2)</f>
        <v>0.34</v>
      </c>
    </row>
    <row r="22" spans="1:10" x14ac:dyDescent="0.25">
      <c r="A22" s="1" t="s">
        <v>16</v>
      </c>
      <c r="B22" s="1" t="s">
        <v>31</v>
      </c>
      <c r="C22" s="10"/>
      <c r="D22" s="10"/>
      <c r="E22" s="10">
        <v>400</v>
      </c>
      <c r="F22" s="10"/>
      <c r="G22" s="10">
        <f t="shared" si="0"/>
        <v>400</v>
      </c>
      <c r="H22" s="16">
        <f t="shared" si="1"/>
        <v>0.11</v>
      </c>
      <c r="I22" s="15">
        <f t="shared" si="2"/>
        <v>0</v>
      </c>
      <c r="J22" s="15">
        <f>ROUND(G22/520-1,2)</f>
        <v>-0.23</v>
      </c>
    </row>
    <row r="23" spans="1:10" x14ac:dyDescent="0.25">
      <c r="A23" s="1" t="s">
        <v>16</v>
      </c>
      <c r="B23" s="1" t="s">
        <v>32</v>
      </c>
      <c r="C23" s="10"/>
      <c r="D23" s="10"/>
      <c r="E23" s="10">
        <v>3000</v>
      </c>
      <c r="F23" s="10"/>
      <c r="G23" s="10">
        <f t="shared" si="0"/>
        <v>3000</v>
      </c>
      <c r="H23" s="16">
        <f t="shared" si="1"/>
        <v>0.81</v>
      </c>
      <c r="I23" s="15">
        <f t="shared" si="2"/>
        <v>3.0000000000000001E-3</v>
      </c>
      <c r="J23" s="15">
        <f>ROUND(G23/2540-1,2)</f>
        <v>0.18</v>
      </c>
    </row>
    <row r="24" spans="1:10" x14ac:dyDescent="0.25">
      <c r="A24" s="1" t="s">
        <v>16</v>
      </c>
      <c r="B24" s="1" t="s">
        <v>33</v>
      </c>
      <c r="C24" s="10"/>
      <c r="D24" s="10">
        <v>420</v>
      </c>
      <c r="E24" s="10"/>
      <c r="F24" s="10"/>
      <c r="G24" s="10">
        <f t="shared" si="0"/>
        <v>420</v>
      </c>
      <c r="H24" s="16">
        <f t="shared" si="1"/>
        <v>0.11</v>
      </c>
      <c r="I24" s="15">
        <f t="shared" si="2"/>
        <v>0</v>
      </c>
      <c r="J24" s="15">
        <f>ROUND(G24/376-1,2)</f>
        <v>0.12</v>
      </c>
    </row>
    <row r="25" spans="1:10" x14ac:dyDescent="0.25">
      <c r="A25" s="1" t="s">
        <v>16</v>
      </c>
      <c r="B25" s="1" t="s">
        <v>35</v>
      </c>
      <c r="C25" s="10"/>
      <c r="D25" s="10"/>
      <c r="E25" s="10">
        <v>265</v>
      </c>
      <c r="F25" s="10"/>
      <c r="G25" s="10">
        <f t="shared" si="0"/>
        <v>265</v>
      </c>
      <c r="H25" s="16">
        <f t="shared" si="1"/>
        <v>7.0000000000000007E-2</v>
      </c>
      <c r="I25" s="15">
        <f t="shared" si="2"/>
        <v>0</v>
      </c>
      <c r="J25" s="15">
        <f>ROUND(G25/355-1,2)</f>
        <v>-0.25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1740</v>
      </c>
      <c r="F26" s="10"/>
      <c r="G26" s="10">
        <f t="shared" si="0"/>
        <v>1740</v>
      </c>
      <c r="H26" s="16">
        <f t="shared" si="1"/>
        <v>0.47</v>
      </c>
      <c r="I26" s="15">
        <f t="shared" si="2"/>
        <v>2E-3</v>
      </c>
      <c r="J26" s="15">
        <f>ROUND(G26/2450-1,2)</f>
        <v>-0.28999999999999998</v>
      </c>
    </row>
    <row r="27" spans="1:10" x14ac:dyDescent="0.25">
      <c r="A27" s="1" t="s">
        <v>16</v>
      </c>
      <c r="B27" s="1" t="s">
        <v>37</v>
      </c>
      <c r="C27" s="10"/>
      <c r="D27" s="10"/>
      <c r="E27" s="10">
        <v>11510</v>
      </c>
      <c r="F27" s="10"/>
      <c r="G27" s="10">
        <f t="shared" si="0"/>
        <v>11510</v>
      </c>
      <c r="H27" s="16">
        <f t="shared" si="1"/>
        <v>3.12</v>
      </c>
      <c r="I27" s="15">
        <f t="shared" si="2"/>
        <v>1.0999999999999999E-2</v>
      </c>
      <c r="J27" s="15">
        <f>ROUND(G27/8394-1,2)</f>
        <v>0.37</v>
      </c>
    </row>
    <row r="28" spans="1:10" x14ac:dyDescent="0.25">
      <c r="A28" s="1" t="s">
        <v>16</v>
      </c>
      <c r="B28" s="1" t="s">
        <v>43</v>
      </c>
      <c r="C28" s="10"/>
      <c r="D28" s="10"/>
      <c r="E28" s="10">
        <v>3745</v>
      </c>
      <c r="F28" s="10"/>
      <c r="G28" s="10">
        <f t="shared" si="0"/>
        <v>3745</v>
      </c>
      <c r="H28" s="16">
        <f t="shared" si="1"/>
        <v>1.02</v>
      </c>
      <c r="I28" s="15">
        <f t="shared" si="2"/>
        <v>4.0000000000000001E-3</v>
      </c>
      <c r="J28" s="15">
        <f>ROUND(G28/12594-1,2)</f>
        <v>-0.7</v>
      </c>
    </row>
    <row r="29" spans="1:10" x14ac:dyDescent="0.25">
      <c r="A29" s="1" t="s">
        <v>16</v>
      </c>
      <c r="B29" s="1" t="s">
        <v>38</v>
      </c>
      <c r="C29" s="10"/>
      <c r="D29" s="10"/>
      <c r="E29" s="10">
        <v>73100</v>
      </c>
      <c r="F29" s="10"/>
      <c r="G29" s="10">
        <f t="shared" si="0"/>
        <v>73100</v>
      </c>
      <c r="H29" s="16">
        <f t="shared" si="1"/>
        <v>19.82</v>
      </c>
      <c r="I29" s="15">
        <f t="shared" si="2"/>
        <v>6.9000000000000006E-2</v>
      </c>
      <c r="J29" s="15">
        <f>ROUND(G29/51880-1,2)</f>
        <v>0.41</v>
      </c>
    </row>
    <row r="30" spans="1:10" x14ac:dyDescent="0.25">
      <c r="A30" s="1" t="s">
        <v>16</v>
      </c>
      <c r="B30" s="1" t="s">
        <v>39</v>
      </c>
      <c r="C30" s="10"/>
      <c r="D30" s="10"/>
      <c r="E30" s="10">
        <v>6450</v>
      </c>
      <c r="F30" s="10"/>
      <c r="G30" s="10">
        <f t="shared" si="0"/>
        <v>6450</v>
      </c>
      <c r="H30" s="16">
        <f t="shared" si="1"/>
        <v>1.75</v>
      </c>
      <c r="I30" s="15">
        <f t="shared" si="2"/>
        <v>6.0000000000000001E-3</v>
      </c>
      <c r="J30" s="15">
        <f>ROUND(G30/5360-1,2)</f>
        <v>0.2</v>
      </c>
    </row>
    <row r="31" spans="1:10" x14ac:dyDescent="0.25">
      <c r="A31" s="1" t="s">
        <v>16</v>
      </c>
      <c r="B31" s="1" t="s">
        <v>40</v>
      </c>
      <c r="C31" s="10"/>
      <c r="D31" s="10"/>
      <c r="E31" s="10">
        <v>24670</v>
      </c>
      <c r="F31" s="10"/>
      <c r="G31" s="10">
        <f t="shared" si="0"/>
        <v>24670</v>
      </c>
      <c r="H31" s="16">
        <f t="shared" si="1"/>
        <v>6.69</v>
      </c>
      <c r="I31" s="15">
        <f t="shared" si="2"/>
        <v>2.3E-2</v>
      </c>
      <c r="J31" s="15">
        <f>ROUND(G31/23920-1,2)</f>
        <v>0.03</v>
      </c>
    </row>
    <row r="32" spans="1:10" x14ac:dyDescent="0.25">
      <c r="A32" s="1" t="s">
        <v>16</v>
      </c>
      <c r="B32" s="1" t="s">
        <v>41</v>
      </c>
      <c r="C32" s="10"/>
      <c r="D32" s="10"/>
      <c r="E32" s="10">
        <v>39560</v>
      </c>
      <c r="F32" s="10"/>
      <c r="G32" s="10">
        <f t="shared" si="0"/>
        <v>39560</v>
      </c>
      <c r="H32" s="16">
        <f t="shared" si="1"/>
        <v>10.73</v>
      </c>
      <c r="I32" s="15">
        <f t="shared" si="2"/>
        <v>3.6999999999999998E-2</v>
      </c>
      <c r="J32" s="15">
        <f>ROUND(G32/36580-1,2)</f>
        <v>0.08</v>
      </c>
    </row>
    <row r="33" spans="1:10" x14ac:dyDescent="0.25">
      <c r="A33" s="1" t="s">
        <v>16</v>
      </c>
      <c r="B33" s="1" t="s">
        <v>98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ROUND(G33/125-1,2)</f>
        <v>-1</v>
      </c>
    </row>
    <row r="34" spans="1:10" x14ac:dyDescent="0.25">
      <c r="A34" s="1" t="s">
        <v>16</v>
      </c>
      <c r="B34" s="1" t="s">
        <v>36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ROUND(G34/2818-1,2)</f>
        <v>-1</v>
      </c>
    </row>
    <row r="35" spans="1:10" x14ac:dyDescent="0.25">
      <c r="A35" s="1" t="s">
        <v>16</v>
      </c>
      <c r="B35" s="1" t="s">
        <v>22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16</v>
      </c>
      <c r="B36" s="1" t="s">
        <v>219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1" t="s">
        <v>16</v>
      </c>
      <c r="B37" s="1" t="s">
        <v>42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ROUND(G37/157-1,2)</f>
        <v>-1</v>
      </c>
    </row>
    <row r="38" spans="1:10" x14ac:dyDescent="0.25">
      <c r="A38" s="1" t="s">
        <v>16</v>
      </c>
      <c r="B38" s="1" t="s">
        <v>99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16</v>
      </c>
      <c r="B39" s="1" t="s">
        <v>145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44</v>
      </c>
      <c r="B40" s="1" t="s">
        <v>45</v>
      </c>
      <c r="C40" s="10">
        <v>159910</v>
      </c>
      <c r="D40" s="10"/>
      <c r="E40" s="10"/>
      <c r="F40" s="10"/>
      <c r="G40" s="10">
        <f t="shared" si="0"/>
        <v>159910</v>
      </c>
      <c r="H40" s="16">
        <f t="shared" si="1"/>
        <v>43.36</v>
      </c>
      <c r="I40" s="15">
        <f t="shared" si="2"/>
        <v>0.15</v>
      </c>
      <c r="J40" s="15">
        <f>ROUND(G40/157470-1,2)</f>
        <v>0.02</v>
      </c>
    </row>
    <row r="41" spans="1:10" x14ac:dyDescent="0.25">
      <c r="A41" s="1" t="s">
        <v>44</v>
      </c>
      <c r="B41" s="1" t="s">
        <v>47</v>
      </c>
      <c r="C41" s="10"/>
      <c r="D41" s="10"/>
      <c r="E41" s="10"/>
      <c r="F41" s="10">
        <v>35470</v>
      </c>
      <c r="G41" s="10">
        <f t="shared" si="0"/>
        <v>35470</v>
      </c>
      <c r="H41" s="16">
        <f t="shared" si="1"/>
        <v>9.6199999999999992</v>
      </c>
      <c r="I41" s="15">
        <f t="shared" si="2"/>
        <v>3.3000000000000002E-2</v>
      </c>
      <c r="J41" s="15">
        <f>ROUND(G41/42100-1,2)</f>
        <v>-0.16</v>
      </c>
    </row>
    <row r="42" spans="1:10" x14ac:dyDescent="0.25">
      <c r="A42" s="1" t="s">
        <v>44</v>
      </c>
      <c r="B42" s="1" t="s">
        <v>46</v>
      </c>
      <c r="C42" s="10"/>
      <c r="D42" s="10"/>
      <c r="E42" s="10">
        <v>77840</v>
      </c>
      <c r="F42" s="10"/>
      <c r="G42" s="10">
        <f t="shared" si="0"/>
        <v>77840</v>
      </c>
      <c r="H42" s="16">
        <f t="shared" si="1"/>
        <v>21.11</v>
      </c>
      <c r="I42" s="15">
        <f t="shared" si="2"/>
        <v>7.2999999999999995E-2</v>
      </c>
      <c r="J42" s="15">
        <f>ROUND(G42/67300-1,2)</f>
        <v>0.16</v>
      </c>
    </row>
    <row r="43" spans="1:10" x14ac:dyDescent="0.25">
      <c r="A43" s="1" t="s">
        <v>48</v>
      </c>
      <c r="B43" s="1" t="s">
        <v>50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>
        <f>ROUND(G43/505-1,2)</f>
        <v>-1</v>
      </c>
    </row>
    <row r="44" spans="1:10" x14ac:dyDescent="0.25">
      <c r="A44" s="1" t="s">
        <v>48</v>
      </c>
      <c r="B44" s="1" t="s">
        <v>51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27" t="s">
        <v>12</v>
      </c>
      <c r="B45" s="27"/>
      <c r="C45" s="11">
        <f t="shared" ref="C45:H45" si="3">SUM(C8:C44)</f>
        <v>721610</v>
      </c>
      <c r="D45" s="11">
        <f t="shared" si="3"/>
        <v>420</v>
      </c>
      <c r="E45" s="11">
        <f t="shared" si="3"/>
        <v>303806</v>
      </c>
      <c r="F45" s="11">
        <f t="shared" si="3"/>
        <v>37210</v>
      </c>
      <c r="G45" s="11">
        <f t="shared" si="3"/>
        <v>1063046</v>
      </c>
      <c r="H45" s="14">
        <f t="shared" si="3"/>
        <v>288.24</v>
      </c>
      <c r="I45" s="17"/>
      <c r="J45" s="17"/>
    </row>
    <row r="46" spans="1:10" x14ac:dyDescent="0.25">
      <c r="A46" s="27" t="s">
        <v>14</v>
      </c>
      <c r="B46" s="27"/>
      <c r="C46" s="12">
        <f>ROUND(C45/G45,2)</f>
        <v>0.68</v>
      </c>
      <c r="D46" s="12">
        <f>ROUND(D45/G45,2)</f>
        <v>0</v>
      </c>
      <c r="E46" s="12">
        <f>ROUND(E45/G45,2)</f>
        <v>0.28999999999999998</v>
      </c>
      <c r="F46" s="12">
        <f>ROUND(F45/G45,2)</f>
        <v>0.04</v>
      </c>
      <c r="G46" s="13"/>
      <c r="H46" s="13"/>
      <c r="I46" s="17"/>
      <c r="J46" s="17"/>
    </row>
    <row r="47" spans="1:10" x14ac:dyDescent="0.25">
      <c r="A47" s="2" t="s">
        <v>52</v>
      </c>
      <c r="B47" s="2"/>
      <c r="C47" s="13"/>
      <c r="D47" s="13"/>
      <c r="E47" s="13"/>
      <c r="F47" s="13"/>
      <c r="G47" s="13"/>
      <c r="H47" s="13"/>
      <c r="I47" s="17"/>
      <c r="J47" s="17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27" t="s">
        <v>53</v>
      </c>
      <c r="B51" s="27"/>
      <c r="C51" s="11" t="s">
        <v>8</v>
      </c>
      <c r="D51" s="11" t="s">
        <v>9</v>
      </c>
      <c r="E51" s="11" t="s">
        <v>10</v>
      </c>
      <c r="F51" s="11" t="s">
        <v>11</v>
      </c>
      <c r="G51" s="11" t="s">
        <v>12</v>
      </c>
      <c r="H51" s="14" t="s">
        <v>13</v>
      </c>
      <c r="I51" s="17"/>
      <c r="J51" s="17"/>
    </row>
    <row r="52" spans="1:10" x14ac:dyDescent="0.25">
      <c r="A52" s="22" t="s">
        <v>54</v>
      </c>
      <c r="B52" s="22"/>
      <c r="C52" s="10">
        <v>561700</v>
      </c>
      <c r="D52" s="10">
        <v>420</v>
      </c>
      <c r="E52" s="10">
        <v>225966</v>
      </c>
      <c r="F52" s="10">
        <v>1740</v>
      </c>
      <c r="G52" s="10">
        <f>SUM(C52:F52)</f>
        <v>789826</v>
      </c>
      <c r="H52" s="16">
        <f>ROUND(G52/3688,2)</f>
        <v>214.16</v>
      </c>
      <c r="I52" s="9"/>
      <c r="J52" s="9"/>
    </row>
    <row r="53" spans="1:10" x14ac:dyDescent="0.25">
      <c r="A53" s="22" t="s">
        <v>55</v>
      </c>
      <c r="B53" s="22"/>
      <c r="C53" s="10">
        <v>159910</v>
      </c>
      <c r="D53" s="10">
        <v>0</v>
      </c>
      <c r="E53" s="10">
        <v>77840</v>
      </c>
      <c r="F53" s="10">
        <v>35470</v>
      </c>
      <c r="G53" s="10">
        <f>SUM(C53:F53)</f>
        <v>273220</v>
      </c>
      <c r="H53" s="16">
        <f>ROUND(G53/3688,2)</f>
        <v>74.08</v>
      </c>
      <c r="I53" s="9"/>
      <c r="J53" s="9"/>
    </row>
    <row r="54" spans="1:10" x14ac:dyDescent="0.25">
      <c r="A54" s="22" t="s">
        <v>56</v>
      </c>
      <c r="B54" s="22"/>
      <c r="C54" s="10">
        <v>0</v>
      </c>
      <c r="D54" s="10">
        <v>0</v>
      </c>
      <c r="E54" s="10">
        <v>0</v>
      </c>
      <c r="F54" s="10">
        <v>0</v>
      </c>
      <c r="G54" s="10">
        <f>SUM(C54:F54)</f>
        <v>0</v>
      </c>
      <c r="H54" s="16">
        <f>ROUND(G54/3688,2)</f>
        <v>0</v>
      </c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57</v>
      </c>
      <c r="B59" s="27"/>
      <c r="C59" s="14" t="s">
        <v>2</v>
      </c>
      <c r="D59" s="14">
        <v>2023</v>
      </c>
      <c r="E59" s="14" t="s">
        <v>59</v>
      </c>
      <c r="F59" s="13"/>
      <c r="G59" s="14" t="s">
        <v>60</v>
      </c>
      <c r="H59" s="14" t="s">
        <v>2</v>
      </c>
      <c r="I59" s="12" t="s">
        <v>61</v>
      </c>
      <c r="J59" s="12" t="s">
        <v>59</v>
      </c>
    </row>
    <row r="60" spans="1:10" x14ac:dyDescent="0.25">
      <c r="A60" s="22" t="s">
        <v>58</v>
      </c>
      <c r="B60" s="22"/>
      <c r="C60" s="15">
        <f>ROUND(0.835, 4)</f>
        <v>0.83499999999999996</v>
      </c>
      <c r="D60" s="15">
        <f>ROUND(0.8281, 4)</f>
        <v>0.82809999999999995</v>
      </c>
      <c r="E60" s="15">
        <f>ROUND(0.777, 4)</f>
        <v>0.77700000000000002</v>
      </c>
      <c r="F60" s="8"/>
      <c r="G60" s="14" t="s">
        <v>62</v>
      </c>
      <c r="H60" s="28" t="s">
        <v>63</v>
      </c>
      <c r="I60" s="25" t="s">
        <v>64</v>
      </c>
      <c r="J60" s="25" t="s">
        <v>65</v>
      </c>
    </row>
    <row r="61" spans="1:10" x14ac:dyDescent="0.25">
      <c r="A61" s="22" t="s">
        <v>66</v>
      </c>
      <c r="B61" s="22"/>
      <c r="C61" s="15">
        <f>ROUND(0.8192, 4)</f>
        <v>0.81920000000000004</v>
      </c>
      <c r="D61" s="15">
        <f>ROUND(0.8133, 4)</f>
        <v>0.81330000000000002</v>
      </c>
      <c r="E61" s="15">
        <f>ROUND(0.7608, 4)</f>
        <v>0.76080000000000003</v>
      </c>
      <c r="F61" s="8"/>
      <c r="G61" s="14" t="s">
        <v>67</v>
      </c>
      <c r="H61" s="29"/>
      <c r="I61" s="26"/>
      <c r="J61" s="26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7" t="s">
        <v>68</v>
      </c>
      <c r="B65" s="27"/>
      <c r="C65" s="14" t="s">
        <v>2</v>
      </c>
      <c r="D65" s="14" t="s">
        <v>315</v>
      </c>
      <c r="E65" s="14" t="s">
        <v>70</v>
      </c>
      <c r="F65" s="14" t="s">
        <v>71</v>
      </c>
      <c r="G65" s="14" t="s">
        <v>72</v>
      </c>
      <c r="H65" s="13"/>
      <c r="I65" s="17"/>
      <c r="J65" s="17"/>
    </row>
    <row r="66" spans="1:10" x14ac:dyDescent="0.25">
      <c r="A66" s="22" t="s">
        <v>73</v>
      </c>
      <c r="B66" s="22"/>
      <c r="C66" s="16">
        <v>43.36</v>
      </c>
      <c r="D66" s="16">
        <v>64.180000000000007</v>
      </c>
      <c r="E66" s="16">
        <v>92.53</v>
      </c>
      <c r="F66" s="16">
        <v>56.06</v>
      </c>
      <c r="G66" s="16">
        <f>12/11*C66</f>
        <v>47.301818181818177</v>
      </c>
      <c r="H66" s="8"/>
      <c r="I66" s="9"/>
      <c r="J66" s="9"/>
    </row>
    <row r="67" spans="1:10" x14ac:dyDescent="0.25">
      <c r="A67" s="22" t="s">
        <v>74</v>
      </c>
      <c r="B67" s="22"/>
      <c r="C67" s="16">
        <v>44.91</v>
      </c>
      <c r="D67" s="16">
        <v>47.28</v>
      </c>
      <c r="E67" s="16">
        <v>61.98</v>
      </c>
      <c r="F67" s="16">
        <v>64.09</v>
      </c>
      <c r="G67" s="16">
        <f>12/11*C67</f>
        <v>48.992727272727265</v>
      </c>
      <c r="H67" s="8"/>
      <c r="I67" s="9"/>
      <c r="J67" s="9"/>
    </row>
    <row r="68" spans="1:10" x14ac:dyDescent="0.25">
      <c r="A68" s="22" t="s">
        <v>75</v>
      </c>
      <c r="B68" s="22"/>
      <c r="C68" s="16">
        <v>214.16</v>
      </c>
      <c r="D68" s="16">
        <v>237.89</v>
      </c>
      <c r="E68" s="16">
        <v>291.51</v>
      </c>
      <c r="F68" s="16">
        <v>284.45</v>
      </c>
      <c r="G68" s="16">
        <f>12/11*C68</f>
        <v>233.62909090909088</v>
      </c>
      <c r="H68" s="8"/>
      <c r="I68" s="9"/>
      <c r="J68" s="9"/>
    </row>
    <row r="69" spans="1:10" x14ac:dyDescent="0.25">
      <c r="A69" s="22" t="s">
        <v>76</v>
      </c>
      <c r="B69" s="22"/>
      <c r="C69" s="16">
        <v>74.08</v>
      </c>
      <c r="D69" s="16">
        <v>91.74</v>
      </c>
      <c r="E69" s="16">
        <v>116.46</v>
      </c>
      <c r="F69" s="16">
        <v>79.959999999999994</v>
      </c>
      <c r="G69" s="16">
        <f>12/11*C69</f>
        <v>80.814545454545453</v>
      </c>
      <c r="H69" s="8"/>
      <c r="I69" s="9"/>
      <c r="J69" s="9"/>
    </row>
    <row r="72" spans="1:10" x14ac:dyDescent="0.25">
      <c r="A72" s="23" t="s">
        <v>60</v>
      </c>
      <c r="B72" s="24"/>
    </row>
    <row r="73" spans="1:10" x14ac:dyDescent="0.25">
      <c r="A73" s="3" t="s">
        <v>77</v>
      </c>
      <c r="B73" s="1" t="s">
        <v>316</v>
      </c>
    </row>
    <row r="74" spans="1:10" x14ac:dyDescent="0.25">
      <c r="A74" s="3" t="s">
        <v>70</v>
      </c>
      <c r="B74" s="1" t="s">
        <v>79</v>
      </c>
    </row>
    <row r="75" spans="1:10" x14ac:dyDescent="0.25">
      <c r="A75" s="3" t="s">
        <v>71</v>
      </c>
      <c r="B75" s="1" t="s">
        <v>80</v>
      </c>
    </row>
    <row r="76" spans="1:10" x14ac:dyDescent="0.25">
      <c r="A76" s="3" t="s">
        <v>72</v>
      </c>
      <c r="B76" s="1" t="s">
        <v>81</v>
      </c>
    </row>
  </sheetData>
  <mergeCells count="19">
    <mergeCell ref="C7:G7"/>
    <mergeCell ref="A45:B45"/>
    <mergeCell ref="A46:B46"/>
    <mergeCell ref="A51:B51"/>
    <mergeCell ref="A52:B52"/>
    <mergeCell ref="J60:J61"/>
    <mergeCell ref="A61:B61"/>
    <mergeCell ref="A65:B65"/>
    <mergeCell ref="A66:B66"/>
    <mergeCell ref="A53:B53"/>
    <mergeCell ref="A54:B54"/>
    <mergeCell ref="A59:B59"/>
    <mergeCell ref="A60:B60"/>
    <mergeCell ref="H60:H61"/>
    <mergeCell ref="A67:B67"/>
    <mergeCell ref="A68:B68"/>
    <mergeCell ref="A69:B69"/>
    <mergeCell ref="A72:B72"/>
    <mergeCell ref="I60:I6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2:J76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4.28515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317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872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19</v>
      </c>
      <c r="F9" s="10"/>
      <c r="G9" s="10">
        <f t="shared" ref="G9:G37" si="0">SUM(C9:F9)</f>
        <v>19</v>
      </c>
      <c r="H9" s="16">
        <f t="shared" ref="H9:H37" si="1">ROUND(G9/872,2)</f>
        <v>0.02</v>
      </c>
      <c r="I9" s="15">
        <f t="shared" ref="I9:I37" si="2">ROUND(G9/$G$38,3)</f>
        <v>0</v>
      </c>
      <c r="J9" s="15"/>
    </row>
    <row r="10" spans="1:10" x14ac:dyDescent="0.25">
      <c r="A10" s="1" t="s">
        <v>16</v>
      </c>
      <c r="B10" s="1" t="s">
        <v>19</v>
      </c>
      <c r="C10" s="10">
        <v>25160</v>
      </c>
      <c r="D10" s="10"/>
      <c r="E10" s="10">
        <v>3487</v>
      </c>
      <c r="F10" s="10">
        <v>80</v>
      </c>
      <c r="G10" s="10">
        <f t="shared" si="0"/>
        <v>28727</v>
      </c>
      <c r="H10" s="16">
        <f t="shared" si="1"/>
        <v>32.94</v>
      </c>
      <c r="I10" s="15">
        <f t="shared" si="2"/>
        <v>9.5000000000000001E-2</v>
      </c>
      <c r="J10" s="15">
        <f>ROUND(G10/25871.18-1,2)</f>
        <v>0.11</v>
      </c>
    </row>
    <row r="11" spans="1:10" x14ac:dyDescent="0.25">
      <c r="A11" s="1" t="s">
        <v>16</v>
      </c>
      <c r="B11" s="1" t="s">
        <v>20</v>
      </c>
      <c r="C11" s="10">
        <v>32500</v>
      </c>
      <c r="D11" s="10"/>
      <c r="E11" s="10">
        <v>493</v>
      </c>
      <c r="F11" s="10"/>
      <c r="G11" s="10">
        <f t="shared" si="0"/>
        <v>32993</v>
      </c>
      <c r="H11" s="16">
        <f t="shared" si="1"/>
        <v>37.840000000000003</v>
      </c>
      <c r="I11" s="15">
        <f t="shared" si="2"/>
        <v>0.109</v>
      </c>
      <c r="J11" s="15">
        <f>ROUND(G11/36220-1,2)</f>
        <v>-0.09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78</v>
      </c>
      <c r="F12" s="10"/>
      <c r="G12" s="10">
        <f t="shared" si="0"/>
        <v>78</v>
      </c>
      <c r="H12" s="16">
        <f t="shared" si="1"/>
        <v>0.09</v>
      </c>
      <c r="I12" s="15">
        <f t="shared" si="2"/>
        <v>0</v>
      </c>
      <c r="J12" s="15"/>
    </row>
    <row r="13" spans="1:10" x14ac:dyDescent="0.25">
      <c r="A13" s="1" t="s">
        <v>16</v>
      </c>
      <c r="B13" s="1" t="s">
        <v>22</v>
      </c>
      <c r="C13" s="10"/>
      <c r="D13" s="10"/>
      <c r="E13" s="10">
        <v>965</v>
      </c>
      <c r="F13" s="10"/>
      <c r="G13" s="10">
        <f t="shared" si="0"/>
        <v>965</v>
      </c>
      <c r="H13" s="16">
        <f t="shared" si="1"/>
        <v>1.1100000000000001</v>
      </c>
      <c r="I13" s="15">
        <f t="shared" si="2"/>
        <v>3.0000000000000001E-3</v>
      </c>
      <c r="J13" s="15"/>
    </row>
    <row r="14" spans="1:10" x14ac:dyDescent="0.25">
      <c r="A14" s="1" t="s">
        <v>16</v>
      </c>
      <c r="B14" s="1" t="s">
        <v>23</v>
      </c>
      <c r="C14" s="10"/>
      <c r="D14" s="10"/>
      <c r="E14" s="10">
        <v>24567</v>
      </c>
      <c r="F14" s="10"/>
      <c r="G14" s="10">
        <f t="shared" si="0"/>
        <v>24567</v>
      </c>
      <c r="H14" s="16">
        <f t="shared" si="1"/>
        <v>28.17</v>
      </c>
      <c r="I14" s="15">
        <f t="shared" si="2"/>
        <v>8.1000000000000003E-2</v>
      </c>
      <c r="J14" s="15">
        <f>ROUND(G14/6192.14-1,2)</f>
        <v>2.97</v>
      </c>
    </row>
    <row r="15" spans="1:10" x14ac:dyDescent="0.25">
      <c r="A15" s="1" t="s">
        <v>16</v>
      </c>
      <c r="B15" s="1" t="s">
        <v>24</v>
      </c>
      <c r="C15" s="10">
        <v>28840</v>
      </c>
      <c r="D15" s="10"/>
      <c r="E15" s="10">
        <v>9060</v>
      </c>
      <c r="F15" s="10"/>
      <c r="G15" s="10">
        <f t="shared" si="0"/>
        <v>37900</v>
      </c>
      <c r="H15" s="16">
        <f t="shared" si="1"/>
        <v>43.46</v>
      </c>
      <c r="I15" s="15">
        <f t="shared" si="2"/>
        <v>0.126</v>
      </c>
      <c r="J15" s="15">
        <f>ROUND(G15/30377.15-1,2)</f>
        <v>0.25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1412</v>
      </c>
      <c r="F16" s="10"/>
      <c r="G16" s="10">
        <f t="shared" si="0"/>
        <v>1412</v>
      </c>
      <c r="H16" s="16">
        <f t="shared" si="1"/>
        <v>1.62</v>
      </c>
      <c r="I16" s="15">
        <f t="shared" si="2"/>
        <v>5.0000000000000001E-3</v>
      </c>
      <c r="J16" s="15"/>
    </row>
    <row r="17" spans="1:10" x14ac:dyDescent="0.25">
      <c r="A17" s="1" t="s">
        <v>16</v>
      </c>
      <c r="B17" s="1" t="s">
        <v>26</v>
      </c>
      <c r="C17" s="10">
        <v>30570</v>
      </c>
      <c r="D17" s="10"/>
      <c r="E17" s="10"/>
      <c r="F17" s="10">
        <v>10</v>
      </c>
      <c r="G17" s="10">
        <f t="shared" si="0"/>
        <v>30580</v>
      </c>
      <c r="H17" s="16">
        <f t="shared" si="1"/>
        <v>35.07</v>
      </c>
      <c r="I17" s="15">
        <f t="shared" si="2"/>
        <v>0.10100000000000001</v>
      </c>
      <c r="J17" s="15">
        <f>ROUND(G17/32370-1,2)</f>
        <v>-0.06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290</v>
      </c>
      <c r="F18" s="10"/>
      <c r="G18" s="10">
        <f t="shared" si="0"/>
        <v>290</v>
      </c>
      <c r="H18" s="16">
        <f t="shared" si="1"/>
        <v>0.33</v>
      </c>
      <c r="I18" s="15">
        <f t="shared" si="2"/>
        <v>1E-3</v>
      </c>
      <c r="J18" s="15"/>
    </row>
    <row r="19" spans="1:10" x14ac:dyDescent="0.25">
      <c r="A19" s="1" t="s">
        <v>16</v>
      </c>
      <c r="B19" s="1" t="s">
        <v>28</v>
      </c>
      <c r="C19" s="10"/>
      <c r="D19" s="10"/>
      <c r="E19" s="10">
        <v>188</v>
      </c>
      <c r="F19" s="10"/>
      <c r="G19" s="10">
        <f t="shared" si="0"/>
        <v>188</v>
      </c>
      <c r="H19" s="16">
        <f t="shared" si="1"/>
        <v>0.22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42</v>
      </c>
      <c r="C20" s="10"/>
      <c r="D20" s="10"/>
      <c r="E20" s="10">
        <v>29</v>
      </c>
      <c r="F20" s="10"/>
      <c r="G20" s="10">
        <f t="shared" si="0"/>
        <v>29</v>
      </c>
      <c r="H20" s="16">
        <f t="shared" si="1"/>
        <v>0.03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29</v>
      </c>
      <c r="C21" s="10"/>
      <c r="D21" s="10"/>
      <c r="E21" s="10">
        <v>667</v>
      </c>
      <c r="F21" s="10"/>
      <c r="G21" s="10">
        <f t="shared" si="0"/>
        <v>667</v>
      </c>
      <c r="H21" s="16">
        <f t="shared" si="1"/>
        <v>0.76</v>
      </c>
      <c r="I21" s="15">
        <f t="shared" si="2"/>
        <v>2E-3</v>
      </c>
      <c r="J21" s="15">
        <f>ROUND(G21/1053.75-1,2)</f>
        <v>-0.37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206</v>
      </c>
      <c r="F22" s="10"/>
      <c r="G22" s="10">
        <f t="shared" si="0"/>
        <v>206</v>
      </c>
      <c r="H22" s="16">
        <f t="shared" si="1"/>
        <v>0.24</v>
      </c>
      <c r="I22" s="15">
        <f t="shared" si="2"/>
        <v>1E-3</v>
      </c>
      <c r="J22" s="15">
        <f>ROUND(G22/104.12-1,2)</f>
        <v>0.98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184</v>
      </c>
      <c r="F23" s="10"/>
      <c r="G23" s="10">
        <f t="shared" si="0"/>
        <v>184</v>
      </c>
      <c r="H23" s="16">
        <f t="shared" si="1"/>
        <v>0.21</v>
      </c>
      <c r="I23" s="15">
        <f t="shared" si="2"/>
        <v>1E-3</v>
      </c>
      <c r="J23" s="15">
        <f>ROUND(G23/30-1,2)</f>
        <v>5.13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526</v>
      </c>
      <c r="F24" s="10"/>
      <c r="G24" s="10">
        <f t="shared" si="0"/>
        <v>526</v>
      </c>
      <c r="H24" s="16">
        <f t="shared" si="1"/>
        <v>0.6</v>
      </c>
      <c r="I24" s="15">
        <f t="shared" si="2"/>
        <v>2E-3</v>
      </c>
      <c r="J24" s="15"/>
    </row>
    <row r="25" spans="1:10" x14ac:dyDescent="0.25">
      <c r="A25" s="1" t="s">
        <v>16</v>
      </c>
      <c r="B25" s="1" t="s">
        <v>33</v>
      </c>
      <c r="C25" s="10"/>
      <c r="D25" s="10"/>
      <c r="E25" s="10">
        <v>73</v>
      </c>
      <c r="F25" s="10"/>
      <c r="G25" s="10">
        <f t="shared" si="0"/>
        <v>73</v>
      </c>
      <c r="H25" s="16">
        <f t="shared" si="1"/>
        <v>0.08</v>
      </c>
      <c r="I25" s="15">
        <f t="shared" si="2"/>
        <v>0</v>
      </c>
      <c r="J25" s="15"/>
    </row>
    <row r="26" spans="1:10" x14ac:dyDescent="0.25">
      <c r="A26" s="1" t="s">
        <v>16</v>
      </c>
      <c r="B26" s="1" t="s">
        <v>37</v>
      </c>
      <c r="C26" s="10"/>
      <c r="D26" s="10"/>
      <c r="E26" s="10">
        <v>1197</v>
      </c>
      <c r="F26" s="10"/>
      <c r="G26" s="10">
        <f t="shared" si="0"/>
        <v>1197</v>
      </c>
      <c r="H26" s="16">
        <f t="shared" si="1"/>
        <v>1.37</v>
      </c>
      <c r="I26" s="15">
        <f t="shared" si="2"/>
        <v>4.0000000000000001E-3</v>
      </c>
      <c r="J26" s="15">
        <f>ROUND(G26/220.47-1,2)</f>
        <v>4.43</v>
      </c>
    </row>
    <row r="27" spans="1:10" x14ac:dyDescent="0.25">
      <c r="A27" s="1" t="s">
        <v>16</v>
      </c>
      <c r="B27" s="1" t="s">
        <v>43</v>
      </c>
      <c r="C27" s="10"/>
      <c r="D27" s="10"/>
      <c r="E27" s="10">
        <v>1181</v>
      </c>
      <c r="F27" s="10"/>
      <c r="G27" s="10">
        <f t="shared" si="0"/>
        <v>1181</v>
      </c>
      <c r="H27" s="16">
        <f t="shared" si="1"/>
        <v>1.35</v>
      </c>
      <c r="I27" s="15">
        <f t="shared" si="2"/>
        <v>4.0000000000000001E-3</v>
      </c>
      <c r="J27" s="15"/>
    </row>
    <row r="28" spans="1:10" x14ac:dyDescent="0.25">
      <c r="A28" s="1" t="s">
        <v>16</v>
      </c>
      <c r="B28" s="1" t="s">
        <v>38</v>
      </c>
      <c r="C28" s="10"/>
      <c r="D28" s="10"/>
      <c r="E28" s="10">
        <v>23586</v>
      </c>
      <c r="F28" s="10"/>
      <c r="G28" s="10">
        <f t="shared" si="0"/>
        <v>23586</v>
      </c>
      <c r="H28" s="16">
        <f t="shared" si="1"/>
        <v>27.05</v>
      </c>
      <c r="I28" s="15">
        <f t="shared" si="2"/>
        <v>7.8E-2</v>
      </c>
      <c r="J28" s="15">
        <f>ROUND(G28/8212.37-1,2)</f>
        <v>1.87</v>
      </c>
    </row>
    <row r="29" spans="1:10" x14ac:dyDescent="0.25">
      <c r="A29" s="1" t="s">
        <v>16</v>
      </c>
      <c r="B29" s="1" t="s">
        <v>40</v>
      </c>
      <c r="C29" s="10"/>
      <c r="D29" s="10"/>
      <c r="E29" s="10">
        <v>8474</v>
      </c>
      <c r="F29" s="10"/>
      <c r="G29" s="10">
        <f t="shared" si="0"/>
        <v>8474</v>
      </c>
      <c r="H29" s="16">
        <f t="shared" si="1"/>
        <v>9.7200000000000006</v>
      </c>
      <c r="I29" s="15">
        <f t="shared" si="2"/>
        <v>2.8000000000000001E-2</v>
      </c>
      <c r="J29" s="15">
        <f>ROUND(G29/3584.75-1,2)</f>
        <v>1.36</v>
      </c>
    </row>
    <row r="30" spans="1:10" x14ac:dyDescent="0.25">
      <c r="A30" s="1" t="s">
        <v>16</v>
      </c>
      <c r="B30" s="1" t="s">
        <v>41</v>
      </c>
      <c r="C30" s="10"/>
      <c r="D30" s="10"/>
      <c r="E30" s="10">
        <v>15944</v>
      </c>
      <c r="F30" s="10"/>
      <c r="G30" s="10">
        <f t="shared" si="0"/>
        <v>15944</v>
      </c>
      <c r="H30" s="16">
        <f t="shared" si="1"/>
        <v>18.28</v>
      </c>
      <c r="I30" s="15">
        <f t="shared" si="2"/>
        <v>5.2999999999999999E-2</v>
      </c>
      <c r="J30" s="15">
        <f>ROUND(G30/704.07-1,2)</f>
        <v>21.65</v>
      </c>
    </row>
    <row r="31" spans="1:10" x14ac:dyDescent="0.25">
      <c r="A31" s="1" t="s">
        <v>16</v>
      </c>
      <c r="B31" s="1" t="s">
        <v>36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ROUND(G31/328.12-1,2)</f>
        <v>-1</v>
      </c>
    </row>
    <row r="32" spans="1:10" x14ac:dyDescent="0.25">
      <c r="A32" s="1" t="s">
        <v>16</v>
      </c>
      <c r="B32" s="1" t="s">
        <v>35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39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44</v>
      </c>
      <c r="B34" s="1" t="s">
        <v>45</v>
      </c>
      <c r="C34" s="10">
        <v>71500</v>
      </c>
      <c r="D34" s="10"/>
      <c r="E34" s="10"/>
      <c r="F34" s="10">
        <v>40</v>
      </c>
      <c r="G34" s="10">
        <f t="shared" si="0"/>
        <v>71540</v>
      </c>
      <c r="H34" s="16">
        <f t="shared" si="1"/>
        <v>82.04</v>
      </c>
      <c r="I34" s="15">
        <f t="shared" si="2"/>
        <v>0.23699999999999999</v>
      </c>
      <c r="J34" s="15">
        <f>ROUND(G34/76950-1,2)</f>
        <v>-7.0000000000000007E-2</v>
      </c>
    </row>
    <row r="35" spans="1:10" x14ac:dyDescent="0.25">
      <c r="A35" s="1" t="s">
        <v>44</v>
      </c>
      <c r="B35" s="1" t="s">
        <v>47</v>
      </c>
      <c r="C35" s="10"/>
      <c r="D35" s="10"/>
      <c r="E35" s="10"/>
      <c r="F35" s="10">
        <v>6370</v>
      </c>
      <c r="G35" s="10">
        <f t="shared" si="0"/>
        <v>6370</v>
      </c>
      <c r="H35" s="16">
        <f t="shared" si="1"/>
        <v>7.31</v>
      </c>
      <c r="I35" s="15">
        <f t="shared" si="2"/>
        <v>2.1000000000000001E-2</v>
      </c>
      <c r="J35" s="15"/>
    </row>
    <row r="36" spans="1:10" x14ac:dyDescent="0.25">
      <c r="A36" s="1" t="s">
        <v>44</v>
      </c>
      <c r="B36" s="1" t="s">
        <v>46</v>
      </c>
      <c r="C36" s="10"/>
      <c r="D36" s="10"/>
      <c r="E36" s="10">
        <v>13961</v>
      </c>
      <c r="F36" s="10"/>
      <c r="G36" s="10">
        <f t="shared" si="0"/>
        <v>13961</v>
      </c>
      <c r="H36" s="16">
        <f t="shared" si="1"/>
        <v>16.010000000000002</v>
      </c>
      <c r="I36" s="15">
        <f t="shared" si="2"/>
        <v>4.5999999999999999E-2</v>
      </c>
      <c r="J36" s="15">
        <f>ROUND(G36/4719.52-1,2)</f>
        <v>1.96</v>
      </c>
    </row>
    <row r="37" spans="1:10" x14ac:dyDescent="0.25">
      <c r="A37" s="1" t="s">
        <v>48</v>
      </c>
      <c r="B37" s="1" t="s">
        <v>51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27" t="s">
        <v>12</v>
      </c>
      <c r="B38" s="27"/>
      <c r="C38" s="11">
        <f t="shared" ref="C38:H38" si="3">SUM(C8:C37)</f>
        <v>188570</v>
      </c>
      <c r="D38" s="11">
        <f t="shared" si="3"/>
        <v>0</v>
      </c>
      <c r="E38" s="11">
        <f t="shared" si="3"/>
        <v>106587</v>
      </c>
      <c r="F38" s="11">
        <f t="shared" si="3"/>
        <v>6500</v>
      </c>
      <c r="G38" s="11">
        <f t="shared" si="3"/>
        <v>301657</v>
      </c>
      <c r="H38" s="14">
        <f t="shared" si="3"/>
        <v>345.92000000000007</v>
      </c>
      <c r="I38" s="17"/>
      <c r="J38" s="17"/>
    </row>
    <row r="39" spans="1:10" x14ac:dyDescent="0.25">
      <c r="A39" s="27" t="s">
        <v>14</v>
      </c>
      <c r="B39" s="27"/>
      <c r="C39" s="12">
        <f>ROUND(C38/G38,2)</f>
        <v>0.63</v>
      </c>
      <c r="D39" s="12">
        <f>ROUND(D38/G38,2)</f>
        <v>0</v>
      </c>
      <c r="E39" s="12">
        <f>ROUND(E38/G38,2)</f>
        <v>0.35</v>
      </c>
      <c r="F39" s="12">
        <f>ROUND(F38/G38,2)</f>
        <v>0.02</v>
      </c>
      <c r="G39" s="13"/>
      <c r="H39" s="13"/>
      <c r="I39" s="17"/>
      <c r="J39" s="17"/>
    </row>
    <row r="40" spans="1:10" x14ac:dyDescent="0.25">
      <c r="A40" s="2" t="s">
        <v>52</v>
      </c>
      <c r="B40" s="2"/>
      <c r="C40" s="13"/>
      <c r="D40" s="13"/>
      <c r="E40" s="13"/>
      <c r="F40" s="13"/>
      <c r="G40" s="13"/>
      <c r="H40" s="13"/>
      <c r="I40" s="17"/>
      <c r="J40" s="17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A44" s="27" t="s">
        <v>53</v>
      </c>
      <c r="B44" s="27"/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4" t="s">
        <v>13</v>
      </c>
      <c r="I44" s="17"/>
      <c r="J44" s="17"/>
    </row>
    <row r="45" spans="1:10" x14ac:dyDescent="0.25">
      <c r="A45" s="22" t="s">
        <v>54</v>
      </c>
      <c r="B45" s="22"/>
      <c r="C45" s="10">
        <v>117070</v>
      </c>
      <c r="D45" s="10">
        <v>0</v>
      </c>
      <c r="E45" s="10">
        <v>92626</v>
      </c>
      <c r="F45" s="10">
        <v>90</v>
      </c>
      <c r="G45" s="10">
        <f>SUM(C45:F45)</f>
        <v>209786</v>
      </c>
      <c r="H45" s="16">
        <f>ROUND(G45/872,2)</f>
        <v>240.58</v>
      </c>
      <c r="I45" s="9"/>
      <c r="J45" s="9"/>
    </row>
    <row r="46" spans="1:10" x14ac:dyDescent="0.25">
      <c r="A46" s="22" t="s">
        <v>55</v>
      </c>
      <c r="B46" s="22"/>
      <c r="C46" s="10">
        <v>71500</v>
      </c>
      <c r="D46" s="10">
        <v>0</v>
      </c>
      <c r="E46" s="10">
        <v>13961</v>
      </c>
      <c r="F46" s="10">
        <v>6410</v>
      </c>
      <c r="G46" s="10">
        <f>SUM(C46:F46)</f>
        <v>91871</v>
      </c>
      <c r="H46" s="16">
        <f>ROUND(G46/872,2)</f>
        <v>105.36</v>
      </c>
      <c r="I46" s="9"/>
      <c r="J46" s="9"/>
    </row>
    <row r="47" spans="1:10" x14ac:dyDescent="0.25">
      <c r="A47" s="22" t="s">
        <v>56</v>
      </c>
      <c r="B47" s="22"/>
      <c r="C47" s="10">
        <v>0</v>
      </c>
      <c r="D47" s="10">
        <v>0</v>
      </c>
      <c r="E47" s="10">
        <v>0</v>
      </c>
      <c r="F47" s="10">
        <v>0</v>
      </c>
      <c r="G47" s="10">
        <f>SUM(C47:F47)</f>
        <v>0</v>
      </c>
      <c r="H47" s="16">
        <f>ROUND(G47/872,2)</f>
        <v>0</v>
      </c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57</v>
      </c>
      <c r="B52" s="27"/>
      <c r="C52" s="14" t="s">
        <v>2</v>
      </c>
      <c r="D52" s="14">
        <v>2023</v>
      </c>
      <c r="E52" s="14" t="s">
        <v>59</v>
      </c>
      <c r="F52" s="13"/>
      <c r="G52" s="14" t="s">
        <v>60</v>
      </c>
      <c r="H52" s="14" t="s">
        <v>2</v>
      </c>
      <c r="I52" s="12" t="s">
        <v>61</v>
      </c>
      <c r="J52" s="12" t="s">
        <v>59</v>
      </c>
    </row>
    <row r="53" spans="1:10" x14ac:dyDescent="0.25">
      <c r="A53" s="22" t="s">
        <v>58</v>
      </c>
      <c r="B53" s="22"/>
      <c r="C53" s="15">
        <f>ROUND(0.7344, 4)</f>
        <v>0.73440000000000005</v>
      </c>
      <c r="D53" s="15">
        <f>ROUND(0.6403, 4)</f>
        <v>0.64029999999999998</v>
      </c>
      <c r="E53" s="15">
        <f>ROUND(0.777, 4)</f>
        <v>0.77700000000000002</v>
      </c>
      <c r="F53" s="8"/>
      <c r="G53" s="14" t="s">
        <v>62</v>
      </c>
      <c r="H53" s="28" t="s">
        <v>63</v>
      </c>
      <c r="I53" s="25" t="s">
        <v>64</v>
      </c>
      <c r="J53" s="25" t="s">
        <v>65</v>
      </c>
    </row>
    <row r="54" spans="1:10" x14ac:dyDescent="0.25">
      <c r="A54" s="22" t="s">
        <v>66</v>
      </c>
      <c r="B54" s="22"/>
      <c r="C54" s="15">
        <f>ROUND(0.6957, 4)</f>
        <v>0.69569999999999999</v>
      </c>
      <c r="D54" s="15">
        <f>ROUND(0.5967, 4)</f>
        <v>0.59670000000000001</v>
      </c>
      <c r="E54" s="15">
        <f>ROUND(0.7608, 4)</f>
        <v>0.76080000000000003</v>
      </c>
      <c r="F54" s="8"/>
      <c r="G54" s="14" t="s">
        <v>67</v>
      </c>
      <c r="H54" s="29"/>
      <c r="I54" s="26"/>
      <c r="J54" s="26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68</v>
      </c>
      <c r="B58" s="27"/>
      <c r="C58" s="14" t="s">
        <v>2</v>
      </c>
      <c r="D58" s="14" t="s">
        <v>318</v>
      </c>
      <c r="E58" s="14" t="s">
        <v>70</v>
      </c>
      <c r="F58" s="14" t="s">
        <v>71</v>
      </c>
      <c r="G58" s="14" t="s">
        <v>72</v>
      </c>
      <c r="H58" s="13"/>
      <c r="I58" s="17"/>
      <c r="J58" s="17"/>
    </row>
    <row r="59" spans="1:10" x14ac:dyDescent="0.25">
      <c r="A59" s="22" t="s">
        <v>73</v>
      </c>
      <c r="B59" s="22"/>
      <c r="C59" s="16">
        <v>82.04</v>
      </c>
      <c r="D59" s="16">
        <v>87.46</v>
      </c>
      <c r="E59" s="16">
        <v>92.53</v>
      </c>
      <c r="F59" s="16">
        <v>56.06</v>
      </c>
      <c r="G59" s="16">
        <f>12/11*C59</f>
        <v>89.49818181818182</v>
      </c>
      <c r="H59" s="8"/>
      <c r="I59" s="9"/>
      <c r="J59" s="9"/>
    </row>
    <row r="60" spans="1:10" x14ac:dyDescent="0.25">
      <c r="A60" s="22" t="s">
        <v>74</v>
      </c>
      <c r="B60" s="22"/>
      <c r="C60" s="16">
        <v>35.07</v>
      </c>
      <c r="D60" s="16">
        <v>45.02</v>
      </c>
      <c r="E60" s="16">
        <v>61.98</v>
      </c>
      <c r="F60" s="16">
        <v>64.09</v>
      </c>
      <c r="G60" s="16">
        <f>12/11*C60</f>
        <v>38.258181818181818</v>
      </c>
      <c r="H60" s="8"/>
      <c r="I60" s="9"/>
      <c r="J60" s="9"/>
    </row>
    <row r="61" spans="1:10" x14ac:dyDescent="0.25">
      <c r="A61" s="22" t="s">
        <v>75</v>
      </c>
      <c r="B61" s="22"/>
      <c r="C61" s="16">
        <v>240.58</v>
      </c>
      <c r="D61" s="16">
        <v>212.7</v>
      </c>
      <c r="E61" s="16">
        <v>291.51</v>
      </c>
      <c r="F61" s="16">
        <v>284.45</v>
      </c>
      <c r="G61" s="16">
        <f>12/11*C61</f>
        <v>262.45090909090908</v>
      </c>
      <c r="H61" s="8"/>
      <c r="I61" s="9"/>
      <c r="J61" s="9"/>
    </row>
    <row r="62" spans="1:10" x14ac:dyDescent="0.25">
      <c r="A62" s="22" t="s">
        <v>76</v>
      </c>
      <c r="B62" s="22"/>
      <c r="C62" s="16">
        <v>105.36</v>
      </c>
      <c r="D62" s="16">
        <v>105.38</v>
      </c>
      <c r="E62" s="16">
        <v>116.46</v>
      </c>
      <c r="F62" s="16">
        <v>79.959999999999994</v>
      </c>
      <c r="G62" s="16">
        <f>12/11*C62</f>
        <v>114.9381818181818</v>
      </c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3" t="s">
        <v>60</v>
      </c>
      <c r="B65" s="24"/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77</v>
      </c>
      <c r="B66" s="1" t="s">
        <v>319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70</v>
      </c>
      <c r="B67" s="1" t="s">
        <v>79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71</v>
      </c>
      <c r="B68" s="1" t="s">
        <v>80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72</v>
      </c>
      <c r="B69" s="1" t="s">
        <v>81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</sheetData>
  <mergeCells count="19">
    <mergeCell ref="C7:G7"/>
    <mergeCell ref="A38:B38"/>
    <mergeCell ref="A39:B39"/>
    <mergeCell ref="A44:B44"/>
    <mergeCell ref="A45:B45"/>
    <mergeCell ref="J53:J54"/>
    <mergeCell ref="A54:B54"/>
    <mergeCell ref="A58:B58"/>
    <mergeCell ref="A59:B59"/>
    <mergeCell ref="A46:B46"/>
    <mergeCell ref="A47:B47"/>
    <mergeCell ref="A52:B52"/>
    <mergeCell ref="A53:B53"/>
    <mergeCell ref="H53:H54"/>
    <mergeCell ref="A60:B60"/>
    <mergeCell ref="A61:B61"/>
    <mergeCell ref="A62:B62"/>
    <mergeCell ref="A65:B65"/>
    <mergeCell ref="I53:I5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2:J76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0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320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1228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25</v>
      </c>
      <c r="F9" s="10"/>
      <c r="G9" s="10">
        <f t="shared" ref="G9:G44" si="0">SUM(C9:F9)</f>
        <v>25</v>
      </c>
      <c r="H9" s="16">
        <f t="shared" ref="H9:H44" si="1">ROUND(G9/1228,2)</f>
        <v>0.02</v>
      </c>
      <c r="I9" s="15">
        <f t="shared" ref="I9:I44" si="2">ROUND(G9/$G$45,3)</f>
        <v>0</v>
      </c>
      <c r="J9" s="15">
        <f>ROUND(G9/125-1,2)</f>
        <v>-0.8</v>
      </c>
    </row>
    <row r="10" spans="1:10" x14ac:dyDescent="0.25">
      <c r="A10" s="1" t="s">
        <v>16</v>
      </c>
      <c r="B10" s="1" t="s">
        <v>19</v>
      </c>
      <c r="C10" s="10">
        <v>38710</v>
      </c>
      <c r="D10" s="10"/>
      <c r="E10" s="10">
        <v>5186</v>
      </c>
      <c r="F10" s="10"/>
      <c r="G10" s="10">
        <f t="shared" si="0"/>
        <v>43896</v>
      </c>
      <c r="H10" s="16">
        <f t="shared" si="1"/>
        <v>35.75</v>
      </c>
      <c r="I10" s="15">
        <f t="shared" si="2"/>
        <v>7.9000000000000001E-2</v>
      </c>
      <c r="J10" s="15">
        <f>ROUND(G10/54948.06-1,2)</f>
        <v>-0.2</v>
      </c>
    </row>
    <row r="11" spans="1:10" x14ac:dyDescent="0.25">
      <c r="A11" s="1" t="s">
        <v>16</v>
      </c>
      <c r="B11" s="1" t="s">
        <v>20</v>
      </c>
      <c r="C11" s="10">
        <v>56380</v>
      </c>
      <c r="D11" s="10"/>
      <c r="E11" s="10"/>
      <c r="F11" s="10"/>
      <c r="G11" s="10">
        <f t="shared" si="0"/>
        <v>56380</v>
      </c>
      <c r="H11" s="16">
        <f t="shared" si="1"/>
        <v>45.91</v>
      </c>
      <c r="I11" s="15">
        <f t="shared" si="2"/>
        <v>0.10199999999999999</v>
      </c>
      <c r="J11" s="15">
        <f>ROUND(G11/58405-1,2)</f>
        <v>-0.03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168</v>
      </c>
      <c r="F12" s="10"/>
      <c r="G12" s="10">
        <f t="shared" si="0"/>
        <v>168</v>
      </c>
      <c r="H12" s="16">
        <f t="shared" si="1"/>
        <v>0.14000000000000001</v>
      </c>
      <c r="I12" s="15">
        <f t="shared" si="2"/>
        <v>0</v>
      </c>
      <c r="J12" s="15">
        <f>ROUND(G12/344.28-1,2)</f>
        <v>-0.51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879</v>
      </c>
      <c r="F13" s="10"/>
      <c r="G13" s="10">
        <f t="shared" si="0"/>
        <v>879</v>
      </c>
      <c r="H13" s="16">
        <f t="shared" si="1"/>
        <v>0.72</v>
      </c>
      <c r="I13" s="15">
        <f t="shared" si="2"/>
        <v>2E-3</v>
      </c>
      <c r="J13" s="15">
        <f>ROUND(G13/2045.72-1,2)</f>
        <v>-0.56999999999999995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45826</v>
      </c>
      <c r="F14" s="10"/>
      <c r="G14" s="10">
        <f t="shared" si="0"/>
        <v>45826</v>
      </c>
      <c r="H14" s="16">
        <f t="shared" si="1"/>
        <v>37.32</v>
      </c>
      <c r="I14" s="15">
        <f t="shared" si="2"/>
        <v>8.3000000000000004E-2</v>
      </c>
      <c r="J14" s="15">
        <f>ROUND(G14/109335.97-1,2)</f>
        <v>-0.57999999999999996</v>
      </c>
    </row>
    <row r="15" spans="1:10" x14ac:dyDescent="0.25">
      <c r="A15" s="1" t="s">
        <v>16</v>
      </c>
      <c r="B15" s="1" t="s">
        <v>24</v>
      </c>
      <c r="C15" s="10">
        <v>50510</v>
      </c>
      <c r="D15" s="10"/>
      <c r="E15" s="10">
        <v>17033</v>
      </c>
      <c r="F15" s="10"/>
      <c r="G15" s="10">
        <f t="shared" si="0"/>
        <v>67543</v>
      </c>
      <c r="H15" s="16">
        <f t="shared" si="1"/>
        <v>55</v>
      </c>
      <c r="I15" s="15">
        <f t="shared" si="2"/>
        <v>0.122</v>
      </c>
      <c r="J15" s="15">
        <f>ROUND(G15/88936.67-1,2)</f>
        <v>-0.24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4828</v>
      </c>
      <c r="F16" s="10"/>
      <c r="G16" s="10">
        <f t="shared" si="0"/>
        <v>4828</v>
      </c>
      <c r="H16" s="16">
        <f t="shared" si="1"/>
        <v>3.93</v>
      </c>
      <c r="I16" s="15">
        <f t="shared" si="2"/>
        <v>8.9999999999999993E-3</v>
      </c>
      <c r="J16" s="15">
        <f>ROUND(G16/11570-1,2)</f>
        <v>-0.57999999999999996</v>
      </c>
    </row>
    <row r="17" spans="1:10" x14ac:dyDescent="0.25">
      <c r="A17" s="1" t="s">
        <v>16</v>
      </c>
      <c r="B17" s="1" t="s">
        <v>26</v>
      </c>
      <c r="C17" s="10">
        <v>35190</v>
      </c>
      <c r="D17" s="10"/>
      <c r="E17" s="10"/>
      <c r="F17" s="10"/>
      <c r="G17" s="10">
        <f t="shared" si="0"/>
        <v>35190</v>
      </c>
      <c r="H17" s="16">
        <f t="shared" si="1"/>
        <v>28.66</v>
      </c>
      <c r="I17" s="15">
        <f t="shared" si="2"/>
        <v>6.4000000000000001E-2</v>
      </c>
      <c r="J17" s="15">
        <f>ROUND(G17/37600-1,2)</f>
        <v>-0.06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531</v>
      </c>
      <c r="F18" s="10"/>
      <c r="G18" s="10">
        <f t="shared" si="0"/>
        <v>531</v>
      </c>
      <c r="H18" s="16">
        <f t="shared" si="1"/>
        <v>0.43</v>
      </c>
      <c r="I18" s="15">
        <f t="shared" si="2"/>
        <v>1E-3</v>
      </c>
      <c r="J18" s="15">
        <f>ROUND(G18/1831-1,2)</f>
        <v>-0.71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262</v>
      </c>
      <c r="F19" s="10"/>
      <c r="G19" s="10">
        <f t="shared" si="0"/>
        <v>262</v>
      </c>
      <c r="H19" s="16">
        <f t="shared" si="1"/>
        <v>0.21</v>
      </c>
      <c r="I19" s="15">
        <f t="shared" si="2"/>
        <v>0</v>
      </c>
      <c r="J19" s="15">
        <f>ROUND(G19/979-1,2)</f>
        <v>-0.73</v>
      </c>
    </row>
    <row r="20" spans="1:10" x14ac:dyDescent="0.25">
      <c r="A20" s="1" t="s">
        <v>16</v>
      </c>
      <c r="B20" s="1" t="s">
        <v>42</v>
      </c>
      <c r="C20" s="10"/>
      <c r="D20" s="10"/>
      <c r="E20" s="10">
        <v>67</v>
      </c>
      <c r="F20" s="10"/>
      <c r="G20" s="10">
        <f t="shared" si="0"/>
        <v>67</v>
      </c>
      <c r="H20" s="16">
        <f t="shared" si="1"/>
        <v>0.05</v>
      </c>
      <c r="I20" s="15">
        <f t="shared" si="2"/>
        <v>0</v>
      </c>
      <c r="J20" s="15">
        <f>ROUND(G20/51.48-1,2)</f>
        <v>0.3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794</v>
      </c>
      <c r="F21" s="10"/>
      <c r="G21" s="10">
        <f t="shared" si="0"/>
        <v>794</v>
      </c>
      <c r="H21" s="16">
        <f t="shared" si="1"/>
        <v>0.65</v>
      </c>
      <c r="I21" s="15">
        <f t="shared" si="2"/>
        <v>1E-3</v>
      </c>
      <c r="J21" s="15">
        <f>ROUND(G21/4605.39-1,2)</f>
        <v>-0.83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310</v>
      </c>
      <c r="F22" s="10"/>
      <c r="G22" s="10">
        <f t="shared" si="0"/>
        <v>310</v>
      </c>
      <c r="H22" s="16">
        <f t="shared" si="1"/>
        <v>0.25</v>
      </c>
      <c r="I22" s="15">
        <f t="shared" si="2"/>
        <v>1E-3</v>
      </c>
      <c r="J22" s="15">
        <f>ROUND(G22/765.6-1,2)</f>
        <v>-0.6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71</v>
      </c>
      <c r="F23" s="10"/>
      <c r="G23" s="10">
        <f t="shared" si="0"/>
        <v>71</v>
      </c>
      <c r="H23" s="16">
        <f t="shared" si="1"/>
        <v>0.06</v>
      </c>
      <c r="I23" s="15">
        <f t="shared" si="2"/>
        <v>0</v>
      </c>
      <c r="J23" s="15"/>
    </row>
    <row r="24" spans="1:10" x14ac:dyDescent="0.25">
      <c r="A24" s="1" t="s">
        <v>16</v>
      </c>
      <c r="B24" s="1" t="s">
        <v>32</v>
      </c>
      <c r="C24" s="10"/>
      <c r="D24" s="10"/>
      <c r="E24" s="10">
        <v>1563</v>
      </c>
      <c r="F24" s="10"/>
      <c r="G24" s="10">
        <f t="shared" si="0"/>
        <v>1563</v>
      </c>
      <c r="H24" s="16">
        <f t="shared" si="1"/>
        <v>1.27</v>
      </c>
      <c r="I24" s="15">
        <f t="shared" si="2"/>
        <v>3.0000000000000001E-3</v>
      </c>
      <c r="J24" s="15">
        <f>ROUND(G24/2902.37-1,2)</f>
        <v>-0.46</v>
      </c>
    </row>
    <row r="25" spans="1:10" x14ac:dyDescent="0.25">
      <c r="A25" s="1" t="s">
        <v>16</v>
      </c>
      <c r="B25" s="1" t="s">
        <v>33</v>
      </c>
      <c r="C25" s="10"/>
      <c r="D25" s="10">
        <v>87</v>
      </c>
      <c r="E25" s="10">
        <v>92</v>
      </c>
      <c r="F25" s="10"/>
      <c r="G25" s="10">
        <f t="shared" si="0"/>
        <v>179</v>
      </c>
      <c r="H25" s="16">
        <f t="shared" si="1"/>
        <v>0.15</v>
      </c>
      <c r="I25" s="15">
        <f t="shared" si="2"/>
        <v>0</v>
      </c>
      <c r="J25" s="15">
        <f>ROUND(G25/362.73-1,2)</f>
        <v>-0.51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133</v>
      </c>
      <c r="F26" s="10"/>
      <c r="G26" s="10">
        <f t="shared" si="0"/>
        <v>133</v>
      </c>
      <c r="H26" s="16">
        <f t="shared" si="1"/>
        <v>0.11</v>
      </c>
      <c r="I26" s="15">
        <f t="shared" si="2"/>
        <v>0</v>
      </c>
      <c r="J26" s="15"/>
    </row>
    <row r="27" spans="1:10" x14ac:dyDescent="0.25">
      <c r="A27" s="1" t="s">
        <v>16</v>
      </c>
      <c r="B27" s="1" t="s">
        <v>35</v>
      </c>
      <c r="C27" s="10"/>
      <c r="D27" s="10"/>
      <c r="E27" s="10">
        <v>199</v>
      </c>
      <c r="F27" s="10"/>
      <c r="G27" s="10">
        <f t="shared" si="0"/>
        <v>199</v>
      </c>
      <c r="H27" s="16">
        <f t="shared" si="1"/>
        <v>0.16</v>
      </c>
      <c r="I27" s="15">
        <f t="shared" si="2"/>
        <v>0</v>
      </c>
      <c r="J27" s="15"/>
    </row>
    <row r="28" spans="1:10" x14ac:dyDescent="0.25">
      <c r="A28" s="1" t="s">
        <v>16</v>
      </c>
      <c r="B28" s="1" t="s">
        <v>43</v>
      </c>
      <c r="C28" s="10"/>
      <c r="D28" s="10"/>
      <c r="E28" s="10">
        <v>1384</v>
      </c>
      <c r="F28" s="10"/>
      <c r="G28" s="10">
        <f t="shared" si="0"/>
        <v>1384</v>
      </c>
      <c r="H28" s="16">
        <f t="shared" si="1"/>
        <v>1.1299999999999999</v>
      </c>
      <c r="I28" s="15">
        <f t="shared" si="2"/>
        <v>3.0000000000000001E-3</v>
      </c>
      <c r="J28" s="15">
        <f>ROUND(G28/14155-1,2)</f>
        <v>-0.9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2469</v>
      </c>
      <c r="F29" s="10"/>
      <c r="G29" s="10">
        <f t="shared" si="0"/>
        <v>2469</v>
      </c>
      <c r="H29" s="16">
        <f t="shared" si="1"/>
        <v>2.0099999999999998</v>
      </c>
      <c r="I29" s="15">
        <f t="shared" si="2"/>
        <v>4.0000000000000001E-3</v>
      </c>
      <c r="J29" s="15">
        <f>ROUND(G29/9523.66-1,2)</f>
        <v>-0.74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45258</v>
      </c>
      <c r="F30" s="10"/>
      <c r="G30" s="10">
        <f t="shared" si="0"/>
        <v>45258</v>
      </c>
      <c r="H30" s="16">
        <f t="shared" si="1"/>
        <v>36.86</v>
      </c>
      <c r="I30" s="15">
        <f t="shared" si="2"/>
        <v>8.2000000000000003E-2</v>
      </c>
      <c r="J30" s="15">
        <f>ROUND(G30/114898.73-1,2)</f>
        <v>-0.61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3331</v>
      </c>
      <c r="F31" s="10"/>
      <c r="G31" s="10">
        <f t="shared" si="0"/>
        <v>3331</v>
      </c>
      <c r="H31" s="16">
        <f t="shared" si="1"/>
        <v>2.71</v>
      </c>
      <c r="I31" s="15">
        <f t="shared" si="2"/>
        <v>6.0000000000000001E-3</v>
      </c>
      <c r="J31" s="15">
        <f>ROUND(G31/8151.35-1,2)</f>
        <v>-0.59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11237</v>
      </c>
      <c r="F32" s="10"/>
      <c r="G32" s="10">
        <f t="shared" si="0"/>
        <v>11237</v>
      </c>
      <c r="H32" s="16">
        <f t="shared" si="1"/>
        <v>9.15</v>
      </c>
      <c r="I32" s="15">
        <f t="shared" si="2"/>
        <v>0.02</v>
      </c>
      <c r="J32" s="15">
        <f>ROUND(G32/32057.41-1,2)</f>
        <v>-0.65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14129</v>
      </c>
      <c r="F33" s="10"/>
      <c r="G33" s="10">
        <f t="shared" si="0"/>
        <v>14129</v>
      </c>
      <c r="H33" s="16">
        <f t="shared" si="1"/>
        <v>11.51</v>
      </c>
      <c r="I33" s="15">
        <f t="shared" si="2"/>
        <v>2.5999999999999999E-2</v>
      </c>
      <c r="J33" s="15">
        <f>ROUND(G33/35439.47-1,2)</f>
        <v>-0.6</v>
      </c>
    </row>
    <row r="34" spans="1:10" x14ac:dyDescent="0.25">
      <c r="A34" s="1" t="s">
        <v>16</v>
      </c>
      <c r="B34" s="1" t="s">
        <v>18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ROUND(G34/4600-1,2)</f>
        <v>-1</v>
      </c>
    </row>
    <row r="35" spans="1:10" x14ac:dyDescent="0.25">
      <c r="A35" s="1" t="s">
        <v>16</v>
      </c>
      <c r="B35" s="1" t="s">
        <v>243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ROUND(G35/1540-1,2)</f>
        <v>-1</v>
      </c>
    </row>
    <row r="36" spans="1:10" x14ac:dyDescent="0.25">
      <c r="A36" s="1" t="s">
        <v>16</v>
      </c>
      <c r="B36" s="1" t="s">
        <v>36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ROUND(G36/2023.26-1,2)</f>
        <v>-1</v>
      </c>
    </row>
    <row r="37" spans="1:10" x14ac:dyDescent="0.25">
      <c r="A37" s="1" t="s">
        <v>16</v>
      </c>
      <c r="B37" s="1" t="s">
        <v>95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ROUND(G37/60-1,2)</f>
        <v>-1</v>
      </c>
    </row>
    <row r="38" spans="1:10" x14ac:dyDescent="0.25">
      <c r="A38" s="1" t="s">
        <v>16</v>
      </c>
      <c r="B38" s="1" t="s">
        <v>96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ROUND(G38/65-1,2)</f>
        <v>-1</v>
      </c>
    </row>
    <row r="39" spans="1:10" x14ac:dyDescent="0.25">
      <c r="A39" s="1" t="s">
        <v>44</v>
      </c>
      <c r="B39" s="1" t="s">
        <v>45</v>
      </c>
      <c r="C39" s="10">
        <v>192520</v>
      </c>
      <c r="D39" s="10"/>
      <c r="E39" s="10"/>
      <c r="F39" s="10"/>
      <c r="G39" s="10">
        <f t="shared" si="0"/>
        <v>192520</v>
      </c>
      <c r="H39" s="16">
        <f t="shared" si="1"/>
        <v>156.78</v>
      </c>
      <c r="I39" s="15">
        <f t="shared" si="2"/>
        <v>0.34799999999999998</v>
      </c>
      <c r="J39" s="15">
        <f>ROUND(G39/178400-1,2)</f>
        <v>0.08</v>
      </c>
    </row>
    <row r="40" spans="1:10" x14ac:dyDescent="0.25">
      <c r="A40" s="1" t="s">
        <v>44</v>
      </c>
      <c r="B40" s="1" t="s">
        <v>46</v>
      </c>
      <c r="C40" s="10"/>
      <c r="D40" s="10"/>
      <c r="E40" s="10">
        <v>24167</v>
      </c>
      <c r="F40" s="10"/>
      <c r="G40" s="10">
        <f t="shared" si="0"/>
        <v>24167</v>
      </c>
      <c r="H40" s="16">
        <f t="shared" si="1"/>
        <v>19.68</v>
      </c>
      <c r="I40" s="15">
        <f t="shared" si="2"/>
        <v>4.3999999999999997E-2</v>
      </c>
      <c r="J40" s="15">
        <f>ROUND(G40/48557.92-1,2)</f>
        <v>-0.5</v>
      </c>
    </row>
    <row r="41" spans="1:10" x14ac:dyDescent="0.25">
      <c r="A41" s="1" t="s">
        <v>44</v>
      </c>
      <c r="B41" s="1" t="s">
        <v>47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1" t="s">
        <v>48</v>
      </c>
      <c r="B42" s="1" t="s">
        <v>49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>
        <f>ROUND(G42/12-1,2)</f>
        <v>-1</v>
      </c>
    </row>
    <row r="43" spans="1:10" x14ac:dyDescent="0.25">
      <c r="A43" s="1" t="s">
        <v>48</v>
      </c>
      <c r="B43" s="1" t="s">
        <v>50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>
        <f>ROUND(G43/270-1,2)</f>
        <v>-1</v>
      </c>
    </row>
    <row r="44" spans="1:10" x14ac:dyDescent="0.25">
      <c r="A44" s="1" t="s">
        <v>48</v>
      </c>
      <c r="B44" s="1" t="s">
        <v>51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>
        <f>ROUND(G44/33-1,2)</f>
        <v>-1</v>
      </c>
    </row>
    <row r="45" spans="1:10" x14ac:dyDescent="0.25">
      <c r="A45" s="27" t="s">
        <v>12</v>
      </c>
      <c r="B45" s="27"/>
      <c r="C45" s="11">
        <f t="shared" ref="C45:H45" si="3">SUM(C8:C44)</f>
        <v>373310</v>
      </c>
      <c r="D45" s="11">
        <f t="shared" si="3"/>
        <v>87</v>
      </c>
      <c r="E45" s="11">
        <f t="shared" si="3"/>
        <v>179942</v>
      </c>
      <c r="F45" s="11">
        <f t="shared" si="3"/>
        <v>0</v>
      </c>
      <c r="G45" s="11">
        <f t="shared" si="3"/>
        <v>553339</v>
      </c>
      <c r="H45" s="14">
        <f t="shared" si="3"/>
        <v>450.62000000000006</v>
      </c>
      <c r="I45" s="17"/>
      <c r="J45" s="17"/>
    </row>
    <row r="46" spans="1:10" x14ac:dyDescent="0.25">
      <c r="A46" s="27" t="s">
        <v>14</v>
      </c>
      <c r="B46" s="27"/>
      <c r="C46" s="12">
        <f>ROUND(C45/G45,2)</f>
        <v>0.67</v>
      </c>
      <c r="D46" s="12">
        <f>ROUND(D45/G45,2)</f>
        <v>0</v>
      </c>
      <c r="E46" s="12">
        <f>ROUND(E45/G45,2)</f>
        <v>0.33</v>
      </c>
      <c r="F46" s="12">
        <f>ROUND(F45/G45,2)</f>
        <v>0</v>
      </c>
      <c r="G46" s="13"/>
      <c r="H46" s="13"/>
      <c r="I46" s="17"/>
      <c r="J46" s="17"/>
    </row>
    <row r="47" spans="1:10" x14ac:dyDescent="0.25">
      <c r="A47" s="2" t="s">
        <v>52</v>
      </c>
      <c r="B47" s="2"/>
      <c r="C47" s="13"/>
      <c r="D47" s="13"/>
      <c r="E47" s="13"/>
      <c r="F47" s="13"/>
      <c r="G47" s="13"/>
      <c r="H47" s="13"/>
      <c r="I47" s="17"/>
      <c r="J47" s="17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27" t="s">
        <v>53</v>
      </c>
      <c r="B51" s="27"/>
      <c r="C51" s="11" t="s">
        <v>8</v>
      </c>
      <c r="D51" s="11" t="s">
        <v>9</v>
      </c>
      <c r="E51" s="11" t="s">
        <v>10</v>
      </c>
      <c r="F51" s="11" t="s">
        <v>11</v>
      </c>
      <c r="G51" s="11" t="s">
        <v>12</v>
      </c>
      <c r="H51" s="14" t="s">
        <v>13</v>
      </c>
      <c r="I51" s="17"/>
      <c r="J51" s="17"/>
    </row>
    <row r="52" spans="1:10" x14ac:dyDescent="0.25">
      <c r="A52" s="22" t="s">
        <v>54</v>
      </c>
      <c r="B52" s="22"/>
      <c r="C52" s="10">
        <v>180790</v>
      </c>
      <c r="D52" s="10">
        <v>87</v>
      </c>
      <c r="E52" s="10">
        <v>155775</v>
      </c>
      <c r="F52" s="10">
        <v>0</v>
      </c>
      <c r="G52" s="10">
        <f>SUM(C52:F52)</f>
        <v>336652</v>
      </c>
      <c r="H52" s="16">
        <f>ROUND(G52/1228,2)</f>
        <v>274.14999999999998</v>
      </c>
      <c r="I52" s="9"/>
      <c r="J52" s="9"/>
    </row>
    <row r="53" spans="1:10" x14ac:dyDescent="0.25">
      <c r="A53" s="22" t="s">
        <v>55</v>
      </c>
      <c r="B53" s="22"/>
      <c r="C53" s="10">
        <v>192520</v>
      </c>
      <c r="D53" s="10">
        <v>0</v>
      </c>
      <c r="E53" s="10">
        <v>24167</v>
      </c>
      <c r="F53" s="10">
        <v>0</v>
      </c>
      <c r="G53" s="10">
        <f>SUM(C53:F53)</f>
        <v>216687</v>
      </c>
      <c r="H53" s="16">
        <f>ROUND(G53/1228,2)</f>
        <v>176.46</v>
      </c>
      <c r="I53" s="9"/>
      <c r="J53" s="9"/>
    </row>
    <row r="54" spans="1:10" x14ac:dyDescent="0.25">
      <c r="A54" s="22" t="s">
        <v>56</v>
      </c>
      <c r="B54" s="22"/>
      <c r="C54" s="10">
        <v>0</v>
      </c>
      <c r="D54" s="10">
        <v>0</v>
      </c>
      <c r="E54" s="10">
        <v>0</v>
      </c>
      <c r="F54" s="10">
        <v>0</v>
      </c>
      <c r="G54" s="10">
        <f>SUM(C54:F54)</f>
        <v>0</v>
      </c>
      <c r="H54" s="16">
        <f>ROUND(G54/1228,2)</f>
        <v>0</v>
      </c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A59" s="27" t="s">
        <v>57</v>
      </c>
      <c r="B59" s="27"/>
      <c r="C59" s="14" t="s">
        <v>2</v>
      </c>
      <c r="D59" s="14">
        <v>2023</v>
      </c>
      <c r="E59" s="14" t="s">
        <v>59</v>
      </c>
      <c r="F59" s="13"/>
      <c r="G59" s="14" t="s">
        <v>60</v>
      </c>
      <c r="H59" s="14" t="s">
        <v>2</v>
      </c>
      <c r="I59" s="12" t="s">
        <v>61</v>
      </c>
      <c r="J59" s="12" t="s">
        <v>59</v>
      </c>
    </row>
    <row r="60" spans="1:10" x14ac:dyDescent="0.25">
      <c r="A60" s="22" t="s">
        <v>58</v>
      </c>
      <c r="B60" s="22"/>
      <c r="C60" s="15">
        <f>ROUND(0.6186, 4)</f>
        <v>0.61860000000000004</v>
      </c>
      <c r="D60" s="15">
        <f>ROUND(0.7347, 4)</f>
        <v>0.73470000000000002</v>
      </c>
      <c r="E60" s="15">
        <f>ROUND(0.777, 4)</f>
        <v>0.77700000000000002</v>
      </c>
      <c r="F60" s="8"/>
      <c r="G60" s="14" t="s">
        <v>62</v>
      </c>
      <c r="H60" s="28" t="s">
        <v>63</v>
      </c>
      <c r="I60" s="25" t="s">
        <v>64</v>
      </c>
      <c r="J60" s="25" t="s">
        <v>65</v>
      </c>
    </row>
    <row r="61" spans="1:10" x14ac:dyDescent="0.25">
      <c r="A61" s="22" t="s">
        <v>66</v>
      </c>
      <c r="B61" s="22"/>
      <c r="C61" s="15">
        <f>ROUND(0.5864, 4)</f>
        <v>0.58640000000000003</v>
      </c>
      <c r="D61" s="15">
        <f>ROUND(0.7053, 4)</f>
        <v>0.70530000000000004</v>
      </c>
      <c r="E61" s="15">
        <f>ROUND(0.7608, 4)</f>
        <v>0.76080000000000003</v>
      </c>
      <c r="F61" s="8"/>
      <c r="G61" s="14" t="s">
        <v>67</v>
      </c>
      <c r="H61" s="29"/>
      <c r="I61" s="26"/>
      <c r="J61" s="26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7" t="s">
        <v>68</v>
      </c>
      <c r="B65" s="27"/>
      <c r="C65" s="14" t="s">
        <v>2</v>
      </c>
      <c r="D65" s="14" t="s">
        <v>321</v>
      </c>
      <c r="E65" s="14" t="s">
        <v>70</v>
      </c>
      <c r="F65" s="14" t="s">
        <v>71</v>
      </c>
      <c r="G65" s="14" t="s">
        <v>72</v>
      </c>
      <c r="H65" s="13"/>
      <c r="I65" s="17"/>
      <c r="J65" s="17"/>
    </row>
    <row r="66" spans="1:10" x14ac:dyDescent="0.25">
      <c r="A66" s="22" t="s">
        <v>73</v>
      </c>
      <c r="B66" s="22"/>
      <c r="C66" s="16">
        <v>156.78</v>
      </c>
      <c r="D66" s="16">
        <v>117.4</v>
      </c>
      <c r="E66" s="16">
        <v>92.53</v>
      </c>
      <c r="F66" s="16">
        <v>56.06</v>
      </c>
      <c r="G66" s="16">
        <f>12/11*C66</f>
        <v>171.03272727272727</v>
      </c>
      <c r="H66" s="8"/>
      <c r="I66" s="9"/>
      <c r="J66" s="9"/>
    </row>
    <row r="67" spans="1:10" x14ac:dyDescent="0.25">
      <c r="A67" s="22" t="s">
        <v>74</v>
      </c>
      <c r="B67" s="22"/>
      <c r="C67" s="16">
        <v>28.66</v>
      </c>
      <c r="D67" s="16">
        <v>47.53</v>
      </c>
      <c r="E67" s="16">
        <v>61.98</v>
      </c>
      <c r="F67" s="16">
        <v>64.09</v>
      </c>
      <c r="G67" s="16">
        <f>12/11*C67</f>
        <v>31.265454545454542</v>
      </c>
      <c r="H67" s="8"/>
      <c r="I67" s="9"/>
      <c r="J67" s="9"/>
    </row>
    <row r="68" spans="1:10" x14ac:dyDescent="0.25">
      <c r="A68" s="22" t="s">
        <v>75</v>
      </c>
      <c r="B68" s="22"/>
      <c r="C68" s="16">
        <v>274.14999999999998</v>
      </c>
      <c r="D68" s="16">
        <v>389.35</v>
      </c>
      <c r="E68" s="16">
        <v>291.51</v>
      </c>
      <c r="F68" s="16">
        <v>284.45</v>
      </c>
      <c r="G68" s="16">
        <f>12/11*C68</f>
        <v>299.07272727272721</v>
      </c>
      <c r="H68" s="8"/>
      <c r="I68" s="9"/>
      <c r="J68" s="9"/>
    </row>
    <row r="69" spans="1:10" x14ac:dyDescent="0.25">
      <c r="A69" s="22" t="s">
        <v>76</v>
      </c>
      <c r="B69" s="22"/>
      <c r="C69" s="1">
        <v>176.46</v>
      </c>
      <c r="D69" s="1">
        <v>141.80000000000001</v>
      </c>
      <c r="E69" s="1">
        <v>116.46</v>
      </c>
      <c r="F69" s="1">
        <v>79.959999999999994</v>
      </c>
      <c r="G69" s="1">
        <f>12/11*C69</f>
        <v>192.50181818181818</v>
      </c>
    </row>
    <row r="72" spans="1:10" x14ac:dyDescent="0.25">
      <c r="A72" s="23" t="s">
        <v>60</v>
      </c>
      <c r="B72" s="24"/>
    </row>
    <row r="73" spans="1:10" x14ac:dyDescent="0.25">
      <c r="A73" s="3" t="s">
        <v>77</v>
      </c>
      <c r="B73" s="1" t="s">
        <v>322</v>
      </c>
    </row>
    <row r="74" spans="1:10" x14ac:dyDescent="0.25">
      <c r="A74" s="3" t="s">
        <v>70</v>
      </c>
      <c r="B74" s="1" t="s">
        <v>79</v>
      </c>
    </row>
    <row r="75" spans="1:10" x14ac:dyDescent="0.25">
      <c r="A75" s="3" t="s">
        <v>71</v>
      </c>
      <c r="B75" s="1" t="s">
        <v>80</v>
      </c>
    </row>
    <row r="76" spans="1:10" x14ac:dyDescent="0.25">
      <c r="A76" s="3" t="s">
        <v>72</v>
      </c>
      <c r="B76" s="1" t="s">
        <v>81</v>
      </c>
    </row>
  </sheetData>
  <mergeCells count="19">
    <mergeCell ref="C7:G7"/>
    <mergeCell ref="A45:B45"/>
    <mergeCell ref="A46:B46"/>
    <mergeCell ref="A51:B51"/>
    <mergeCell ref="A52:B52"/>
    <mergeCell ref="J60:J61"/>
    <mergeCell ref="A61:B61"/>
    <mergeCell ref="A65:B65"/>
    <mergeCell ref="A66:B66"/>
    <mergeCell ref="A53:B53"/>
    <mergeCell ref="A54:B54"/>
    <mergeCell ref="A59:B59"/>
    <mergeCell ref="A60:B60"/>
    <mergeCell ref="H60:H61"/>
    <mergeCell ref="A67:B67"/>
    <mergeCell ref="A68:B68"/>
    <mergeCell ref="A69:B69"/>
    <mergeCell ref="A72:B72"/>
    <mergeCell ref="I60:I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2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5703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105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699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81</v>
      </c>
      <c r="F9" s="10"/>
      <c r="G9" s="10">
        <f t="shared" ref="G9:G39" si="0">SUM(C9:F9)</f>
        <v>81</v>
      </c>
      <c r="H9" s="16">
        <f t="shared" ref="H9:H39" si="1">ROUND(G9/699,2)</f>
        <v>0.12</v>
      </c>
      <c r="I9" s="15">
        <f t="shared" ref="I9:I39" si="2">ROUND(G9/$G$40,3)</f>
        <v>0</v>
      </c>
      <c r="J9" s="15">
        <f>ROUND(G9/25-1,2)</f>
        <v>2.2400000000000002</v>
      </c>
    </row>
    <row r="10" spans="1:10" x14ac:dyDescent="0.25">
      <c r="A10" s="1" t="s">
        <v>16</v>
      </c>
      <c r="B10" s="1" t="s">
        <v>19</v>
      </c>
      <c r="C10" s="10">
        <v>22005</v>
      </c>
      <c r="D10" s="10"/>
      <c r="E10" s="10"/>
      <c r="F10" s="10"/>
      <c r="G10" s="10">
        <f t="shared" si="0"/>
        <v>22005</v>
      </c>
      <c r="H10" s="16">
        <f t="shared" si="1"/>
        <v>31.48</v>
      </c>
      <c r="I10" s="15">
        <f t="shared" si="2"/>
        <v>7.3999999999999996E-2</v>
      </c>
      <c r="J10" s="15">
        <f>ROUND(G10/22580-1,2)</f>
        <v>-0.03</v>
      </c>
    </row>
    <row r="11" spans="1:10" x14ac:dyDescent="0.25">
      <c r="A11" s="1" t="s">
        <v>16</v>
      </c>
      <c r="B11" s="1" t="s">
        <v>20</v>
      </c>
      <c r="C11" s="10">
        <v>32100</v>
      </c>
      <c r="D11" s="10"/>
      <c r="E11" s="10"/>
      <c r="F11" s="10"/>
      <c r="G11" s="10">
        <f t="shared" si="0"/>
        <v>32100</v>
      </c>
      <c r="H11" s="16">
        <f t="shared" si="1"/>
        <v>45.92</v>
      </c>
      <c r="I11" s="15">
        <f t="shared" si="2"/>
        <v>0.108</v>
      </c>
      <c r="J11" s="15">
        <f>ROUND(G11/31855-1,2)</f>
        <v>0.01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112</v>
      </c>
      <c r="F12" s="10"/>
      <c r="G12" s="10">
        <f t="shared" si="0"/>
        <v>112</v>
      </c>
      <c r="H12" s="16">
        <f t="shared" si="1"/>
        <v>0.16</v>
      </c>
      <c r="I12" s="15">
        <f t="shared" si="2"/>
        <v>0</v>
      </c>
      <c r="J12" s="15">
        <f>ROUND(G12/74-1,2)</f>
        <v>0.51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77</v>
      </c>
      <c r="F13" s="10"/>
      <c r="G13" s="10">
        <f t="shared" si="0"/>
        <v>77</v>
      </c>
      <c r="H13" s="16">
        <f t="shared" si="1"/>
        <v>0.11</v>
      </c>
      <c r="I13" s="15">
        <f t="shared" si="2"/>
        <v>0</v>
      </c>
      <c r="J13" s="15"/>
    </row>
    <row r="14" spans="1:10" x14ac:dyDescent="0.25">
      <c r="A14" s="1" t="s">
        <v>16</v>
      </c>
      <c r="B14" s="1" t="s">
        <v>22</v>
      </c>
      <c r="C14" s="10"/>
      <c r="D14" s="10"/>
      <c r="E14" s="10">
        <v>900</v>
      </c>
      <c r="F14" s="10"/>
      <c r="G14" s="10">
        <f t="shared" si="0"/>
        <v>900</v>
      </c>
      <c r="H14" s="16">
        <f t="shared" si="1"/>
        <v>1.29</v>
      </c>
      <c r="I14" s="15">
        <f t="shared" si="2"/>
        <v>3.0000000000000001E-3</v>
      </c>
      <c r="J14" s="15">
        <f>ROUND(G14/1000-1,2)</f>
        <v>-0.1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52660</v>
      </c>
      <c r="F15" s="10"/>
      <c r="G15" s="10">
        <f t="shared" si="0"/>
        <v>52660</v>
      </c>
      <c r="H15" s="16">
        <f t="shared" si="1"/>
        <v>75.34</v>
      </c>
      <c r="I15" s="15">
        <f t="shared" si="2"/>
        <v>0.17699999999999999</v>
      </c>
      <c r="J15" s="15">
        <f>ROUND(G15/65260-1,2)</f>
        <v>-0.19</v>
      </c>
    </row>
    <row r="16" spans="1:10" x14ac:dyDescent="0.25">
      <c r="A16" s="1" t="s">
        <v>16</v>
      </c>
      <c r="B16" s="1" t="s">
        <v>24</v>
      </c>
      <c r="C16" s="10">
        <v>25595</v>
      </c>
      <c r="D16" s="10"/>
      <c r="E16" s="10"/>
      <c r="F16" s="10"/>
      <c r="G16" s="10">
        <f t="shared" si="0"/>
        <v>25595</v>
      </c>
      <c r="H16" s="16">
        <f t="shared" si="1"/>
        <v>36.619999999999997</v>
      </c>
      <c r="I16" s="15">
        <f t="shared" si="2"/>
        <v>8.5999999999999993E-2</v>
      </c>
      <c r="J16" s="15">
        <f>ROUND(G16/28260-1,2)</f>
        <v>-0.09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1140</v>
      </c>
      <c r="F17" s="10"/>
      <c r="G17" s="10">
        <f t="shared" si="0"/>
        <v>1140</v>
      </c>
      <c r="H17" s="16">
        <f t="shared" si="1"/>
        <v>1.63</v>
      </c>
      <c r="I17" s="15">
        <f t="shared" si="2"/>
        <v>4.0000000000000001E-3</v>
      </c>
      <c r="J17" s="15">
        <f>ROUND(G17/1040-1,2)</f>
        <v>0.1</v>
      </c>
    </row>
    <row r="18" spans="1:10" x14ac:dyDescent="0.25">
      <c r="A18" s="1" t="s">
        <v>16</v>
      </c>
      <c r="B18" s="1" t="s">
        <v>26</v>
      </c>
      <c r="C18" s="10">
        <v>31700</v>
      </c>
      <c r="D18" s="10"/>
      <c r="E18" s="10"/>
      <c r="F18" s="10">
        <v>170</v>
      </c>
      <c r="G18" s="10">
        <f t="shared" si="0"/>
        <v>31870</v>
      </c>
      <c r="H18" s="16">
        <f t="shared" si="1"/>
        <v>45.59</v>
      </c>
      <c r="I18" s="15">
        <f t="shared" si="2"/>
        <v>0.107</v>
      </c>
      <c r="J18" s="15">
        <f>ROUND(G18/34810-1,2)</f>
        <v>-0.08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275</v>
      </c>
      <c r="F19" s="10"/>
      <c r="G19" s="10">
        <f t="shared" si="0"/>
        <v>275</v>
      </c>
      <c r="H19" s="16">
        <f t="shared" si="1"/>
        <v>0.39</v>
      </c>
      <c r="I19" s="15">
        <f t="shared" si="2"/>
        <v>1E-3</v>
      </c>
      <c r="J19" s="15">
        <f>ROUND(G19/71-1,2)</f>
        <v>2.87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191</v>
      </c>
      <c r="F20" s="10"/>
      <c r="G20" s="10">
        <f t="shared" si="0"/>
        <v>191</v>
      </c>
      <c r="H20" s="16">
        <f t="shared" si="1"/>
        <v>0.27</v>
      </c>
      <c r="I20" s="15">
        <f t="shared" si="2"/>
        <v>1E-3</v>
      </c>
      <c r="J20" s="15">
        <f>ROUND(G20/40-1,2)</f>
        <v>3.78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200</v>
      </c>
      <c r="F21" s="10"/>
      <c r="G21" s="10">
        <f t="shared" si="0"/>
        <v>200</v>
      </c>
      <c r="H21" s="16">
        <f t="shared" si="1"/>
        <v>0.28999999999999998</v>
      </c>
      <c r="I21" s="15">
        <f t="shared" si="2"/>
        <v>1E-3</v>
      </c>
      <c r="J21" s="15">
        <f>ROUND(G21/600-1,2)</f>
        <v>-0.67</v>
      </c>
    </row>
    <row r="22" spans="1:10" x14ac:dyDescent="0.25">
      <c r="A22" s="1" t="s">
        <v>16</v>
      </c>
      <c r="B22" s="1" t="s">
        <v>32</v>
      </c>
      <c r="C22" s="10"/>
      <c r="D22" s="10"/>
      <c r="E22" s="10">
        <v>925</v>
      </c>
      <c r="F22" s="10"/>
      <c r="G22" s="10">
        <f t="shared" si="0"/>
        <v>925</v>
      </c>
      <c r="H22" s="16">
        <f t="shared" si="1"/>
        <v>1.32</v>
      </c>
      <c r="I22" s="15">
        <f t="shared" si="2"/>
        <v>3.0000000000000001E-3</v>
      </c>
      <c r="J22" s="15">
        <f>ROUND(G22/460-1,2)</f>
        <v>1.01</v>
      </c>
    </row>
    <row r="23" spans="1:10" x14ac:dyDescent="0.25">
      <c r="A23" s="1" t="s">
        <v>16</v>
      </c>
      <c r="B23" s="1" t="s">
        <v>33</v>
      </c>
      <c r="C23" s="10"/>
      <c r="D23" s="10">
        <v>84</v>
      </c>
      <c r="E23" s="10">
        <v>22</v>
      </c>
      <c r="F23" s="10"/>
      <c r="G23" s="10">
        <f t="shared" si="0"/>
        <v>106</v>
      </c>
      <c r="H23" s="16">
        <f t="shared" si="1"/>
        <v>0.15</v>
      </c>
      <c r="I23" s="15">
        <f t="shared" si="2"/>
        <v>0</v>
      </c>
      <c r="J23" s="15">
        <f>ROUND(G23/98-1,2)</f>
        <v>0.08</v>
      </c>
    </row>
    <row r="24" spans="1:10" x14ac:dyDescent="0.25">
      <c r="A24" s="1" t="s">
        <v>16</v>
      </c>
      <c r="B24" s="1" t="s">
        <v>34</v>
      </c>
      <c r="C24" s="10"/>
      <c r="D24" s="10"/>
      <c r="E24" s="10">
        <v>590</v>
      </c>
      <c r="F24" s="10"/>
      <c r="G24" s="10">
        <f t="shared" si="0"/>
        <v>590</v>
      </c>
      <c r="H24" s="16">
        <f t="shared" si="1"/>
        <v>0.84</v>
      </c>
      <c r="I24" s="15">
        <f t="shared" si="2"/>
        <v>2E-3</v>
      </c>
      <c r="J24" s="15">
        <f>ROUND(G24/460-1,2)</f>
        <v>0.28000000000000003</v>
      </c>
    </row>
    <row r="25" spans="1:10" x14ac:dyDescent="0.25">
      <c r="A25" s="1" t="s">
        <v>16</v>
      </c>
      <c r="B25" s="1" t="s">
        <v>35</v>
      </c>
      <c r="C25" s="10"/>
      <c r="D25" s="10">
        <v>30</v>
      </c>
      <c r="E25" s="10"/>
      <c r="F25" s="10"/>
      <c r="G25" s="10">
        <f t="shared" si="0"/>
        <v>30</v>
      </c>
      <c r="H25" s="16">
        <f t="shared" si="1"/>
        <v>0.04</v>
      </c>
      <c r="I25" s="15">
        <f t="shared" si="2"/>
        <v>0</v>
      </c>
      <c r="J25" s="15">
        <f>ROUND(G25/125-1,2)</f>
        <v>-0.76</v>
      </c>
    </row>
    <row r="26" spans="1:10" x14ac:dyDescent="0.25">
      <c r="A26" s="1" t="s">
        <v>16</v>
      </c>
      <c r="B26" s="1" t="s">
        <v>37</v>
      </c>
      <c r="C26" s="10"/>
      <c r="D26" s="10"/>
      <c r="E26" s="10">
        <v>910</v>
      </c>
      <c r="F26" s="10"/>
      <c r="G26" s="10">
        <f t="shared" si="0"/>
        <v>910</v>
      </c>
      <c r="H26" s="16">
        <f t="shared" si="1"/>
        <v>1.3</v>
      </c>
      <c r="I26" s="15">
        <f t="shared" si="2"/>
        <v>3.0000000000000001E-3</v>
      </c>
      <c r="J26" s="15">
        <f>ROUND(G26/2900-1,2)</f>
        <v>-0.69</v>
      </c>
    </row>
    <row r="27" spans="1:10" x14ac:dyDescent="0.25">
      <c r="A27" s="1" t="s">
        <v>16</v>
      </c>
      <c r="B27" s="1" t="s">
        <v>43</v>
      </c>
      <c r="C27" s="10"/>
      <c r="D27" s="10"/>
      <c r="E27" s="10">
        <v>1630</v>
      </c>
      <c r="F27" s="10"/>
      <c r="G27" s="10">
        <f t="shared" si="0"/>
        <v>1630</v>
      </c>
      <c r="H27" s="16">
        <f t="shared" si="1"/>
        <v>2.33</v>
      </c>
      <c r="I27" s="15">
        <f t="shared" si="2"/>
        <v>5.0000000000000001E-3</v>
      </c>
      <c r="J27" s="15">
        <f>ROUND(G27/1160-1,2)</f>
        <v>0.41</v>
      </c>
    </row>
    <row r="28" spans="1:10" x14ac:dyDescent="0.25">
      <c r="A28" s="1" t="s">
        <v>16</v>
      </c>
      <c r="B28" s="1" t="s">
        <v>38</v>
      </c>
      <c r="C28" s="10"/>
      <c r="D28" s="10"/>
      <c r="E28" s="10">
        <v>20340</v>
      </c>
      <c r="F28" s="10"/>
      <c r="G28" s="10">
        <f t="shared" si="0"/>
        <v>20340</v>
      </c>
      <c r="H28" s="16">
        <f t="shared" si="1"/>
        <v>29.1</v>
      </c>
      <c r="I28" s="15">
        <f t="shared" si="2"/>
        <v>6.8000000000000005E-2</v>
      </c>
      <c r="J28" s="15">
        <f>ROUND(G28/14315-1,2)</f>
        <v>0.42</v>
      </c>
    </row>
    <row r="29" spans="1:10" x14ac:dyDescent="0.25">
      <c r="A29" s="1" t="s">
        <v>16</v>
      </c>
      <c r="B29" s="1" t="s">
        <v>39</v>
      </c>
      <c r="C29" s="10"/>
      <c r="D29" s="10"/>
      <c r="E29" s="10">
        <v>3350</v>
      </c>
      <c r="F29" s="10"/>
      <c r="G29" s="10">
        <f t="shared" si="0"/>
        <v>3350</v>
      </c>
      <c r="H29" s="16">
        <f t="shared" si="1"/>
        <v>4.79</v>
      </c>
      <c r="I29" s="15">
        <f t="shared" si="2"/>
        <v>1.0999999999999999E-2</v>
      </c>
      <c r="J29" s="15">
        <f>ROUND(G29/2870-1,2)</f>
        <v>0.17</v>
      </c>
    </row>
    <row r="30" spans="1:10" x14ac:dyDescent="0.25">
      <c r="A30" s="1" t="s">
        <v>16</v>
      </c>
      <c r="B30" s="1" t="s">
        <v>40</v>
      </c>
      <c r="C30" s="10"/>
      <c r="D30" s="10"/>
      <c r="E30" s="10">
        <v>9030</v>
      </c>
      <c r="F30" s="10"/>
      <c r="G30" s="10">
        <f t="shared" si="0"/>
        <v>9030</v>
      </c>
      <c r="H30" s="16">
        <f t="shared" si="1"/>
        <v>12.92</v>
      </c>
      <c r="I30" s="15">
        <f t="shared" si="2"/>
        <v>0.03</v>
      </c>
      <c r="J30" s="15">
        <f>ROUND(G30/8550-1,2)</f>
        <v>0.06</v>
      </c>
    </row>
    <row r="31" spans="1:10" x14ac:dyDescent="0.25">
      <c r="A31" s="1" t="s">
        <v>16</v>
      </c>
      <c r="B31" s="1" t="s">
        <v>41</v>
      </c>
      <c r="C31" s="10"/>
      <c r="D31" s="10"/>
      <c r="E31" s="10">
        <v>19440</v>
      </c>
      <c r="F31" s="10"/>
      <c r="G31" s="10">
        <f t="shared" si="0"/>
        <v>19440</v>
      </c>
      <c r="H31" s="16">
        <f t="shared" si="1"/>
        <v>27.81</v>
      </c>
      <c r="I31" s="15">
        <f t="shared" si="2"/>
        <v>6.5000000000000002E-2</v>
      </c>
      <c r="J31" s="15">
        <f>ROUND(G31/10960-1,2)</f>
        <v>0.77</v>
      </c>
    </row>
    <row r="32" spans="1:10" x14ac:dyDescent="0.25">
      <c r="A32" s="1" t="s">
        <v>16</v>
      </c>
      <c r="B32" s="1" t="s">
        <v>29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ROUND(G32/420-1,2)</f>
        <v>-1</v>
      </c>
    </row>
    <row r="33" spans="1:10" x14ac:dyDescent="0.25">
      <c r="A33" s="1" t="s">
        <v>16</v>
      </c>
      <c r="B33" s="1" t="s">
        <v>36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ROUND(G33/1390-1,2)</f>
        <v>-1</v>
      </c>
    </row>
    <row r="34" spans="1:10" x14ac:dyDescent="0.25">
      <c r="A34" s="1" t="s">
        <v>16</v>
      </c>
      <c r="B34" s="1" t="s">
        <v>42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ROUND(G34/29-1,2)</f>
        <v>-1</v>
      </c>
    </row>
    <row r="35" spans="1:10" x14ac:dyDescent="0.25">
      <c r="A35" s="1" t="s">
        <v>16</v>
      </c>
      <c r="B35" s="1" t="s">
        <v>31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ROUND(G35/230-1,2)</f>
        <v>-1</v>
      </c>
    </row>
    <row r="36" spans="1:10" x14ac:dyDescent="0.25">
      <c r="A36" s="1" t="s">
        <v>44</v>
      </c>
      <c r="B36" s="1" t="s">
        <v>45</v>
      </c>
      <c r="C36" s="10">
        <v>57920</v>
      </c>
      <c r="D36" s="10"/>
      <c r="E36" s="10"/>
      <c r="F36" s="10"/>
      <c r="G36" s="10">
        <f t="shared" si="0"/>
        <v>57920</v>
      </c>
      <c r="H36" s="16">
        <f t="shared" si="1"/>
        <v>82.86</v>
      </c>
      <c r="I36" s="15">
        <f t="shared" si="2"/>
        <v>0.19400000000000001</v>
      </c>
      <c r="J36" s="15">
        <f>ROUND(G36/49940-1,2)</f>
        <v>0.16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>
        <v>5500</v>
      </c>
      <c r="G37" s="10">
        <f t="shared" si="0"/>
        <v>5500</v>
      </c>
      <c r="H37" s="16">
        <f t="shared" si="1"/>
        <v>7.87</v>
      </c>
      <c r="I37" s="15">
        <f t="shared" si="2"/>
        <v>1.7999999999999999E-2</v>
      </c>
      <c r="J37" s="15"/>
    </row>
    <row r="38" spans="1:10" x14ac:dyDescent="0.25">
      <c r="A38" s="1" t="s">
        <v>44</v>
      </c>
      <c r="B38" s="1" t="s">
        <v>46</v>
      </c>
      <c r="C38" s="10"/>
      <c r="D38" s="10"/>
      <c r="E38" s="10">
        <v>11220</v>
      </c>
      <c r="F38" s="10"/>
      <c r="G38" s="10">
        <f t="shared" si="0"/>
        <v>11220</v>
      </c>
      <c r="H38" s="16">
        <f t="shared" si="1"/>
        <v>16.05</v>
      </c>
      <c r="I38" s="15">
        <f t="shared" si="2"/>
        <v>3.7999999999999999E-2</v>
      </c>
      <c r="J38" s="15">
        <f>ROUND(G38/7540-1,2)</f>
        <v>0.49</v>
      </c>
    </row>
    <row r="39" spans="1:10" x14ac:dyDescent="0.25">
      <c r="A39" s="1" t="s">
        <v>48</v>
      </c>
      <c r="B39" s="1" t="s">
        <v>86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27" t="s">
        <v>12</v>
      </c>
      <c r="B40" s="27"/>
      <c r="C40" s="11">
        <f t="shared" ref="C40:H40" si="3">SUM(C8:C39)</f>
        <v>169320</v>
      </c>
      <c r="D40" s="11">
        <f t="shared" si="3"/>
        <v>114</v>
      </c>
      <c r="E40" s="11">
        <f t="shared" si="3"/>
        <v>123093</v>
      </c>
      <c r="F40" s="11">
        <f t="shared" si="3"/>
        <v>5670</v>
      </c>
      <c r="G40" s="11">
        <f t="shared" si="3"/>
        <v>298197</v>
      </c>
      <c r="H40" s="14">
        <f t="shared" si="3"/>
        <v>426.59000000000009</v>
      </c>
      <c r="I40" s="17"/>
      <c r="J40" s="17"/>
    </row>
    <row r="41" spans="1:10" x14ac:dyDescent="0.25">
      <c r="A41" s="27" t="s">
        <v>14</v>
      </c>
      <c r="B41" s="27"/>
      <c r="C41" s="12">
        <f>ROUND(C40/G40,2)</f>
        <v>0.56999999999999995</v>
      </c>
      <c r="D41" s="12">
        <f>ROUND(D40/G40,2)</f>
        <v>0</v>
      </c>
      <c r="E41" s="12">
        <f>ROUND(E40/G40,2)</f>
        <v>0.41</v>
      </c>
      <c r="F41" s="12">
        <f>ROUND(F40/G40,2)</f>
        <v>0.02</v>
      </c>
      <c r="G41" s="13"/>
      <c r="H41" s="13"/>
      <c r="I41" s="17"/>
      <c r="J41" s="17"/>
    </row>
    <row r="42" spans="1:10" x14ac:dyDescent="0.25">
      <c r="A42" s="2" t="s">
        <v>52</v>
      </c>
      <c r="B42" s="2"/>
      <c r="C42" s="13"/>
      <c r="D42" s="13"/>
      <c r="E42" s="13"/>
      <c r="F42" s="13"/>
      <c r="G42" s="13"/>
      <c r="H42" s="13"/>
      <c r="I42" s="17"/>
      <c r="J42" s="17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7" t="s">
        <v>53</v>
      </c>
      <c r="B46" s="27"/>
      <c r="C46" s="11" t="s">
        <v>8</v>
      </c>
      <c r="D46" s="11" t="s">
        <v>9</v>
      </c>
      <c r="E46" s="11" t="s">
        <v>10</v>
      </c>
      <c r="F46" s="11" t="s">
        <v>11</v>
      </c>
      <c r="G46" s="11" t="s">
        <v>12</v>
      </c>
      <c r="H46" s="14" t="s">
        <v>13</v>
      </c>
      <c r="I46" s="17"/>
      <c r="J46" s="17"/>
    </row>
    <row r="47" spans="1:10" x14ac:dyDescent="0.25">
      <c r="A47" s="22" t="s">
        <v>54</v>
      </c>
      <c r="B47" s="22"/>
      <c r="C47" s="10">
        <v>111400</v>
      </c>
      <c r="D47" s="10">
        <v>114</v>
      </c>
      <c r="E47" s="10">
        <v>111873</v>
      </c>
      <c r="F47" s="10">
        <v>170</v>
      </c>
      <c r="G47" s="10">
        <f>SUM(C47:F47)</f>
        <v>223557</v>
      </c>
      <c r="H47" s="16">
        <f>ROUND(G47/699,2)</f>
        <v>319.82</v>
      </c>
      <c r="I47" s="9"/>
      <c r="J47" s="9"/>
    </row>
    <row r="48" spans="1:10" x14ac:dyDescent="0.25">
      <c r="A48" s="22" t="s">
        <v>55</v>
      </c>
      <c r="B48" s="22"/>
      <c r="C48" s="10">
        <v>57920</v>
      </c>
      <c r="D48" s="10">
        <v>0</v>
      </c>
      <c r="E48" s="10">
        <v>11220</v>
      </c>
      <c r="F48" s="10">
        <v>5500</v>
      </c>
      <c r="G48" s="10">
        <f>SUM(C48:F48)</f>
        <v>74640</v>
      </c>
      <c r="H48" s="16">
        <f>ROUND(G48/699,2)</f>
        <v>106.78</v>
      </c>
      <c r="I48" s="9"/>
      <c r="J48" s="9"/>
    </row>
    <row r="49" spans="1:10" x14ac:dyDescent="0.25">
      <c r="A49" s="22" t="s">
        <v>56</v>
      </c>
      <c r="B49" s="22"/>
      <c r="C49" s="10">
        <v>0</v>
      </c>
      <c r="D49" s="10">
        <v>0</v>
      </c>
      <c r="E49" s="10">
        <v>0</v>
      </c>
      <c r="F49" s="10">
        <v>0</v>
      </c>
      <c r="G49" s="10">
        <f>SUM(C49:F49)</f>
        <v>0</v>
      </c>
      <c r="H49" s="16">
        <f>ROUND(G49/699,2)</f>
        <v>0</v>
      </c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57</v>
      </c>
      <c r="B54" s="27"/>
      <c r="C54" s="14" t="s">
        <v>2</v>
      </c>
      <c r="D54" s="14">
        <v>2023</v>
      </c>
      <c r="E54" s="14" t="s">
        <v>59</v>
      </c>
      <c r="F54" s="13"/>
      <c r="G54" s="14" t="s">
        <v>60</v>
      </c>
      <c r="H54" s="14" t="s">
        <v>2</v>
      </c>
      <c r="I54" s="12" t="s">
        <v>61</v>
      </c>
      <c r="J54" s="12" t="s">
        <v>59</v>
      </c>
    </row>
    <row r="55" spans="1:10" x14ac:dyDescent="0.25">
      <c r="A55" s="22" t="s">
        <v>58</v>
      </c>
      <c r="B55" s="22"/>
      <c r="C55" s="15">
        <f>ROUND(0.7569, 4)</f>
        <v>0.75690000000000002</v>
      </c>
      <c r="D55" s="15">
        <f>ROUND(0.7642, 4)</f>
        <v>0.76419999999999999</v>
      </c>
      <c r="E55" s="15">
        <f>ROUND(0.777, 4)</f>
        <v>0.77700000000000002</v>
      </c>
      <c r="F55" s="8"/>
      <c r="G55" s="14" t="s">
        <v>62</v>
      </c>
      <c r="H55" s="28" t="s">
        <v>63</v>
      </c>
      <c r="I55" s="25" t="s">
        <v>64</v>
      </c>
      <c r="J55" s="25" t="s">
        <v>65</v>
      </c>
    </row>
    <row r="56" spans="1:10" x14ac:dyDescent="0.25">
      <c r="A56" s="22" t="s">
        <v>66</v>
      </c>
      <c r="B56" s="22"/>
      <c r="C56" s="15">
        <f>ROUND(0.7454, 4)</f>
        <v>0.74539999999999995</v>
      </c>
      <c r="D56" s="15">
        <f>ROUND(0.7505, 4)</f>
        <v>0.75049999999999994</v>
      </c>
      <c r="E56" s="15">
        <f>ROUND(0.7608, 4)</f>
        <v>0.76080000000000003</v>
      </c>
      <c r="F56" s="8"/>
      <c r="G56" s="14" t="s">
        <v>67</v>
      </c>
      <c r="H56" s="29"/>
      <c r="I56" s="26"/>
      <c r="J56" s="26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68</v>
      </c>
      <c r="B60" s="27"/>
      <c r="C60" s="14" t="s">
        <v>2</v>
      </c>
      <c r="D60" s="14" t="s">
        <v>106</v>
      </c>
      <c r="E60" s="14" t="s">
        <v>70</v>
      </c>
      <c r="F60" s="14" t="s">
        <v>71</v>
      </c>
      <c r="G60" s="14" t="s">
        <v>72</v>
      </c>
      <c r="H60" s="13"/>
      <c r="I60" s="17"/>
      <c r="J60" s="17"/>
    </row>
    <row r="61" spans="1:10" x14ac:dyDescent="0.25">
      <c r="A61" s="22" t="s">
        <v>73</v>
      </c>
      <c r="B61" s="22"/>
      <c r="C61" s="16">
        <v>82.86</v>
      </c>
      <c r="D61" s="16">
        <v>85.19</v>
      </c>
      <c r="E61" s="16">
        <v>92.53</v>
      </c>
      <c r="F61" s="16">
        <v>56.06</v>
      </c>
      <c r="G61" s="16">
        <f>12/11*C61</f>
        <v>90.392727272727271</v>
      </c>
      <c r="H61" s="8"/>
      <c r="I61" s="9"/>
      <c r="J61" s="9"/>
    </row>
    <row r="62" spans="1:10" x14ac:dyDescent="0.25">
      <c r="A62" s="22" t="s">
        <v>74</v>
      </c>
      <c r="B62" s="22"/>
      <c r="C62" s="16">
        <v>45.59</v>
      </c>
      <c r="D62" s="16">
        <v>53.85</v>
      </c>
      <c r="E62" s="16">
        <v>61.98</v>
      </c>
      <c r="F62" s="16">
        <v>64.09</v>
      </c>
      <c r="G62" s="16">
        <f>12/11*C62</f>
        <v>49.734545454545454</v>
      </c>
      <c r="H62" s="8"/>
      <c r="I62" s="9"/>
      <c r="J62" s="9"/>
    </row>
    <row r="63" spans="1:10" x14ac:dyDescent="0.25">
      <c r="A63" s="22" t="s">
        <v>75</v>
      </c>
      <c r="B63" s="22"/>
      <c r="C63" s="16">
        <v>319.82</v>
      </c>
      <c r="D63" s="16">
        <v>315.43</v>
      </c>
      <c r="E63" s="16">
        <v>291.51</v>
      </c>
      <c r="F63" s="16">
        <v>284.45</v>
      </c>
      <c r="G63" s="16">
        <f>12/11*C63</f>
        <v>348.89454545454544</v>
      </c>
      <c r="H63" s="8"/>
      <c r="I63" s="9"/>
      <c r="J63" s="9"/>
    </row>
    <row r="64" spans="1:10" x14ac:dyDescent="0.25">
      <c r="A64" s="22" t="s">
        <v>76</v>
      </c>
      <c r="B64" s="22"/>
      <c r="C64" s="16">
        <v>106.78</v>
      </c>
      <c r="D64" s="16">
        <v>100.94</v>
      </c>
      <c r="E64" s="16">
        <v>116.46</v>
      </c>
      <c r="F64" s="16">
        <v>79.959999999999994</v>
      </c>
      <c r="G64" s="16">
        <f>12/11*C64</f>
        <v>116.48727272727272</v>
      </c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3" t="s">
        <v>60</v>
      </c>
      <c r="B67" s="24"/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77</v>
      </c>
      <c r="B68" s="1" t="s">
        <v>107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70</v>
      </c>
      <c r="B69" s="1" t="s">
        <v>79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71</v>
      </c>
      <c r="B70" s="1" t="s">
        <v>80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72</v>
      </c>
      <c r="B71" s="1" t="s">
        <v>81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</sheetData>
  <mergeCells count="19">
    <mergeCell ref="C7:G7"/>
    <mergeCell ref="A40:B40"/>
    <mergeCell ref="A41:B41"/>
    <mergeCell ref="A46:B46"/>
    <mergeCell ref="A47:B47"/>
    <mergeCell ref="J55:J56"/>
    <mergeCell ref="A56:B56"/>
    <mergeCell ref="A60:B60"/>
    <mergeCell ref="A61:B61"/>
    <mergeCell ref="A48:B48"/>
    <mergeCell ref="A49:B49"/>
    <mergeCell ref="A54:B54"/>
    <mergeCell ref="A55:B55"/>
    <mergeCell ref="H55:H56"/>
    <mergeCell ref="A62:B62"/>
    <mergeCell ref="A63:B63"/>
    <mergeCell ref="A64:B64"/>
    <mergeCell ref="A67:B67"/>
    <mergeCell ref="I55:I5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2:J68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2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323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568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>
        <v>17200</v>
      </c>
      <c r="D9" s="10"/>
      <c r="E9" s="10"/>
      <c r="F9" s="10"/>
      <c r="G9" s="10">
        <f t="shared" ref="G9:G36" si="0">SUM(C9:F9)</f>
        <v>17200</v>
      </c>
      <c r="H9" s="16">
        <f t="shared" ref="H9:H36" si="1">ROUND(G9/568,2)</f>
        <v>30.28</v>
      </c>
      <c r="I9" s="15">
        <f t="shared" ref="I9:I36" si="2">ROUND(G9/$G$37,3)</f>
        <v>9.2999999999999999E-2</v>
      </c>
      <c r="J9" s="15">
        <f>ROUND(G9/18900-1,2)</f>
        <v>-0.09</v>
      </c>
    </row>
    <row r="10" spans="1:10" x14ac:dyDescent="0.25">
      <c r="A10" s="1" t="s">
        <v>16</v>
      </c>
      <c r="B10" s="1" t="s">
        <v>20</v>
      </c>
      <c r="C10" s="10">
        <v>28530</v>
      </c>
      <c r="D10" s="10"/>
      <c r="E10" s="10"/>
      <c r="F10" s="10"/>
      <c r="G10" s="10">
        <f t="shared" si="0"/>
        <v>28530</v>
      </c>
      <c r="H10" s="16">
        <f t="shared" si="1"/>
        <v>50.23</v>
      </c>
      <c r="I10" s="15">
        <f t="shared" si="2"/>
        <v>0.155</v>
      </c>
      <c r="J10" s="15">
        <f>ROUND(G10/27840-1,2)</f>
        <v>0.02</v>
      </c>
    </row>
    <row r="11" spans="1:10" x14ac:dyDescent="0.25">
      <c r="A11" s="1" t="s">
        <v>16</v>
      </c>
      <c r="B11" s="1" t="s">
        <v>95</v>
      </c>
      <c r="C11" s="10"/>
      <c r="D11" s="10"/>
      <c r="E11" s="10"/>
      <c r="F11" s="10">
        <v>12</v>
      </c>
      <c r="G11" s="10">
        <f t="shared" si="0"/>
        <v>12</v>
      </c>
      <c r="H11" s="16">
        <f t="shared" si="1"/>
        <v>0.02</v>
      </c>
      <c r="I11" s="15">
        <f t="shared" si="2"/>
        <v>0</v>
      </c>
      <c r="J11" s="15">
        <f>ROUND(G11/43-1,2)</f>
        <v>-0.72</v>
      </c>
    </row>
    <row r="12" spans="1:10" x14ac:dyDescent="0.25">
      <c r="A12" s="1" t="s">
        <v>16</v>
      </c>
      <c r="B12" s="1" t="s">
        <v>21</v>
      </c>
      <c r="C12" s="10"/>
      <c r="D12" s="10"/>
      <c r="E12" s="10"/>
      <c r="F12" s="10">
        <v>36</v>
      </c>
      <c r="G12" s="10">
        <f t="shared" si="0"/>
        <v>36</v>
      </c>
      <c r="H12" s="16">
        <f t="shared" si="1"/>
        <v>0.06</v>
      </c>
      <c r="I12" s="15">
        <f t="shared" si="2"/>
        <v>0</v>
      </c>
      <c r="J12" s="15">
        <f>ROUND(G12/19-1,2)</f>
        <v>0.89</v>
      </c>
    </row>
    <row r="13" spans="1:10" x14ac:dyDescent="0.25">
      <c r="A13" s="1" t="s">
        <v>16</v>
      </c>
      <c r="B13" s="1" t="s">
        <v>24</v>
      </c>
      <c r="C13" s="10">
        <v>19260</v>
      </c>
      <c r="D13" s="10"/>
      <c r="E13" s="10"/>
      <c r="F13" s="10"/>
      <c r="G13" s="10">
        <f t="shared" si="0"/>
        <v>19260</v>
      </c>
      <c r="H13" s="16">
        <f t="shared" si="1"/>
        <v>33.909999999999997</v>
      </c>
      <c r="I13" s="15">
        <f t="shared" si="2"/>
        <v>0.104</v>
      </c>
      <c r="J13" s="15">
        <f>ROUND(G13/18040-1,2)</f>
        <v>7.0000000000000007E-2</v>
      </c>
    </row>
    <row r="14" spans="1:10" x14ac:dyDescent="0.25">
      <c r="A14" s="1" t="s">
        <v>16</v>
      </c>
      <c r="B14" s="1" t="s">
        <v>25</v>
      </c>
      <c r="C14" s="10"/>
      <c r="D14" s="10"/>
      <c r="E14" s="10">
        <v>1000</v>
      </c>
      <c r="F14" s="10"/>
      <c r="G14" s="10">
        <f t="shared" si="0"/>
        <v>1000</v>
      </c>
      <c r="H14" s="16">
        <f t="shared" si="1"/>
        <v>1.76</v>
      </c>
      <c r="I14" s="15">
        <f t="shared" si="2"/>
        <v>5.0000000000000001E-3</v>
      </c>
      <c r="J14" s="15"/>
    </row>
    <row r="15" spans="1:10" x14ac:dyDescent="0.25">
      <c r="A15" s="1" t="s">
        <v>16</v>
      </c>
      <c r="B15" s="1" t="s">
        <v>26</v>
      </c>
      <c r="C15" s="10">
        <v>25480</v>
      </c>
      <c r="D15" s="10"/>
      <c r="E15" s="10"/>
      <c r="F15" s="10">
        <v>240</v>
      </c>
      <c r="G15" s="10">
        <f t="shared" si="0"/>
        <v>25720</v>
      </c>
      <c r="H15" s="16">
        <f t="shared" si="1"/>
        <v>45.28</v>
      </c>
      <c r="I15" s="15">
        <f t="shared" si="2"/>
        <v>0.14000000000000001</v>
      </c>
      <c r="J15" s="15">
        <f>ROUND(G15/24400-1,2)</f>
        <v>0.05</v>
      </c>
    </row>
    <row r="16" spans="1:10" x14ac:dyDescent="0.25">
      <c r="A16" s="1" t="s">
        <v>16</v>
      </c>
      <c r="B16" s="1" t="s">
        <v>27</v>
      </c>
      <c r="C16" s="10"/>
      <c r="D16" s="10"/>
      <c r="E16" s="10">
        <v>614</v>
      </c>
      <c r="F16" s="10"/>
      <c r="G16" s="10">
        <f t="shared" si="0"/>
        <v>614</v>
      </c>
      <c r="H16" s="16">
        <f t="shared" si="1"/>
        <v>1.08</v>
      </c>
      <c r="I16" s="15">
        <f t="shared" si="2"/>
        <v>3.0000000000000001E-3</v>
      </c>
      <c r="J16" s="15">
        <f>ROUND(G16/726-1,2)</f>
        <v>-0.15</v>
      </c>
    </row>
    <row r="17" spans="1:10" x14ac:dyDescent="0.25">
      <c r="A17" s="1" t="s">
        <v>16</v>
      </c>
      <c r="B17" s="1" t="s">
        <v>42</v>
      </c>
      <c r="C17" s="10"/>
      <c r="D17" s="10"/>
      <c r="E17" s="10">
        <v>20</v>
      </c>
      <c r="F17" s="10"/>
      <c r="G17" s="10">
        <f t="shared" si="0"/>
        <v>20</v>
      </c>
      <c r="H17" s="16">
        <f t="shared" si="1"/>
        <v>0.04</v>
      </c>
      <c r="I17" s="15">
        <f t="shared" si="2"/>
        <v>0</v>
      </c>
      <c r="J17" s="15">
        <f>ROUND(G17/20-1,2)</f>
        <v>0</v>
      </c>
    </row>
    <row r="18" spans="1:10" x14ac:dyDescent="0.25">
      <c r="A18" s="1" t="s">
        <v>16</v>
      </c>
      <c r="B18" s="1" t="s">
        <v>30</v>
      </c>
      <c r="C18" s="10"/>
      <c r="D18" s="10"/>
      <c r="E18" s="10">
        <v>90</v>
      </c>
      <c r="F18" s="10"/>
      <c r="G18" s="10">
        <f t="shared" si="0"/>
        <v>90</v>
      </c>
      <c r="H18" s="16">
        <f t="shared" si="1"/>
        <v>0.16</v>
      </c>
      <c r="I18" s="15">
        <f t="shared" si="2"/>
        <v>0</v>
      </c>
      <c r="J18" s="15">
        <f>ROUND(G18/120-1,2)</f>
        <v>-0.25</v>
      </c>
    </row>
    <row r="19" spans="1:10" x14ac:dyDescent="0.25">
      <c r="A19" s="1" t="s">
        <v>16</v>
      </c>
      <c r="B19" s="1" t="s">
        <v>31</v>
      </c>
      <c r="C19" s="10"/>
      <c r="D19" s="10"/>
      <c r="E19" s="10">
        <v>80</v>
      </c>
      <c r="F19" s="10"/>
      <c r="G19" s="10">
        <f t="shared" si="0"/>
        <v>80</v>
      </c>
      <c r="H19" s="16">
        <f t="shared" si="1"/>
        <v>0.14000000000000001</v>
      </c>
      <c r="I19" s="15">
        <f t="shared" si="2"/>
        <v>0</v>
      </c>
      <c r="J19" s="15">
        <f>ROUND(G19/120-1,2)</f>
        <v>-0.33</v>
      </c>
    </row>
    <row r="20" spans="1:10" x14ac:dyDescent="0.25">
      <c r="A20" s="1" t="s">
        <v>16</v>
      </c>
      <c r="B20" s="1" t="s">
        <v>32</v>
      </c>
      <c r="C20" s="10"/>
      <c r="D20" s="10"/>
      <c r="E20" s="10"/>
      <c r="F20" s="10">
        <v>465</v>
      </c>
      <c r="G20" s="10">
        <f t="shared" si="0"/>
        <v>465</v>
      </c>
      <c r="H20" s="16">
        <f t="shared" si="1"/>
        <v>0.82</v>
      </c>
      <c r="I20" s="15">
        <f t="shared" si="2"/>
        <v>3.0000000000000001E-3</v>
      </c>
      <c r="J20" s="15">
        <f>ROUND(G20/260-1,2)</f>
        <v>0.79</v>
      </c>
    </row>
    <row r="21" spans="1:10" x14ac:dyDescent="0.25">
      <c r="A21" s="1" t="s">
        <v>16</v>
      </c>
      <c r="B21" s="1" t="s">
        <v>33</v>
      </c>
      <c r="C21" s="10"/>
      <c r="D21" s="10">
        <v>52</v>
      </c>
      <c r="E21" s="10"/>
      <c r="F21" s="10"/>
      <c r="G21" s="10">
        <f t="shared" si="0"/>
        <v>52</v>
      </c>
      <c r="H21" s="16">
        <f t="shared" si="1"/>
        <v>0.09</v>
      </c>
      <c r="I21" s="15">
        <f t="shared" si="2"/>
        <v>0</v>
      </c>
      <c r="J21" s="15">
        <f>ROUND(G21/48-1,2)</f>
        <v>0.08</v>
      </c>
    </row>
    <row r="22" spans="1:10" x14ac:dyDescent="0.25">
      <c r="A22" s="1" t="s">
        <v>16</v>
      </c>
      <c r="B22" s="1" t="s">
        <v>35</v>
      </c>
      <c r="C22" s="10"/>
      <c r="D22" s="10">
        <v>25</v>
      </c>
      <c r="E22" s="10"/>
      <c r="F22" s="10">
        <v>243</v>
      </c>
      <c r="G22" s="10">
        <f t="shared" si="0"/>
        <v>268</v>
      </c>
      <c r="H22" s="16">
        <f t="shared" si="1"/>
        <v>0.47</v>
      </c>
      <c r="I22" s="15">
        <f t="shared" si="2"/>
        <v>1E-3</v>
      </c>
      <c r="J22" s="15">
        <f>ROUND(G22/293-1,2)</f>
        <v>-0.09</v>
      </c>
    </row>
    <row r="23" spans="1:10" x14ac:dyDescent="0.25">
      <c r="A23" s="1" t="s">
        <v>16</v>
      </c>
      <c r="B23" s="1" t="s">
        <v>36</v>
      </c>
      <c r="C23" s="10"/>
      <c r="D23" s="10"/>
      <c r="E23" s="10"/>
      <c r="F23" s="10">
        <v>130</v>
      </c>
      <c r="G23" s="10">
        <f t="shared" si="0"/>
        <v>130</v>
      </c>
      <c r="H23" s="16">
        <f t="shared" si="1"/>
        <v>0.23</v>
      </c>
      <c r="I23" s="15">
        <f t="shared" si="2"/>
        <v>1E-3</v>
      </c>
      <c r="J23" s="15">
        <f>ROUND(G23/540-1,2)</f>
        <v>-0.76</v>
      </c>
    </row>
    <row r="24" spans="1:10" x14ac:dyDescent="0.25">
      <c r="A24" s="1" t="s">
        <v>16</v>
      </c>
      <c r="B24" s="1" t="s">
        <v>43</v>
      </c>
      <c r="C24" s="10"/>
      <c r="D24" s="10"/>
      <c r="E24" s="10"/>
      <c r="F24" s="10">
        <v>460</v>
      </c>
      <c r="G24" s="10">
        <f t="shared" si="0"/>
        <v>460</v>
      </c>
      <c r="H24" s="16">
        <f t="shared" si="1"/>
        <v>0.81</v>
      </c>
      <c r="I24" s="15">
        <f t="shared" si="2"/>
        <v>2E-3</v>
      </c>
      <c r="J24" s="15">
        <f>ROUND(G24/465-1,2)</f>
        <v>-0.01</v>
      </c>
    </row>
    <row r="25" spans="1:10" x14ac:dyDescent="0.25">
      <c r="A25" s="1" t="s">
        <v>16</v>
      </c>
      <c r="B25" s="1" t="s">
        <v>37</v>
      </c>
      <c r="C25" s="10"/>
      <c r="D25" s="10"/>
      <c r="E25" s="10"/>
      <c r="F25" s="10">
        <v>960</v>
      </c>
      <c r="G25" s="10">
        <f t="shared" si="0"/>
        <v>960</v>
      </c>
      <c r="H25" s="16">
        <f t="shared" si="1"/>
        <v>1.69</v>
      </c>
      <c r="I25" s="15">
        <f t="shared" si="2"/>
        <v>5.0000000000000001E-3</v>
      </c>
      <c r="J25" s="15">
        <f>ROUND(G25/970-1,2)</f>
        <v>-0.01</v>
      </c>
    </row>
    <row r="26" spans="1:10" x14ac:dyDescent="0.25">
      <c r="A26" s="1" t="s">
        <v>16</v>
      </c>
      <c r="B26" s="1" t="s">
        <v>38</v>
      </c>
      <c r="C26" s="10"/>
      <c r="D26" s="10"/>
      <c r="E26" s="10">
        <v>15980</v>
      </c>
      <c r="F26" s="10"/>
      <c r="G26" s="10">
        <f t="shared" si="0"/>
        <v>15980</v>
      </c>
      <c r="H26" s="16">
        <f t="shared" si="1"/>
        <v>28.13</v>
      </c>
      <c r="I26" s="15">
        <f t="shared" si="2"/>
        <v>8.6999999999999994E-2</v>
      </c>
      <c r="J26" s="15">
        <f>ROUND(G26/16040-1,2)</f>
        <v>0</v>
      </c>
    </row>
    <row r="27" spans="1:10" x14ac:dyDescent="0.25">
      <c r="A27" s="1" t="s">
        <v>16</v>
      </c>
      <c r="B27" s="1" t="s">
        <v>39</v>
      </c>
      <c r="C27" s="10"/>
      <c r="D27" s="10"/>
      <c r="E27" s="10">
        <v>2770</v>
      </c>
      <c r="F27" s="10"/>
      <c r="G27" s="10">
        <f t="shared" si="0"/>
        <v>2770</v>
      </c>
      <c r="H27" s="16">
        <f t="shared" si="1"/>
        <v>4.88</v>
      </c>
      <c r="I27" s="15">
        <f t="shared" si="2"/>
        <v>1.4999999999999999E-2</v>
      </c>
      <c r="J27" s="15">
        <f>ROUND(G27/1430-1,2)</f>
        <v>0.94</v>
      </c>
    </row>
    <row r="28" spans="1:10" x14ac:dyDescent="0.25">
      <c r="A28" s="1" t="s">
        <v>16</v>
      </c>
      <c r="B28" s="1" t="s">
        <v>40</v>
      </c>
      <c r="C28" s="10"/>
      <c r="D28" s="10"/>
      <c r="E28" s="10">
        <v>5170</v>
      </c>
      <c r="F28" s="10"/>
      <c r="G28" s="10">
        <f t="shared" si="0"/>
        <v>5170</v>
      </c>
      <c r="H28" s="16">
        <f t="shared" si="1"/>
        <v>9.1</v>
      </c>
      <c r="I28" s="15">
        <f t="shared" si="2"/>
        <v>2.8000000000000001E-2</v>
      </c>
      <c r="J28" s="15">
        <f>ROUND(G28/3070-1,2)</f>
        <v>0.68</v>
      </c>
    </row>
    <row r="29" spans="1:10" x14ac:dyDescent="0.25">
      <c r="A29" s="1" t="s">
        <v>16</v>
      </c>
      <c r="B29" s="1" t="s">
        <v>29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ROUND(G29/810-1,2)</f>
        <v>-1</v>
      </c>
    </row>
    <row r="30" spans="1:10" x14ac:dyDescent="0.25">
      <c r="A30" s="1" t="s">
        <v>16</v>
      </c>
      <c r="B30" s="1" t="s">
        <v>34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/>
    </row>
    <row r="31" spans="1:10" x14ac:dyDescent="0.25">
      <c r="A31" s="1" t="s">
        <v>16</v>
      </c>
      <c r="B31" s="1" t="s">
        <v>22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/>
    </row>
    <row r="32" spans="1:10" x14ac:dyDescent="0.25">
      <c r="A32" s="1" t="s">
        <v>44</v>
      </c>
      <c r="B32" s="1" t="s">
        <v>45</v>
      </c>
      <c r="C32" s="10">
        <v>54960</v>
      </c>
      <c r="D32" s="10"/>
      <c r="E32" s="10"/>
      <c r="F32" s="10"/>
      <c r="G32" s="10">
        <f t="shared" si="0"/>
        <v>54960</v>
      </c>
      <c r="H32" s="16">
        <f t="shared" si="1"/>
        <v>96.76</v>
      </c>
      <c r="I32" s="15">
        <f t="shared" si="2"/>
        <v>0.29799999999999999</v>
      </c>
      <c r="J32" s="15">
        <f>ROUND(G32/56325-1,2)</f>
        <v>-0.02</v>
      </c>
    </row>
    <row r="33" spans="1:10" x14ac:dyDescent="0.25">
      <c r="A33" s="1" t="s">
        <v>44</v>
      </c>
      <c r="B33" s="1" t="s">
        <v>46</v>
      </c>
      <c r="C33" s="10"/>
      <c r="D33" s="10"/>
      <c r="E33" s="10">
        <v>10540</v>
      </c>
      <c r="F33" s="10"/>
      <c r="G33" s="10">
        <f t="shared" si="0"/>
        <v>10540</v>
      </c>
      <c r="H33" s="16">
        <f t="shared" si="1"/>
        <v>18.559999999999999</v>
      </c>
      <c r="I33" s="15">
        <f t="shared" si="2"/>
        <v>5.7000000000000002E-2</v>
      </c>
      <c r="J33" s="15">
        <f>ROUND(G33/5760-1,2)</f>
        <v>0.83</v>
      </c>
    </row>
    <row r="34" spans="1:10" x14ac:dyDescent="0.25">
      <c r="A34" s="1" t="s">
        <v>44</v>
      </c>
      <c r="B34" s="1" t="s">
        <v>47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48</v>
      </c>
      <c r="B35" s="1" t="s">
        <v>49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48</v>
      </c>
      <c r="B36" s="1" t="s">
        <v>86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27" t="s">
        <v>12</v>
      </c>
      <c r="B37" s="27"/>
      <c r="C37" s="11">
        <f t="shared" ref="C37:H37" si="3">SUM(C8:C36)</f>
        <v>145430</v>
      </c>
      <c r="D37" s="11">
        <f t="shared" si="3"/>
        <v>77</v>
      </c>
      <c r="E37" s="11">
        <f t="shared" si="3"/>
        <v>36264</v>
      </c>
      <c r="F37" s="11">
        <f t="shared" si="3"/>
        <v>2546</v>
      </c>
      <c r="G37" s="11">
        <f t="shared" si="3"/>
        <v>184317</v>
      </c>
      <c r="H37" s="14">
        <f t="shared" si="3"/>
        <v>324.49999999999994</v>
      </c>
      <c r="I37" s="17"/>
      <c r="J37" s="17"/>
    </row>
    <row r="38" spans="1:10" x14ac:dyDescent="0.25">
      <c r="A38" s="27" t="s">
        <v>14</v>
      </c>
      <c r="B38" s="27"/>
      <c r="C38" s="12">
        <f>ROUND(C37/G37,2)</f>
        <v>0.79</v>
      </c>
      <c r="D38" s="12">
        <f>ROUND(D37/G37,2)</f>
        <v>0</v>
      </c>
      <c r="E38" s="12">
        <f>ROUND(E37/G37,2)</f>
        <v>0.2</v>
      </c>
      <c r="F38" s="12">
        <f>ROUND(F37/G37,2)</f>
        <v>0.01</v>
      </c>
      <c r="G38" s="13"/>
      <c r="H38" s="13"/>
      <c r="I38" s="17"/>
      <c r="J38" s="17"/>
    </row>
    <row r="39" spans="1:10" x14ac:dyDescent="0.25">
      <c r="A39" s="2" t="s">
        <v>52</v>
      </c>
      <c r="B39" s="2"/>
      <c r="C39" s="13"/>
      <c r="D39" s="13"/>
      <c r="E39" s="13"/>
      <c r="F39" s="13"/>
      <c r="G39" s="13"/>
      <c r="H39" s="13"/>
      <c r="I39" s="17"/>
      <c r="J39" s="17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A43" s="27" t="s">
        <v>53</v>
      </c>
      <c r="B43" s="27"/>
      <c r="C43" s="11" t="s">
        <v>8</v>
      </c>
      <c r="D43" s="11" t="s">
        <v>9</v>
      </c>
      <c r="E43" s="11" t="s">
        <v>10</v>
      </c>
      <c r="F43" s="11" t="s">
        <v>11</v>
      </c>
      <c r="G43" s="11" t="s">
        <v>12</v>
      </c>
      <c r="H43" s="14" t="s">
        <v>13</v>
      </c>
      <c r="I43" s="17"/>
      <c r="J43" s="17"/>
    </row>
    <row r="44" spans="1:10" x14ac:dyDescent="0.25">
      <c r="A44" s="22" t="s">
        <v>54</v>
      </c>
      <c r="B44" s="22"/>
      <c r="C44" s="10">
        <v>90470</v>
      </c>
      <c r="D44" s="10">
        <v>77</v>
      </c>
      <c r="E44" s="10">
        <v>25724</v>
      </c>
      <c r="F44" s="10">
        <v>2546</v>
      </c>
      <c r="G44" s="10">
        <f>SUM(C44:F44)</f>
        <v>118817</v>
      </c>
      <c r="H44" s="16">
        <f>ROUND(G44/568,2)</f>
        <v>209.18</v>
      </c>
      <c r="I44" s="9"/>
      <c r="J44" s="9"/>
    </row>
    <row r="45" spans="1:10" x14ac:dyDescent="0.25">
      <c r="A45" s="22" t="s">
        <v>55</v>
      </c>
      <c r="B45" s="22"/>
      <c r="C45" s="10">
        <v>54960</v>
      </c>
      <c r="D45" s="10">
        <v>0</v>
      </c>
      <c r="E45" s="10">
        <v>10540</v>
      </c>
      <c r="F45" s="10">
        <v>0</v>
      </c>
      <c r="G45" s="10">
        <f>SUM(C45:F45)</f>
        <v>65500</v>
      </c>
      <c r="H45" s="16">
        <f>ROUND(G45/568,2)</f>
        <v>115.32</v>
      </c>
      <c r="I45" s="9"/>
      <c r="J45" s="9"/>
    </row>
    <row r="46" spans="1:10" x14ac:dyDescent="0.25">
      <c r="A46" s="22" t="s">
        <v>56</v>
      </c>
      <c r="B46" s="22"/>
      <c r="C46" s="10">
        <v>0</v>
      </c>
      <c r="D46" s="10">
        <v>0</v>
      </c>
      <c r="E46" s="10">
        <v>0</v>
      </c>
      <c r="F46" s="10">
        <v>0</v>
      </c>
      <c r="G46" s="10">
        <f>SUM(C46:F46)</f>
        <v>0</v>
      </c>
      <c r="H46" s="16">
        <f>ROUND(G46/568,2)</f>
        <v>0</v>
      </c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27" t="s">
        <v>57</v>
      </c>
      <c r="B51" s="27"/>
      <c r="C51" s="14" t="s">
        <v>2</v>
      </c>
      <c r="D51" s="14">
        <v>2023</v>
      </c>
      <c r="E51" s="14" t="s">
        <v>59</v>
      </c>
      <c r="F51" s="13"/>
      <c r="G51" s="14" t="s">
        <v>60</v>
      </c>
      <c r="H51" s="14" t="s">
        <v>2</v>
      </c>
      <c r="I51" s="12" t="s">
        <v>61</v>
      </c>
      <c r="J51" s="12" t="s">
        <v>59</v>
      </c>
    </row>
    <row r="52" spans="1:10" x14ac:dyDescent="0.25">
      <c r="A52" s="22" t="s">
        <v>58</v>
      </c>
      <c r="B52" s="22"/>
      <c r="C52" s="15">
        <f>ROUND(0.6956, 4)</f>
        <v>0.6956</v>
      </c>
      <c r="D52" s="15">
        <f>ROUND(0.6779, 4)</f>
        <v>0.67789999999999995</v>
      </c>
      <c r="E52" s="15">
        <f>ROUND(0.777, 4)</f>
        <v>0.77700000000000002</v>
      </c>
      <c r="F52" s="8"/>
      <c r="G52" s="14" t="s">
        <v>62</v>
      </c>
      <c r="H52" s="28" t="s">
        <v>63</v>
      </c>
      <c r="I52" s="25" t="s">
        <v>64</v>
      </c>
      <c r="J52" s="25" t="s">
        <v>65</v>
      </c>
    </row>
    <row r="53" spans="1:10" x14ac:dyDescent="0.25">
      <c r="A53" s="22" t="s">
        <v>66</v>
      </c>
      <c r="B53" s="22"/>
      <c r="C53" s="15">
        <f>ROUND(0.6837, 4)</f>
        <v>0.68369999999999997</v>
      </c>
      <c r="D53" s="15">
        <f>ROUND(0.6635, 4)</f>
        <v>0.66349999999999998</v>
      </c>
      <c r="E53" s="15">
        <f>ROUND(0.7608, 4)</f>
        <v>0.76080000000000003</v>
      </c>
      <c r="F53" s="8"/>
      <c r="G53" s="14" t="s">
        <v>67</v>
      </c>
      <c r="H53" s="29"/>
      <c r="I53" s="26"/>
      <c r="J53" s="26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7" t="s">
        <v>68</v>
      </c>
      <c r="B57" s="27"/>
      <c r="C57" s="14" t="s">
        <v>2</v>
      </c>
      <c r="D57" s="14" t="s">
        <v>324</v>
      </c>
      <c r="E57" s="14" t="s">
        <v>70</v>
      </c>
      <c r="F57" s="14" t="s">
        <v>71</v>
      </c>
      <c r="G57" s="14" t="s">
        <v>72</v>
      </c>
      <c r="H57" s="13"/>
      <c r="I57" s="17"/>
      <c r="J57" s="17"/>
    </row>
    <row r="58" spans="1:10" x14ac:dyDescent="0.25">
      <c r="A58" s="22" t="s">
        <v>73</v>
      </c>
      <c r="B58" s="22"/>
      <c r="C58" s="16">
        <v>96.76</v>
      </c>
      <c r="D58" s="16">
        <v>104.59</v>
      </c>
      <c r="E58" s="16">
        <v>92.53</v>
      </c>
      <c r="F58" s="16">
        <v>56.06</v>
      </c>
      <c r="G58" s="16">
        <f>12/11*C58</f>
        <v>105.55636363636363</v>
      </c>
      <c r="H58" s="8"/>
      <c r="I58" s="9"/>
      <c r="J58" s="9"/>
    </row>
    <row r="59" spans="1:10" x14ac:dyDescent="0.25">
      <c r="A59" s="22" t="s">
        <v>74</v>
      </c>
      <c r="B59" s="22"/>
      <c r="C59" s="16">
        <v>45.28</v>
      </c>
      <c r="D59" s="16">
        <v>45.62</v>
      </c>
      <c r="E59" s="16">
        <v>61.98</v>
      </c>
      <c r="F59" s="16">
        <v>64.09</v>
      </c>
      <c r="G59" s="16">
        <f>12/11*C59</f>
        <v>49.396363636363631</v>
      </c>
      <c r="H59" s="8"/>
      <c r="I59" s="9"/>
      <c r="J59" s="9"/>
    </row>
    <row r="60" spans="1:10" x14ac:dyDescent="0.25">
      <c r="A60" s="22" t="s">
        <v>75</v>
      </c>
      <c r="B60" s="22"/>
      <c r="C60" s="16">
        <v>209.18</v>
      </c>
      <c r="D60" s="16">
        <v>205.97</v>
      </c>
      <c r="E60" s="16">
        <v>291.51</v>
      </c>
      <c r="F60" s="16">
        <v>284.45</v>
      </c>
      <c r="G60" s="16">
        <f>12/11*C60</f>
        <v>228.19636363636363</v>
      </c>
      <c r="H60" s="8"/>
      <c r="I60" s="9"/>
      <c r="J60" s="9"/>
    </row>
    <row r="61" spans="1:10" x14ac:dyDescent="0.25">
      <c r="A61" s="22" t="s">
        <v>76</v>
      </c>
      <c r="B61" s="22"/>
      <c r="C61" s="16">
        <v>115.32</v>
      </c>
      <c r="D61" s="16">
        <v>120.25</v>
      </c>
      <c r="E61" s="16">
        <v>116.46</v>
      </c>
      <c r="F61" s="16">
        <v>79.959999999999994</v>
      </c>
      <c r="G61" s="16">
        <f>12/11*C61</f>
        <v>125.80363636363634</v>
      </c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3" t="s">
        <v>60</v>
      </c>
      <c r="B64" s="24"/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3" t="s">
        <v>77</v>
      </c>
      <c r="B65" s="1" t="s">
        <v>325</v>
      </c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70</v>
      </c>
      <c r="B66" s="1" t="s">
        <v>79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71</v>
      </c>
      <c r="B67" s="1" t="s">
        <v>80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72</v>
      </c>
      <c r="B68" s="1" t="s">
        <v>81</v>
      </c>
    </row>
  </sheetData>
  <mergeCells count="19">
    <mergeCell ref="C7:G7"/>
    <mergeCell ref="A37:B37"/>
    <mergeCell ref="A38:B38"/>
    <mergeCell ref="A43:B43"/>
    <mergeCell ref="A44:B44"/>
    <mergeCell ref="J52:J53"/>
    <mergeCell ref="A53:B53"/>
    <mergeCell ref="A57:B57"/>
    <mergeCell ref="A58:B58"/>
    <mergeCell ref="A45:B45"/>
    <mergeCell ref="A46:B46"/>
    <mergeCell ref="A51:B51"/>
    <mergeCell ref="A52:B52"/>
    <mergeCell ref="H52:H53"/>
    <mergeCell ref="A59:B59"/>
    <mergeCell ref="A60:B60"/>
    <mergeCell ref="A61:B61"/>
    <mergeCell ref="A64:B64"/>
    <mergeCell ref="I52:I5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326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8842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114</v>
      </c>
      <c r="F9" s="10"/>
      <c r="G9" s="10">
        <f t="shared" ref="G9:G35" si="0">SUM(C9:F9)</f>
        <v>114</v>
      </c>
      <c r="H9" s="16">
        <f t="shared" ref="H9:H35" si="1">ROUND(G9/8842,2)</f>
        <v>0.01</v>
      </c>
      <c r="I9" s="15">
        <f t="shared" ref="I9:I35" si="2">ROUND(G9/$G$36,3)</f>
        <v>0</v>
      </c>
      <c r="J9" s="15">
        <f>ROUND(G9/188-1,2)</f>
        <v>-0.39</v>
      </c>
    </row>
    <row r="10" spans="1:10" x14ac:dyDescent="0.25">
      <c r="A10" s="1" t="s">
        <v>16</v>
      </c>
      <c r="B10" s="1" t="s">
        <v>19</v>
      </c>
      <c r="C10" s="10"/>
      <c r="D10" s="10"/>
      <c r="E10" s="10">
        <v>1440</v>
      </c>
      <c r="F10" s="10"/>
      <c r="G10" s="10">
        <f t="shared" si="0"/>
        <v>1440</v>
      </c>
      <c r="H10" s="16">
        <f t="shared" si="1"/>
        <v>0.16</v>
      </c>
      <c r="I10" s="15">
        <f t="shared" si="2"/>
        <v>2E-3</v>
      </c>
      <c r="J10" s="15">
        <f>ROUND(G10/2080-1,2)</f>
        <v>-0.31</v>
      </c>
    </row>
    <row r="11" spans="1:10" x14ac:dyDescent="0.25">
      <c r="A11" s="1" t="s">
        <v>16</v>
      </c>
      <c r="B11" s="1" t="s">
        <v>95</v>
      </c>
      <c r="C11" s="10"/>
      <c r="D11" s="10"/>
      <c r="E11" s="10">
        <v>367</v>
      </c>
      <c r="F11" s="10"/>
      <c r="G11" s="10">
        <f t="shared" si="0"/>
        <v>367</v>
      </c>
      <c r="H11" s="16">
        <f t="shared" si="1"/>
        <v>0.04</v>
      </c>
      <c r="I11" s="15">
        <f t="shared" si="2"/>
        <v>0</v>
      </c>
      <c r="J11" s="15">
        <f>ROUND(G11/270-1,2)</f>
        <v>0.36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441</v>
      </c>
      <c r="F12" s="10"/>
      <c r="G12" s="10">
        <f t="shared" si="0"/>
        <v>441</v>
      </c>
      <c r="H12" s="16">
        <f t="shared" si="1"/>
        <v>0.05</v>
      </c>
      <c r="I12" s="15">
        <f t="shared" si="2"/>
        <v>0</v>
      </c>
      <c r="J12" s="15">
        <f>ROUND(G12/355-1,2)</f>
        <v>0.24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4100</v>
      </c>
      <c r="F13" s="10"/>
      <c r="G13" s="10">
        <f t="shared" si="0"/>
        <v>4100</v>
      </c>
      <c r="H13" s="16">
        <f t="shared" si="1"/>
        <v>0.46</v>
      </c>
      <c r="I13" s="15">
        <f t="shared" si="2"/>
        <v>5.0000000000000001E-3</v>
      </c>
      <c r="J13" s="15">
        <f>ROUND(G13/2880-1,2)</f>
        <v>0.42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71600</v>
      </c>
      <c r="F14" s="10"/>
      <c r="G14" s="10">
        <f t="shared" si="0"/>
        <v>71600</v>
      </c>
      <c r="H14" s="16">
        <f t="shared" si="1"/>
        <v>8.1</v>
      </c>
      <c r="I14" s="15">
        <f t="shared" si="2"/>
        <v>7.9000000000000001E-2</v>
      </c>
      <c r="J14" s="15">
        <f>ROUND(G14/70340-1,2)</f>
        <v>0.02</v>
      </c>
    </row>
    <row r="15" spans="1:10" x14ac:dyDescent="0.25">
      <c r="A15" s="1" t="s">
        <v>16</v>
      </c>
      <c r="B15" s="1" t="s">
        <v>24</v>
      </c>
      <c r="C15" s="10"/>
      <c r="D15" s="10"/>
      <c r="E15" s="10">
        <v>23980</v>
      </c>
      <c r="F15" s="10"/>
      <c r="G15" s="10">
        <f t="shared" si="0"/>
        <v>23980</v>
      </c>
      <c r="H15" s="16">
        <f t="shared" si="1"/>
        <v>2.71</v>
      </c>
      <c r="I15" s="15">
        <f t="shared" si="2"/>
        <v>2.5999999999999999E-2</v>
      </c>
      <c r="J15" s="15">
        <f>ROUND(G15/15110-1,2)</f>
        <v>0.59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10040</v>
      </c>
      <c r="F16" s="10"/>
      <c r="G16" s="10">
        <f t="shared" si="0"/>
        <v>10040</v>
      </c>
      <c r="H16" s="16">
        <f t="shared" si="1"/>
        <v>1.1399999999999999</v>
      </c>
      <c r="I16" s="15">
        <f t="shared" si="2"/>
        <v>1.0999999999999999E-2</v>
      </c>
      <c r="J16" s="15">
        <f>ROUND(G16/9510-1,2)</f>
        <v>0.06</v>
      </c>
    </row>
    <row r="17" spans="1:10" x14ac:dyDescent="0.25">
      <c r="A17" s="1" t="s">
        <v>16</v>
      </c>
      <c r="B17" s="1" t="s">
        <v>27</v>
      </c>
      <c r="C17" s="10"/>
      <c r="D17" s="10"/>
      <c r="E17" s="10">
        <v>432</v>
      </c>
      <c r="F17" s="10"/>
      <c r="G17" s="10">
        <f t="shared" si="0"/>
        <v>432</v>
      </c>
      <c r="H17" s="16">
        <f t="shared" si="1"/>
        <v>0.05</v>
      </c>
      <c r="I17" s="15">
        <f t="shared" si="2"/>
        <v>0</v>
      </c>
      <c r="J17" s="15">
        <f>ROUND(G17/248-1,2)</f>
        <v>0.74</v>
      </c>
    </row>
    <row r="18" spans="1:10" x14ac:dyDescent="0.25">
      <c r="A18" s="1" t="s">
        <v>16</v>
      </c>
      <c r="B18" s="1" t="s">
        <v>28</v>
      </c>
      <c r="C18" s="10"/>
      <c r="D18" s="10"/>
      <c r="E18" s="10">
        <v>171</v>
      </c>
      <c r="F18" s="10"/>
      <c r="G18" s="10">
        <f t="shared" si="0"/>
        <v>171</v>
      </c>
      <c r="H18" s="16">
        <f t="shared" si="1"/>
        <v>0.02</v>
      </c>
      <c r="I18" s="15">
        <f t="shared" si="2"/>
        <v>0</v>
      </c>
      <c r="J18" s="15">
        <f>ROUND(G18/199-1,2)</f>
        <v>-0.14000000000000001</v>
      </c>
    </row>
    <row r="19" spans="1:10" x14ac:dyDescent="0.25">
      <c r="A19" s="1" t="s">
        <v>16</v>
      </c>
      <c r="B19" s="1" t="s">
        <v>42</v>
      </c>
      <c r="C19" s="10"/>
      <c r="D19" s="10"/>
      <c r="E19" s="10">
        <v>200</v>
      </c>
      <c r="F19" s="10"/>
      <c r="G19" s="10">
        <f t="shared" si="0"/>
        <v>200</v>
      </c>
      <c r="H19" s="16">
        <f t="shared" si="1"/>
        <v>0.02</v>
      </c>
      <c r="I19" s="15">
        <f t="shared" si="2"/>
        <v>0</v>
      </c>
      <c r="J19" s="15"/>
    </row>
    <row r="20" spans="1:10" x14ac:dyDescent="0.25">
      <c r="A20" s="1" t="s">
        <v>16</v>
      </c>
      <c r="B20" s="1" t="s">
        <v>29</v>
      </c>
      <c r="C20" s="10"/>
      <c r="D20" s="10"/>
      <c r="E20" s="10">
        <v>5980</v>
      </c>
      <c r="F20" s="10"/>
      <c r="G20" s="10">
        <f t="shared" si="0"/>
        <v>5980</v>
      </c>
      <c r="H20" s="16">
        <f t="shared" si="1"/>
        <v>0.68</v>
      </c>
      <c r="I20" s="15">
        <f t="shared" si="2"/>
        <v>7.0000000000000001E-3</v>
      </c>
      <c r="J20" s="15">
        <f>ROUND(G20/18260-1,2)</f>
        <v>-0.67</v>
      </c>
    </row>
    <row r="21" spans="1:10" x14ac:dyDescent="0.25">
      <c r="A21" s="1" t="s">
        <v>16</v>
      </c>
      <c r="B21" s="1" t="s">
        <v>30</v>
      </c>
      <c r="C21" s="10"/>
      <c r="D21" s="10"/>
      <c r="E21" s="10">
        <v>2660</v>
      </c>
      <c r="F21" s="10"/>
      <c r="G21" s="10">
        <f t="shared" si="0"/>
        <v>2660</v>
      </c>
      <c r="H21" s="16">
        <f t="shared" si="1"/>
        <v>0.3</v>
      </c>
      <c r="I21" s="15">
        <f t="shared" si="2"/>
        <v>3.0000000000000001E-3</v>
      </c>
      <c r="J21" s="15">
        <f>ROUND(G21/2100-1,2)</f>
        <v>0.27</v>
      </c>
    </row>
    <row r="22" spans="1:10" x14ac:dyDescent="0.25">
      <c r="A22" s="1" t="s">
        <v>16</v>
      </c>
      <c r="B22" s="1" t="s">
        <v>31</v>
      </c>
      <c r="C22" s="10"/>
      <c r="D22" s="10"/>
      <c r="E22" s="10">
        <v>180</v>
      </c>
      <c r="F22" s="10"/>
      <c r="G22" s="10">
        <f t="shared" si="0"/>
        <v>180</v>
      </c>
      <c r="H22" s="16">
        <f t="shared" si="1"/>
        <v>0.02</v>
      </c>
      <c r="I22" s="15">
        <f t="shared" si="2"/>
        <v>0</v>
      </c>
      <c r="J22" s="15"/>
    </row>
    <row r="23" spans="1:10" x14ac:dyDescent="0.25">
      <c r="A23" s="1" t="s">
        <v>16</v>
      </c>
      <c r="B23" s="1" t="s">
        <v>32</v>
      </c>
      <c r="C23" s="10"/>
      <c r="D23" s="10"/>
      <c r="E23" s="10">
        <v>4309</v>
      </c>
      <c r="F23" s="10"/>
      <c r="G23" s="10">
        <f t="shared" si="0"/>
        <v>4309</v>
      </c>
      <c r="H23" s="16">
        <f t="shared" si="1"/>
        <v>0.49</v>
      </c>
      <c r="I23" s="15">
        <f t="shared" si="2"/>
        <v>5.0000000000000001E-3</v>
      </c>
      <c r="J23" s="15">
        <f>ROUND(G23/4015-1,2)</f>
        <v>7.0000000000000007E-2</v>
      </c>
    </row>
    <row r="24" spans="1:10" x14ac:dyDescent="0.25">
      <c r="A24" s="1" t="s">
        <v>16</v>
      </c>
      <c r="B24" s="1" t="s">
        <v>33</v>
      </c>
      <c r="C24" s="10"/>
      <c r="D24" s="10">
        <v>89</v>
      </c>
      <c r="E24" s="10">
        <v>71</v>
      </c>
      <c r="F24" s="10"/>
      <c r="G24" s="10">
        <f t="shared" si="0"/>
        <v>160</v>
      </c>
      <c r="H24" s="16">
        <f t="shared" si="1"/>
        <v>0.02</v>
      </c>
      <c r="I24" s="15">
        <f t="shared" si="2"/>
        <v>0</v>
      </c>
      <c r="J24" s="15">
        <f>ROUND(G24/182-1,2)</f>
        <v>-0.12</v>
      </c>
    </row>
    <row r="25" spans="1:10" x14ac:dyDescent="0.25">
      <c r="A25" s="1" t="s">
        <v>16</v>
      </c>
      <c r="B25" s="1" t="s">
        <v>35</v>
      </c>
      <c r="C25" s="10"/>
      <c r="D25" s="10"/>
      <c r="E25" s="10">
        <v>1125</v>
      </c>
      <c r="F25" s="10"/>
      <c r="G25" s="10">
        <f t="shared" si="0"/>
        <v>1125</v>
      </c>
      <c r="H25" s="16">
        <f t="shared" si="1"/>
        <v>0.13</v>
      </c>
      <c r="I25" s="15">
        <f t="shared" si="2"/>
        <v>1E-3</v>
      </c>
      <c r="J25" s="15">
        <f>ROUND(G25/504-1,2)</f>
        <v>1.23</v>
      </c>
    </row>
    <row r="26" spans="1:10" x14ac:dyDescent="0.25">
      <c r="A26" s="1" t="s">
        <v>16</v>
      </c>
      <c r="B26" s="1" t="s">
        <v>34</v>
      </c>
      <c r="C26" s="10"/>
      <c r="D26" s="10"/>
      <c r="E26" s="10">
        <v>2870</v>
      </c>
      <c r="F26" s="10"/>
      <c r="G26" s="10">
        <f t="shared" si="0"/>
        <v>2870</v>
      </c>
      <c r="H26" s="16">
        <f t="shared" si="1"/>
        <v>0.32</v>
      </c>
      <c r="I26" s="15">
        <f t="shared" si="2"/>
        <v>3.0000000000000001E-3</v>
      </c>
      <c r="J26" s="15">
        <f>ROUND(G26/5722-1,2)</f>
        <v>-0.5</v>
      </c>
    </row>
    <row r="27" spans="1:10" x14ac:dyDescent="0.25">
      <c r="A27" s="1" t="s">
        <v>16</v>
      </c>
      <c r="B27" s="1" t="s">
        <v>37</v>
      </c>
      <c r="C27" s="10"/>
      <c r="D27" s="10"/>
      <c r="E27" s="10">
        <v>11790</v>
      </c>
      <c r="F27" s="10"/>
      <c r="G27" s="10">
        <f t="shared" si="0"/>
        <v>11790</v>
      </c>
      <c r="H27" s="16">
        <f t="shared" si="1"/>
        <v>1.33</v>
      </c>
      <c r="I27" s="15">
        <f t="shared" si="2"/>
        <v>1.2999999999999999E-2</v>
      </c>
      <c r="J27" s="15">
        <f>ROUND(G27/21690-1,2)</f>
        <v>-0.46</v>
      </c>
    </row>
    <row r="28" spans="1:10" x14ac:dyDescent="0.25">
      <c r="A28" s="1" t="s">
        <v>16</v>
      </c>
      <c r="B28" s="1" t="s">
        <v>38</v>
      </c>
      <c r="C28" s="10"/>
      <c r="D28" s="10"/>
      <c r="E28" s="10">
        <v>187020</v>
      </c>
      <c r="F28" s="10"/>
      <c r="G28" s="10">
        <f t="shared" si="0"/>
        <v>187020</v>
      </c>
      <c r="H28" s="16">
        <f t="shared" si="1"/>
        <v>21.15</v>
      </c>
      <c r="I28" s="15">
        <f t="shared" si="2"/>
        <v>0.20499999999999999</v>
      </c>
      <c r="J28" s="15">
        <f>ROUND(G28/161645-1,2)</f>
        <v>0.16</v>
      </c>
    </row>
    <row r="29" spans="1:10" x14ac:dyDescent="0.25">
      <c r="A29" s="1" t="s">
        <v>16</v>
      </c>
      <c r="B29" s="1" t="s">
        <v>39</v>
      </c>
      <c r="C29" s="10"/>
      <c r="D29" s="10"/>
      <c r="E29" s="10">
        <v>9270</v>
      </c>
      <c r="F29" s="10"/>
      <c r="G29" s="10">
        <f t="shared" si="0"/>
        <v>9270</v>
      </c>
      <c r="H29" s="16">
        <f t="shared" si="1"/>
        <v>1.05</v>
      </c>
      <c r="I29" s="15">
        <f t="shared" si="2"/>
        <v>0.01</v>
      </c>
      <c r="J29" s="15">
        <f>ROUND(G29/6710-1,2)</f>
        <v>0.38</v>
      </c>
    </row>
    <row r="30" spans="1:10" x14ac:dyDescent="0.25">
      <c r="A30" s="1" t="s">
        <v>16</v>
      </c>
      <c r="B30" s="1" t="s">
        <v>40</v>
      </c>
      <c r="C30" s="10"/>
      <c r="D30" s="10"/>
      <c r="E30" s="10">
        <v>41430</v>
      </c>
      <c r="F30" s="10"/>
      <c r="G30" s="10">
        <f t="shared" si="0"/>
        <v>41430</v>
      </c>
      <c r="H30" s="16">
        <f t="shared" si="1"/>
        <v>4.6900000000000004</v>
      </c>
      <c r="I30" s="15">
        <f t="shared" si="2"/>
        <v>4.4999999999999998E-2</v>
      </c>
      <c r="J30" s="15">
        <f>ROUND(G30/32430-1,2)</f>
        <v>0.28000000000000003</v>
      </c>
    </row>
    <row r="31" spans="1:10" x14ac:dyDescent="0.25">
      <c r="A31" s="1" t="s">
        <v>16</v>
      </c>
      <c r="B31" s="1" t="s">
        <v>41</v>
      </c>
      <c r="C31" s="10"/>
      <c r="D31" s="10"/>
      <c r="E31" s="10">
        <v>444010</v>
      </c>
      <c r="F31" s="10"/>
      <c r="G31" s="10">
        <f t="shared" si="0"/>
        <v>444010</v>
      </c>
      <c r="H31" s="16">
        <f t="shared" si="1"/>
        <v>50.22</v>
      </c>
      <c r="I31" s="15">
        <f t="shared" si="2"/>
        <v>0.48699999999999999</v>
      </c>
      <c r="J31" s="15">
        <f>ROUND(G31/357050-1,2)</f>
        <v>0.24</v>
      </c>
    </row>
    <row r="32" spans="1:10" x14ac:dyDescent="0.25">
      <c r="A32" s="1" t="s">
        <v>16</v>
      </c>
      <c r="B32" s="1" t="s">
        <v>36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ROUND(G32/5510-1,2)</f>
        <v>-1</v>
      </c>
    </row>
    <row r="33" spans="1:10" x14ac:dyDescent="0.25">
      <c r="A33" s="1" t="s">
        <v>16</v>
      </c>
      <c r="B33" s="1" t="s">
        <v>43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ROUND(G33/16060-1,2)</f>
        <v>-1</v>
      </c>
    </row>
    <row r="34" spans="1:10" x14ac:dyDescent="0.25">
      <c r="A34" s="1" t="s">
        <v>44</v>
      </c>
      <c r="B34" s="1" t="s">
        <v>46</v>
      </c>
      <c r="C34" s="10"/>
      <c r="D34" s="10"/>
      <c r="E34" s="10">
        <v>87110</v>
      </c>
      <c r="F34" s="10"/>
      <c r="G34" s="10">
        <f t="shared" si="0"/>
        <v>87110</v>
      </c>
      <c r="H34" s="16">
        <f t="shared" si="1"/>
        <v>9.85</v>
      </c>
      <c r="I34" s="15">
        <f t="shared" si="2"/>
        <v>9.6000000000000002E-2</v>
      </c>
      <c r="J34" s="15">
        <f>ROUND(G34/74560-1,2)</f>
        <v>0.17</v>
      </c>
    </row>
    <row r="35" spans="1:10" x14ac:dyDescent="0.25">
      <c r="A35" s="1" t="s">
        <v>48</v>
      </c>
      <c r="B35" s="1" t="s">
        <v>51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27" t="s">
        <v>12</v>
      </c>
      <c r="B36" s="27"/>
      <c r="C36" s="11">
        <f t="shared" ref="C36:H36" si="3">SUM(C8:C35)</f>
        <v>0</v>
      </c>
      <c r="D36" s="11">
        <f t="shared" si="3"/>
        <v>89</v>
      </c>
      <c r="E36" s="11">
        <f t="shared" si="3"/>
        <v>910710</v>
      </c>
      <c r="F36" s="11">
        <f t="shared" si="3"/>
        <v>0</v>
      </c>
      <c r="G36" s="11">
        <f t="shared" si="3"/>
        <v>910799</v>
      </c>
      <c r="H36" s="14">
        <f t="shared" si="3"/>
        <v>103.00999999999999</v>
      </c>
      <c r="I36" s="17"/>
      <c r="J36" s="17"/>
    </row>
    <row r="37" spans="1:10" x14ac:dyDescent="0.25">
      <c r="A37" s="27" t="s">
        <v>14</v>
      </c>
      <c r="B37" s="27"/>
      <c r="C37" s="12">
        <f>ROUND(C36/G36,2)</f>
        <v>0</v>
      </c>
      <c r="D37" s="12">
        <f>ROUND(D36/G36,2)</f>
        <v>0</v>
      </c>
      <c r="E37" s="12">
        <f>ROUND(E36/G36,2)</f>
        <v>1</v>
      </c>
      <c r="F37" s="12">
        <f>ROUND(F36/G36,2)</f>
        <v>0</v>
      </c>
      <c r="G37" s="13"/>
      <c r="H37" s="13"/>
      <c r="I37" s="17"/>
      <c r="J37" s="17"/>
    </row>
    <row r="38" spans="1:10" x14ac:dyDescent="0.25">
      <c r="A38" s="2" t="s">
        <v>52</v>
      </c>
      <c r="B38" s="2"/>
      <c r="C38" s="13"/>
      <c r="D38" s="13"/>
      <c r="E38" s="13"/>
      <c r="F38" s="13"/>
      <c r="G38" s="13"/>
      <c r="H38" s="13"/>
      <c r="I38" s="17"/>
      <c r="J38" s="17"/>
    </row>
    <row r="39" spans="1:10" x14ac:dyDescent="0.25">
      <c r="C39" s="8"/>
      <c r="D39" s="8"/>
      <c r="E39" s="8"/>
      <c r="F39" s="8"/>
      <c r="G39" s="8"/>
      <c r="H39" s="8"/>
      <c r="I39" s="9"/>
      <c r="J39" s="9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A42" s="27" t="s">
        <v>53</v>
      </c>
      <c r="B42" s="27"/>
      <c r="C42" s="11" t="s">
        <v>8</v>
      </c>
      <c r="D42" s="11" t="s">
        <v>9</v>
      </c>
      <c r="E42" s="11" t="s">
        <v>10</v>
      </c>
      <c r="F42" s="11" t="s">
        <v>11</v>
      </c>
      <c r="G42" s="11" t="s">
        <v>12</v>
      </c>
      <c r="H42" s="14" t="s">
        <v>13</v>
      </c>
      <c r="I42" s="17"/>
      <c r="J42" s="17"/>
    </row>
    <row r="43" spans="1:10" x14ac:dyDescent="0.25">
      <c r="A43" s="22" t="s">
        <v>54</v>
      </c>
      <c r="B43" s="22"/>
      <c r="C43" s="10">
        <v>0</v>
      </c>
      <c r="D43" s="10">
        <v>89</v>
      </c>
      <c r="E43" s="10">
        <v>823600</v>
      </c>
      <c r="F43" s="10">
        <v>0</v>
      </c>
      <c r="G43" s="10">
        <f>SUM(C43:F43)</f>
        <v>823689</v>
      </c>
      <c r="H43" s="16">
        <f>ROUND(G43/8842,2)</f>
        <v>93.16</v>
      </c>
      <c r="I43" s="9"/>
      <c r="J43" s="9"/>
    </row>
    <row r="44" spans="1:10" x14ac:dyDescent="0.25">
      <c r="A44" s="22" t="s">
        <v>55</v>
      </c>
      <c r="B44" s="22"/>
      <c r="C44" s="10">
        <v>0</v>
      </c>
      <c r="D44" s="10">
        <v>0</v>
      </c>
      <c r="E44" s="10">
        <v>87110</v>
      </c>
      <c r="F44" s="10">
        <v>0</v>
      </c>
      <c r="G44" s="10">
        <f>SUM(C44:F44)</f>
        <v>87110</v>
      </c>
      <c r="H44" s="16">
        <f>ROUND(G44/8842,2)</f>
        <v>9.85</v>
      </c>
      <c r="I44" s="9"/>
      <c r="J44" s="9"/>
    </row>
    <row r="45" spans="1:10" x14ac:dyDescent="0.25">
      <c r="A45" s="22" t="s">
        <v>56</v>
      </c>
      <c r="B45" s="22"/>
      <c r="C45" s="10">
        <v>0</v>
      </c>
      <c r="D45" s="10">
        <v>0</v>
      </c>
      <c r="E45" s="10">
        <v>0</v>
      </c>
      <c r="F45" s="10">
        <v>0</v>
      </c>
      <c r="G45" s="10">
        <f>SUM(C45:F45)</f>
        <v>0</v>
      </c>
      <c r="H45" s="16">
        <f>ROUND(G45/8842,2)</f>
        <v>0</v>
      </c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57</v>
      </c>
      <c r="B50" s="27"/>
      <c r="C50" s="14" t="s">
        <v>2</v>
      </c>
      <c r="D50" s="14">
        <v>2023</v>
      </c>
      <c r="E50" s="14" t="s">
        <v>59</v>
      </c>
      <c r="F50" s="13"/>
      <c r="G50" s="14" t="s">
        <v>60</v>
      </c>
      <c r="H50" s="14" t="s">
        <v>2</v>
      </c>
      <c r="I50" s="12" t="s">
        <v>61</v>
      </c>
      <c r="J50" s="12" t="s">
        <v>59</v>
      </c>
    </row>
    <row r="51" spans="1:10" x14ac:dyDescent="0.25">
      <c r="A51" s="22" t="s">
        <v>58</v>
      </c>
      <c r="B51" s="22"/>
      <c r="C51" s="15">
        <f>ROUND(0.9917, 4)</f>
        <v>0.99170000000000003</v>
      </c>
      <c r="D51" s="15">
        <f>ROUND(0.989, 4)</f>
        <v>0.98899999999999999</v>
      </c>
      <c r="E51" s="15">
        <f>ROUND(0.777, 4)</f>
        <v>0.77700000000000002</v>
      </c>
      <c r="F51" s="8"/>
      <c r="G51" s="14" t="s">
        <v>62</v>
      </c>
      <c r="H51" s="28" t="s">
        <v>63</v>
      </c>
      <c r="I51" s="25" t="s">
        <v>64</v>
      </c>
      <c r="J51" s="25" t="s">
        <v>65</v>
      </c>
    </row>
    <row r="52" spans="1:10" x14ac:dyDescent="0.25">
      <c r="A52" s="22" t="s">
        <v>66</v>
      </c>
      <c r="B52" s="22"/>
      <c r="C52" s="15">
        <f>ROUND(0.9911, 4)</f>
        <v>0.99109999999999998</v>
      </c>
      <c r="D52" s="15">
        <f>ROUND(0.9878, 4)</f>
        <v>0.98780000000000001</v>
      </c>
      <c r="E52" s="15">
        <f>ROUND(0.7608, 4)</f>
        <v>0.76080000000000003</v>
      </c>
      <c r="F52" s="8"/>
      <c r="G52" s="14" t="s">
        <v>67</v>
      </c>
      <c r="H52" s="29"/>
      <c r="I52" s="26"/>
      <c r="J52" s="26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A56" s="27" t="s">
        <v>68</v>
      </c>
      <c r="B56" s="27"/>
      <c r="C56" s="14" t="s">
        <v>2</v>
      </c>
      <c r="D56" s="14" t="s">
        <v>327</v>
      </c>
      <c r="E56" s="14" t="s">
        <v>70</v>
      </c>
      <c r="F56" s="14" t="s">
        <v>71</v>
      </c>
      <c r="G56" s="14" t="s">
        <v>72</v>
      </c>
      <c r="H56" s="13"/>
      <c r="I56" s="17"/>
      <c r="J56" s="17"/>
    </row>
    <row r="57" spans="1:10" x14ac:dyDescent="0.25">
      <c r="A57" s="22" t="s">
        <v>73</v>
      </c>
      <c r="B57" s="22"/>
      <c r="C57" s="16"/>
      <c r="D57" s="16"/>
      <c r="E57" s="16">
        <v>92.53</v>
      </c>
      <c r="F57" s="16">
        <v>56.06</v>
      </c>
      <c r="G57" s="16">
        <f>12/11*C57</f>
        <v>0</v>
      </c>
      <c r="H57" s="8"/>
      <c r="I57" s="9"/>
      <c r="J57" s="9"/>
    </row>
    <row r="58" spans="1:10" x14ac:dyDescent="0.25">
      <c r="A58" s="22" t="s">
        <v>74</v>
      </c>
      <c r="B58" s="22"/>
      <c r="C58" s="16"/>
      <c r="D58" s="16"/>
      <c r="E58" s="16">
        <v>61.98</v>
      </c>
      <c r="F58" s="16">
        <v>64.09</v>
      </c>
      <c r="G58" s="16">
        <f>12/11*C58</f>
        <v>0</v>
      </c>
      <c r="H58" s="8"/>
      <c r="I58" s="9"/>
      <c r="J58" s="9"/>
    </row>
    <row r="59" spans="1:10" x14ac:dyDescent="0.25">
      <c r="A59" s="22" t="s">
        <v>75</v>
      </c>
      <c r="B59" s="22"/>
      <c r="C59" s="16">
        <v>93.16</v>
      </c>
      <c r="D59" s="16">
        <v>91.8</v>
      </c>
      <c r="E59" s="16">
        <v>291.51</v>
      </c>
      <c r="F59" s="16">
        <v>284.45</v>
      </c>
      <c r="G59" s="16">
        <f>12/11*C59</f>
        <v>101.62909090909089</v>
      </c>
      <c r="H59" s="8"/>
      <c r="I59" s="9"/>
      <c r="J59" s="9"/>
    </row>
    <row r="60" spans="1:10" x14ac:dyDescent="0.25">
      <c r="A60" s="22" t="s">
        <v>76</v>
      </c>
      <c r="B60" s="22"/>
      <c r="C60" s="16">
        <v>9.85</v>
      </c>
      <c r="D60" s="16">
        <v>9.6300000000000008</v>
      </c>
      <c r="E60" s="16">
        <v>116.46</v>
      </c>
      <c r="F60" s="16">
        <v>79.959999999999994</v>
      </c>
      <c r="G60" s="16">
        <f>12/11*C60</f>
        <v>10.745454545454544</v>
      </c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23" t="s">
        <v>60</v>
      </c>
      <c r="B63" s="24"/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3" t="s">
        <v>77</v>
      </c>
      <c r="B64" s="1" t="s">
        <v>328</v>
      </c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3" t="s">
        <v>70</v>
      </c>
      <c r="B65" s="1" t="s">
        <v>79</v>
      </c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71</v>
      </c>
      <c r="B66" s="1" t="s">
        <v>80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72</v>
      </c>
      <c r="B67" s="1" t="s">
        <v>81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  <row r="78" spans="1:10" x14ac:dyDescent="0.25">
      <c r="C78" s="8"/>
      <c r="D78" s="8"/>
      <c r="E78" s="8"/>
      <c r="F78" s="8"/>
      <c r="G78" s="8"/>
      <c r="H78" s="8"/>
      <c r="I78" s="9"/>
      <c r="J78" s="9"/>
    </row>
    <row r="79" spans="1:10" x14ac:dyDescent="0.25">
      <c r="C79" s="8"/>
      <c r="D79" s="8"/>
      <c r="E79" s="8"/>
      <c r="F79" s="8"/>
      <c r="G79" s="8"/>
      <c r="H79" s="8"/>
      <c r="I79" s="9"/>
      <c r="J79" s="9"/>
    </row>
  </sheetData>
  <mergeCells count="19">
    <mergeCell ref="C7:G7"/>
    <mergeCell ref="A36:B36"/>
    <mergeCell ref="A37:B37"/>
    <mergeCell ref="A42:B42"/>
    <mergeCell ref="A43:B43"/>
    <mergeCell ref="J51:J52"/>
    <mergeCell ref="A52:B52"/>
    <mergeCell ref="A56:B56"/>
    <mergeCell ref="A57:B57"/>
    <mergeCell ref="A44:B44"/>
    <mergeCell ref="A45:B45"/>
    <mergeCell ref="A50:B50"/>
    <mergeCell ref="A51:B51"/>
    <mergeCell ref="H51:H52"/>
    <mergeCell ref="A58:B58"/>
    <mergeCell ref="A59:B59"/>
    <mergeCell ref="A60:B60"/>
    <mergeCell ref="A63:B63"/>
    <mergeCell ref="I51:I5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2:J7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4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329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9781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332</v>
      </c>
      <c r="F9" s="10"/>
      <c r="G9" s="10">
        <f t="shared" ref="G9:G47" si="0">SUM(C9:F9)</f>
        <v>332</v>
      </c>
      <c r="H9" s="16">
        <f t="shared" ref="H9:H47" si="1">ROUND(G9/9781,2)</f>
        <v>0.03</v>
      </c>
      <c r="I9" s="15">
        <f t="shared" ref="I9:I47" si="2">ROUND(G9/$G$48,3)</f>
        <v>0</v>
      </c>
      <c r="J9" s="15">
        <f>ROUND(G9/983-1,2)</f>
        <v>-0.66</v>
      </c>
    </row>
    <row r="10" spans="1:10" x14ac:dyDescent="0.25">
      <c r="A10" s="1" t="s">
        <v>16</v>
      </c>
      <c r="B10" s="1" t="s">
        <v>18</v>
      </c>
      <c r="C10" s="10">
        <v>960</v>
      </c>
      <c r="D10" s="10"/>
      <c r="E10" s="10">
        <v>36787</v>
      </c>
      <c r="F10" s="10">
        <v>4880</v>
      </c>
      <c r="G10" s="10">
        <f t="shared" si="0"/>
        <v>42627</v>
      </c>
      <c r="H10" s="16">
        <f t="shared" si="1"/>
        <v>4.3600000000000003</v>
      </c>
      <c r="I10" s="15">
        <f t="shared" si="2"/>
        <v>8.9999999999999993E-3</v>
      </c>
      <c r="J10" s="15">
        <f>ROUND(G10/56820-1,2)</f>
        <v>-0.25</v>
      </c>
    </row>
    <row r="11" spans="1:10" x14ac:dyDescent="0.25">
      <c r="A11" s="1" t="s">
        <v>16</v>
      </c>
      <c r="B11" s="1" t="s">
        <v>19</v>
      </c>
      <c r="C11" s="10">
        <v>303230</v>
      </c>
      <c r="D11" s="10"/>
      <c r="E11" s="10">
        <v>66089</v>
      </c>
      <c r="F11" s="10">
        <v>9500</v>
      </c>
      <c r="G11" s="10">
        <f t="shared" si="0"/>
        <v>378819</v>
      </c>
      <c r="H11" s="16">
        <f t="shared" si="1"/>
        <v>38.729999999999997</v>
      </c>
      <c r="I11" s="15">
        <f t="shared" si="2"/>
        <v>0.08</v>
      </c>
      <c r="J11" s="15">
        <f>ROUND(G11/401570.96-1,2)</f>
        <v>-0.06</v>
      </c>
    </row>
    <row r="12" spans="1:10" x14ac:dyDescent="0.25">
      <c r="A12" s="1" t="s">
        <v>16</v>
      </c>
      <c r="B12" s="1" t="s">
        <v>20</v>
      </c>
      <c r="C12" s="10">
        <v>396475</v>
      </c>
      <c r="D12" s="10"/>
      <c r="E12" s="10"/>
      <c r="F12" s="10"/>
      <c r="G12" s="10">
        <f t="shared" si="0"/>
        <v>396475</v>
      </c>
      <c r="H12" s="16">
        <f t="shared" si="1"/>
        <v>40.54</v>
      </c>
      <c r="I12" s="15">
        <f t="shared" si="2"/>
        <v>8.4000000000000005E-2</v>
      </c>
      <c r="J12" s="15">
        <f>ROUND(G12/409825.12-1,2)</f>
        <v>-0.03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1028</v>
      </c>
      <c r="F13" s="10"/>
      <c r="G13" s="10">
        <f t="shared" si="0"/>
        <v>1028</v>
      </c>
      <c r="H13" s="16">
        <f t="shared" si="1"/>
        <v>0.11</v>
      </c>
      <c r="I13" s="15">
        <f t="shared" si="2"/>
        <v>0</v>
      </c>
      <c r="J13" s="15">
        <f>ROUND(G13/928.66-1,2)</f>
        <v>0.11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5981</v>
      </c>
      <c r="F14" s="10"/>
      <c r="G14" s="10">
        <f t="shared" si="0"/>
        <v>5981</v>
      </c>
      <c r="H14" s="16">
        <f t="shared" si="1"/>
        <v>0.61</v>
      </c>
      <c r="I14" s="15">
        <f t="shared" si="2"/>
        <v>1E-3</v>
      </c>
      <c r="J14" s="15">
        <f>ROUND(G14/6118.75-1,2)</f>
        <v>-0.02</v>
      </c>
    </row>
    <row r="15" spans="1:10" x14ac:dyDescent="0.25">
      <c r="A15" s="1" t="s">
        <v>16</v>
      </c>
      <c r="B15" s="1" t="s">
        <v>98</v>
      </c>
      <c r="C15" s="10"/>
      <c r="D15" s="10"/>
      <c r="E15" s="10"/>
      <c r="F15" s="10">
        <v>192</v>
      </c>
      <c r="G15" s="10">
        <f t="shared" si="0"/>
        <v>192</v>
      </c>
      <c r="H15" s="16">
        <f t="shared" si="1"/>
        <v>0.02</v>
      </c>
      <c r="I15" s="15">
        <f t="shared" si="2"/>
        <v>0</v>
      </c>
      <c r="J15" s="15"/>
    </row>
    <row r="16" spans="1:10" x14ac:dyDescent="0.25">
      <c r="A16" s="1" t="s">
        <v>16</v>
      </c>
      <c r="B16" s="1" t="s">
        <v>23</v>
      </c>
      <c r="C16" s="10"/>
      <c r="D16" s="10"/>
      <c r="E16" s="10">
        <v>292858</v>
      </c>
      <c r="F16" s="10"/>
      <c r="G16" s="10">
        <f t="shared" si="0"/>
        <v>292858</v>
      </c>
      <c r="H16" s="16">
        <f t="shared" si="1"/>
        <v>29.94</v>
      </c>
      <c r="I16" s="15">
        <f t="shared" si="2"/>
        <v>6.2E-2</v>
      </c>
      <c r="J16" s="15">
        <f>ROUND(G16/347253.98-1,2)</f>
        <v>-0.16</v>
      </c>
    </row>
    <row r="17" spans="1:10" x14ac:dyDescent="0.25">
      <c r="A17" s="1" t="s">
        <v>16</v>
      </c>
      <c r="B17" s="1" t="s">
        <v>24</v>
      </c>
      <c r="C17" s="10">
        <v>454150</v>
      </c>
      <c r="D17" s="10"/>
      <c r="E17" s="10">
        <v>159036</v>
      </c>
      <c r="F17" s="10">
        <v>5470</v>
      </c>
      <c r="G17" s="10">
        <f t="shared" si="0"/>
        <v>618656</v>
      </c>
      <c r="H17" s="16">
        <f t="shared" si="1"/>
        <v>63.25</v>
      </c>
      <c r="I17" s="15">
        <f t="shared" si="2"/>
        <v>0.13100000000000001</v>
      </c>
      <c r="J17" s="15">
        <f>ROUND(G17/664058.86-1,2)</f>
        <v>-7.0000000000000007E-2</v>
      </c>
    </row>
    <row r="18" spans="1:10" x14ac:dyDescent="0.25">
      <c r="A18" s="1" t="s">
        <v>16</v>
      </c>
      <c r="B18" s="1" t="s">
        <v>25</v>
      </c>
      <c r="C18" s="10"/>
      <c r="D18" s="10"/>
      <c r="E18" s="10">
        <v>19683</v>
      </c>
      <c r="F18" s="10"/>
      <c r="G18" s="10">
        <f t="shared" si="0"/>
        <v>19683</v>
      </c>
      <c r="H18" s="16">
        <f t="shared" si="1"/>
        <v>2.0099999999999998</v>
      </c>
      <c r="I18" s="15">
        <f t="shared" si="2"/>
        <v>4.0000000000000001E-3</v>
      </c>
      <c r="J18" s="15">
        <f>ROUND(G18/14670-1,2)</f>
        <v>0.34</v>
      </c>
    </row>
    <row r="19" spans="1:10" x14ac:dyDescent="0.25">
      <c r="A19" s="1" t="s">
        <v>16</v>
      </c>
      <c r="B19" s="1" t="s">
        <v>26</v>
      </c>
      <c r="C19" s="10">
        <v>635340</v>
      </c>
      <c r="D19" s="10"/>
      <c r="E19" s="10"/>
      <c r="F19" s="10">
        <v>1920</v>
      </c>
      <c r="G19" s="10">
        <f t="shared" si="0"/>
        <v>637260</v>
      </c>
      <c r="H19" s="16">
        <f t="shared" si="1"/>
        <v>65.150000000000006</v>
      </c>
      <c r="I19" s="15">
        <f t="shared" si="2"/>
        <v>0.13500000000000001</v>
      </c>
      <c r="J19" s="15">
        <f>ROUND(G19/598820-1,2)</f>
        <v>0.06</v>
      </c>
    </row>
    <row r="20" spans="1:10" x14ac:dyDescent="0.25">
      <c r="A20" s="1" t="s">
        <v>16</v>
      </c>
      <c r="B20" s="1" t="s">
        <v>27</v>
      </c>
      <c r="C20" s="10"/>
      <c r="D20" s="10"/>
      <c r="E20" s="10">
        <v>2398</v>
      </c>
      <c r="F20" s="10"/>
      <c r="G20" s="10">
        <f t="shared" si="0"/>
        <v>2398</v>
      </c>
      <c r="H20" s="16">
        <f t="shared" si="1"/>
        <v>0.25</v>
      </c>
      <c r="I20" s="15">
        <f t="shared" si="2"/>
        <v>1E-3</v>
      </c>
      <c r="J20" s="15">
        <f>ROUND(G20/3721-1,2)</f>
        <v>-0.36</v>
      </c>
    </row>
    <row r="21" spans="1:10" x14ac:dyDescent="0.25">
      <c r="A21" s="1" t="s">
        <v>16</v>
      </c>
      <c r="B21" s="1" t="s">
        <v>28</v>
      </c>
      <c r="C21" s="10"/>
      <c r="D21" s="10"/>
      <c r="E21" s="10">
        <v>1054</v>
      </c>
      <c r="F21" s="10"/>
      <c r="G21" s="10">
        <f t="shared" si="0"/>
        <v>1054</v>
      </c>
      <c r="H21" s="16">
        <f t="shared" si="1"/>
        <v>0.11</v>
      </c>
      <c r="I21" s="15">
        <f t="shared" si="2"/>
        <v>0</v>
      </c>
      <c r="J21" s="15">
        <f>ROUND(G21/1727-1,2)</f>
        <v>-0.39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4974</v>
      </c>
      <c r="F22" s="10"/>
      <c r="G22" s="10">
        <f t="shared" si="0"/>
        <v>4974</v>
      </c>
      <c r="H22" s="16">
        <f t="shared" si="1"/>
        <v>0.51</v>
      </c>
      <c r="I22" s="15">
        <f t="shared" si="2"/>
        <v>1E-3</v>
      </c>
      <c r="J22" s="15">
        <f>ROUND(G22/21374.64-1,2)</f>
        <v>-0.77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4162</v>
      </c>
      <c r="F23" s="10"/>
      <c r="G23" s="10">
        <f t="shared" si="0"/>
        <v>4162</v>
      </c>
      <c r="H23" s="16">
        <f t="shared" si="1"/>
        <v>0.43</v>
      </c>
      <c r="I23" s="15">
        <f t="shared" si="2"/>
        <v>1E-3</v>
      </c>
      <c r="J23" s="15">
        <f>ROUND(G23/5045.86-1,2)</f>
        <v>-0.18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1472</v>
      </c>
      <c r="F24" s="10"/>
      <c r="G24" s="10">
        <f t="shared" si="0"/>
        <v>1472</v>
      </c>
      <c r="H24" s="16">
        <f t="shared" si="1"/>
        <v>0.15</v>
      </c>
      <c r="I24" s="15">
        <f t="shared" si="2"/>
        <v>0</v>
      </c>
      <c r="J24" s="15">
        <f>ROUND(G24/1274.62-1,2)</f>
        <v>0.15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4891</v>
      </c>
      <c r="F25" s="10"/>
      <c r="G25" s="10">
        <f t="shared" si="0"/>
        <v>4891</v>
      </c>
      <c r="H25" s="16">
        <f t="shared" si="1"/>
        <v>0.5</v>
      </c>
      <c r="I25" s="15">
        <f t="shared" si="2"/>
        <v>1E-3</v>
      </c>
      <c r="J25" s="15">
        <f>ROUND(G25/5140.57-1,2)</f>
        <v>-0.05</v>
      </c>
    </row>
    <row r="26" spans="1:10" x14ac:dyDescent="0.25">
      <c r="A26" s="1" t="s">
        <v>16</v>
      </c>
      <c r="B26" s="1" t="s">
        <v>33</v>
      </c>
      <c r="C26" s="10"/>
      <c r="D26" s="10">
        <v>590</v>
      </c>
      <c r="E26" s="10">
        <v>1380</v>
      </c>
      <c r="F26" s="10"/>
      <c r="G26" s="10">
        <f t="shared" si="0"/>
        <v>1970</v>
      </c>
      <c r="H26" s="16">
        <f t="shared" si="1"/>
        <v>0.2</v>
      </c>
      <c r="I26" s="15">
        <f t="shared" si="2"/>
        <v>0</v>
      </c>
      <c r="J26" s="15">
        <f>ROUND(G26/2440-1,2)</f>
        <v>-0.19</v>
      </c>
    </row>
    <row r="27" spans="1:10" x14ac:dyDescent="0.25">
      <c r="A27" s="1" t="s">
        <v>16</v>
      </c>
      <c r="B27" s="1" t="s">
        <v>34</v>
      </c>
      <c r="C27" s="10"/>
      <c r="D27" s="10"/>
      <c r="E27" s="10">
        <v>5155</v>
      </c>
      <c r="F27" s="10"/>
      <c r="G27" s="10">
        <f t="shared" si="0"/>
        <v>5155</v>
      </c>
      <c r="H27" s="16">
        <f t="shared" si="1"/>
        <v>0.53</v>
      </c>
      <c r="I27" s="15">
        <f t="shared" si="2"/>
        <v>1E-3</v>
      </c>
      <c r="J27" s="15">
        <f>ROUND(G27/7850-1,2)</f>
        <v>-0.34</v>
      </c>
    </row>
    <row r="28" spans="1:10" x14ac:dyDescent="0.25">
      <c r="A28" s="1" t="s">
        <v>16</v>
      </c>
      <c r="B28" s="1" t="s">
        <v>35</v>
      </c>
      <c r="C28" s="10"/>
      <c r="D28" s="10"/>
      <c r="E28" s="10">
        <v>1948</v>
      </c>
      <c r="F28" s="10"/>
      <c r="G28" s="10">
        <f t="shared" si="0"/>
        <v>1948</v>
      </c>
      <c r="H28" s="16">
        <f t="shared" si="1"/>
        <v>0.2</v>
      </c>
      <c r="I28" s="15">
        <f t="shared" si="2"/>
        <v>0</v>
      </c>
      <c r="J28" s="15">
        <f>ROUND(G28/1984.84-1,2)</f>
        <v>-0.02</v>
      </c>
    </row>
    <row r="29" spans="1:10" x14ac:dyDescent="0.25">
      <c r="A29" s="1" t="s">
        <v>16</v>
      </c>
      <c r="B29" s="1" t="s">
        <v>36</v>
      </c>
      <c r="C29" s="10"/>
      <c r="D29" s="10"/>
      <c r="E29" s="10">
        <v>1093</v>
      </c>
      <c r="F29" s="10"/>
      <c r="G29" s="10">
        <f t="shared" si="0"/>
        <v>1093</v>
      </c>
      <c r="H29" s="16">
        <f t="shared" si="1"/>
        <v>0.11</v>
      </c>
      <c r="I29" s="15">
        <f t="shared" si="2"/>
        <v>0</v>
      </c>
      <c r="J29" s="15">
        <f>ROUND(G29/13599.86-1,2)</f>
        <v>-0.92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340100</v>
      </c>
      <c r="F30" s="10"/>
      <c r="G30" s="10">
        <f t="shared" si="0"/>
        <v>340100</v>
      </c>
      <c r="H30" s="16">
        <f t="shared" si="1"/>
        <v>34.770000000000003</v>
      </c>
      <c r="I30" s="15">
        <f t="shared" si="2"/>
        <v>7.1999999999999995E-2</v>
      </c>
      <c r="J30" s="15">
        <f>ROUND(G30/382380.97-1,2)</f>
        <v>-0.11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28567</v>
      </c>
      <c r="F31" s="10"/>
      <c r="G31" s="10">
        <f t="shared" si="0"/>
        <v>28567</v>
      </c>
      <c r="H31" s="16">
        <f t="shared" si="1"/>
        <v>2.92</v>
      </c>
      <c r="I31" s="15">
        <f t="shared" si="2"/>
        <v>6.0000000000000001E-3</v>
      </c>
      <c r="J31" s="15">
        <f>ROUND(G31/32004.81-1,2)</f>
        <v>-0.11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113132</v>
      </c>
      <c r="F32" s="10"/>
      <c r="G32" s="10">
        <f t="shared" si="0"/>
        <v>113132</v>
      </c>
      <c r="H32" s="16">
        <f t="shared" si="1"/>
        <v>11.57</v>
      </c>
      <c r="I32" s="15">
        <f t="shared" si="2"/>
        <v>2.4E-2</v>
      </c>
      <c r="J32" s="15">
        <f>ROUND(G32/113781.93-1,2)</f>
        <v>-0.01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227818</v>
      </c>
      <c r="F33" s="10"/>
      <c r="G33" s="10">
        <f t="shared" si="0"/>
        <v>227818</v>
      </c>
      <c r="H33" s="16">
        <f t="shared" si="1"/>
        <v>23.29</v>
      </c>
      <c r="I33" s="15">
        <f t="shared" si="2"/>
        <v>4.8000000000000001E-2</v>
      </c>
      <c r="J33" s="15">
        <f>ROUND(G33/272388.72-1,2)</f>
        <v>-0.16</v>
      </c>
    </row>
    <row r="34" spans="1:10" x14ac:dyDescent="0.25">
      <c r="A34" s="1" t="s">
        <v>16</v>
      </c>
      <c r="B34" s="1" t="s">
        <v>42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ROUND(G34/955.39-1,2)</f>
        <v>-1</v>
      </c>
    </row>
    <row r="35" spans="1:10" x14ac:dyDescent="0.25">
      <c r="A35" s="1" t="s">
        <v>16</v>
      </c>
      <c r="B35" s="1" t="s">
        <v>37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ROUND(G35/22896.78-1,2)</f>
        <v>-1</v>
      </c>
    </row>
    <row r="36" spans="1:10" x14ac:dyDescent="0.25">
      <c r="A36" s="1" t="s">
        <v>16</v>
      </c>
      <c r="B36" s="1" t="s">
        <v>43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ROUND(G36/48204-1,2)</f>
        <v>-1</v>
      </c>
    </row>
    <row r="37" spans="1:10" x14ac:dyDescent="0.25">
      <c r="A37" s="1" t="s">
        <v>16</v>
      </c>
      <c r="B37" s="1" t="s">
        <v>96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16</v>
      </c>
      <c r="B38" s="1" t="s">
        <v>120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/>
    </row>
    <row r="39" spans="1:10" x14ac:dyDescent="0.25">
      <c r="A39" s="1" t="s">
        <v>16</v>
      </c>
      <c r="B39" s="1" t="s">
        <v>129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ROUND(G39/163-1,2)</f>
        <v>-1</v>
      </c>
    </row>
    <row r="40" spans="1:10" x14ac:dyDescent="0.25">
      <c r="A40" s="1" t="s">
        <v>16</v>
      </c>
      <c r="B40" s="1" t="s">
        <v>116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1" t="s">
        <v>44</v>
      </c>
      <c r="B41" s="1" t="s">
        <v>45</v>
      </c>
      <c r="C41" s="10">
        <v>1204690</v>
      </c>
      <c r="D41" s="10"/>
      <c r="E41" s="10"/>
      <c r="F41" s="10">
        <v>4330</v>
      </c>
      <c r="G41" s="10">
        <f t="shared" si="0"/>
        <v>1209020</v>
      </c>
      <c r="H41" s="16">
        <f t="shared" si="1"/>
        <v>123.61</v>
      </c>
      <c r="I41" s="15">
        <f t="shared" si="2"/>
        <v>0.25600000000000001</v>
      </c>
      <c r="J41" s="15">
        <f>ROUND(G41/1130900-1,2)</f>
        <v>7.0000000000000007E-2</v>
      </c>
    </row>
    <row r="42" spans="1:10" x14ac:dyDescent="0.25">
      <c r="A42" s="1" t="s">
        <v>44</v>
      </c>
      <c r="B42" s="1" t="s">
        <v>47</v>
      </c>
      <c r="C42" s="10"/>
      <c r="D42" s="10"/>
      <c r="E42" s="10"/>
      <c r="F42" s="10">
        <v>141815</v>
      </c>
      <c r="G42" s="10">
        <f t="shared" si="0"/>
        <v>141815</v>
      </c>
      <c r="H42" s="16">
        <f t="shared" si="1"/>
        <v>14.5</v>
      </c>
      <c r="I42" s="15">
        <f t="shared" si="2"/>
        <v>0.03</v>
      </c>
      <c r="J42" s="15">
        <f>ROUND(G42/80375-1,2)</f>
        <v>0.76</v>
      </c>
    </row>
    <row r="43" spans="1:10" x14ac:dyDescent="0.25">
      <c r="A43" s="1" t="s">
        <v>44</v>
      </c>
      <c r="B43" s="1" t="s">
        <v>46</v>
      </c>
      <c r="C43" s="10"/>
      <c r="D43" s="10"/>
      <c r="E43" s="10">
        <v>246362</v>
      </c>
      <c r="F43" s="10"/>
      <c r="G43" s="10">
        <f t="shared" si="0"/>
        <v>246362</v>
      </c>
      <c r="H43" s="16">
        <f t="shared" si="1"/>
        <v>25.19</v>
      </c>
      <c r="I43" s="15">
        <f t="shared" si="2"/>
        <v>5.1999999999999998E-2</v>
      </c>
      <c r="J43" s="15">
        <f>ROUND(G43/293672.56-1,2)</f>
        <v>-0.16</v>
      </c>
    </row>
    <row r="44" spans="1:10" x14ac:dyDescent="0.25">
      <c r="A44" s="1" t="s">
        <v>48</v>
      </c>
      <c r="B44" s="1" t="s">
        <v>51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>
        <f>ROUND(G44/13-1,2)</f>
        <v>-1</v>
      </c>
    </row>
    <row r="45" spans="1:10" x14ac:dyDescent="0.25">
      <c r="A45" s="1" t="s">
        <v>48</v>
      </c>
      <c r="B45" s="1" t="s">
        <v>86</v>
      </c>
      <c r="C45" s="10"/>
      <c r="D45" s="10"/>
      <c r="E45" s="10"/>
      <c r="F45" s="10"/>
      <c r="G45" s="10">
        <f t="shared" si="0"/>
        <v>0</v>
      </c>
      <c r="H45" s="16">
        <f t="shared" si="1"/>
        <v>0</v>
      </c>
      <c r="I45" s="15">
        <f t="shared" si="2"/>
        <v>0</v>
      </c>
      <c r="J45" s="15">
        <f>ROUND(G45/300-1,2)</f>
        <v>-1</v>
      </c>
    </row>
    <row r="46" spans="1:10" x14ac:dyDescent="0.25">
      <c r="A46" s="1" t="s">
        <v>48</v>
      </c>
      <c r="B46" s="1" t="s">
        <v>50</v>
      </c>
      <c r="C46" s="10"/>
      <c r="D46" s="10"/>
      <c r="E46" s="10"/>
      <c r="F46" s="10"/>
      <c r="G46" s="10">
        <f t="shared" si="0"/>
        <v>0</v>
      </c>
      <c r="H46" s="16">
        <f t="shared" si="1"/>
        <v>0</v>
      </c>
      <c r="I46" s="15">
        <f t="shared" si="2"/>
        <v>0</v>
      </c>
      <c r="J46" s="15">
        <f>ROUND(G46/280-1,2)</f>
        <v>-1</v>
      </c>
    </row>
    <row r="47" spans="1:10" x14ac:dyDescent="0.25">
      <c r="A47" s="1" t="s">
        <v>48</v>
      </c>
      <c r="B47" s="1" t="s">
        <v>168</v>
      </c>
      <c r="C47" s="10"/>
      <c r="D47" s="10"/>
      <c r="E47" s="10"/>
      <c r="F47" s="10"/>
      <c r="G47" s="10">
        <f t="shared" si="0"/>
        <v>0</v>
      </c>
      <c r="H47" s="16">
        <f t="shared" si="1"/>
        <v>0</v>
      </c>
      <c r="I47" s="15">
        <f t="shared" si="2"/>
        <v>0</v>
      </c>
      <c r="J47" s="15"/>
    </row>
    <row r="48" spans="1:10" x14ac:dyDescent="0.25">
      <c r="A48" s="27" t="s">
        <v>12</v>
      </c>
      <c r="B48" s="27"/>
      <c r="C48" s="11">
        <f t="shared" ref="C48:H48" si="3">SUM(C8:C47)</f>
        <v>2994845</v>
      </c>
      <c r="D48" s="11">
        <f t="shared" si="3"/>
        <v>590</v>
      </c>
      <c r="E48" s="11">
        <f t="shared" si="3"/>
        <v>1566300</v>
      </c>
      <c r="F48" s="11">
        <f t="shared" si="3"/>
        <v>168107</v>
      </c>
      <c r="G48" s="11">
        <f t="shared" si="3"/>
        <v>4729842</v>
      </c>
      <c r="H48" s="14">
        <f t="shared" si="3"/>
        <v>483.59000000000003</v>
      </c>
      <c r="I48" s="17"/>
      <c r="J48" s="17"/>
    </row>
    <row r="49" spans="1:10" x14ac:dyDescent="0.25">
      <c r="A49" s="27" t="s">
        <v>14</v>
      </c>
      <c r="B49" s="27"/>
      <c r="C49" s="12">
        <f>ROUND(C48/G48,2)</f>
        <v>0.63</v>
      </c>
      <c r="D49" s="12">
        <f>ROUND(D48/G48,2)</f>
        <v>0</v>
      </c>
      <c r="E49" s="12">
        <f>ROUND(E48/G48,2)</f>
        <v>0.33</v>
      </c>
      <c r="F49" s="12">
        <f>ROUND(F48/G48,2)</f>
        <v>0.04</v>
      </c>
      <c r="G49" s="13"/>
      <c r="H49" s="13"/>
      <c r="I49" s="17"/>
      <c r="J49" s="17"/>
    </row>
    <row r="50" spans="1:10" x14ac:dyDescent="0.25">
      <c r="A50" s="2" t="s">
        <v>52</v>
      </c>
      <c r="B50" s="2"/>
      <c r="C50" s="13"/>
      <c r="D50" s="13"/>
      <c r="E50" s="13"/>
      <c r="F50" s="13"/>
      <c r="G50" s="13"/>
      <c r="H50" s="13"/>
      <c r="I50" s="17"/>
      <c r="J50" s="17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53</v>
      </c>
      <c r="B54" s="27"/>
      <c r="C54" s="11" t="s">
        <v>8</v>
      </c>
      <c r="D54" s="11" t="s">
        <v>9</v>
      </c>
      <c r="E54" s="11" t="s">
        <v>10</v>
      </c>
      <c r="F54" s="11" t="s">
        <v>11</v>
      </c>
      <c r="G54" s="11" t="s">
        <v>12</v>
      </c>
      <c r="H54" s="14" t="s">
        <v>13</v>
      </c>
      <c r="I54" s="17"/>
      <c r="J54" s="17"/>
    </row>
    <row r="55" spans="1:10" x14ac:dyDescent="0.25">
      <c r="A55" s="22" t="s">
        <v>54</v>
      </c>
      <c r="B55" s="22"/>
      <c r="C55" s="10">
        <v>1790155</v>
      </c>
      <c r="D55" s="10">
        <v>590</v>
      </c>
      <c r="E55" s="10">
        <v>1319938</v>
      </c>
      <c r="F55" s="10">
        <v>21962</v>
      </c>
      <c r="G55" s="10">
        <f>SUM(C55:F55)</f>
        <v>3132645</v>
      </c>
      <c r="H55" s="16">
        <f>ROUND(G55/9781,2)</f>
        <v>320.27999999999997</v>
      </c>
      <c r="I55" s="9"/>
      <c r="J55" s="9"/>
    </row>
    <row r="56" spans="1:10" x14ac:dyDescent="0.25">
      <c r="A56" s="22" t="s">
        <v>55</v>
      </c>
      <c r="B56" s="22"/>
      <c r="C56" s="10">
        <v>1204690</v>
      </c>
      <c r="D56" s="10">
        <v>0</v>
      </c>
      <c r="E56" s="10">
        <v>246362</v>
      </c>
      <c r="F56" s="10">
        <v>146145</v>
      </c>
      <c r="G56" s="10">
        <f>SUM(C56:F56)</f>
        <v>1597197</v>
      </c>
      <c r="H56" s="16">
        <f>ROUND(G56/9781,2)</f>
        <v>163.30000000000001</v>
      </c>
      <c r="I56" s="9"/>
      <c r="J56" s="9"/>
    </row>
    <row r="57" spans="1:10" x14ac:dyDescent="0.25">
      <c r="A57" s="22" t="s">
        <v>56</v>
      </c>
      <c r="B57" s="22"/>
      <c r="C57" s="10">
        <v>0</v>
      </c>
      <c r="D57" s="10">
        <v>0</v>
      </c>
      <c r="E57" s="10">
        <v>0</v>
      </c>
      <c r="F57" s="10">
        <v>0</v>
      </c>
      <c r="G57" s="10">
        <f>SUM(C57:F57)</f>
        <v>0</v>
      </c>
      <c r="H57" s="16">
        <f>ROUND(G57/9781,2)</f>
        <v>0</v>
      </c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57</v>
      </c>
      <c r="B62" s="27"/>
      <c r="C62" s="14" t="s">
        <v>2</v>
      </c>
      <c r="D62" s="14">
        <v>2023</v>
      </c>
      <c r="E62" s="14" t="s">
        <v>59</v>
      </c>
      <c r="F62" s="13"/>
      <c r="G62" s="14" t="s">
        <v>60</v>
      </c>
      <c r="H62" s="14" t="s">
        <v>2</v>
      </c>
      <c r="I62" s="12" t="s">
        <v>61</v>
      </c>
      <c r="J62" s="12" t="s">
        <v>59</v>
      </c>
    </row>
    <row r="63" spans="1:10" x14ac:dyDescent="0.25">
      <c r="A63" s="22" t="s">
        <v>58</v>
      </c>
      <c r="B63" s="22"/>
      <c r="C63" s="15">
        <f>ROUND(0.7166, 4)</f>
        <v>0.71660000000000001</v>
      </c>
      <c r="D63" s="15">
        <f>ROUND(0.7412, 4)</f>
        <v>0.74119999999999997</v>
      </c>
      <c r="E63" s="15">
        <f>ROUND(0.777, 4)</f>
        <v>0.77700000000000002</v>
      </c>
      <c r="F63" s="8"/>
      <c r="G63" s="14" t="s">
        <v>62</v>
      </c>
      <c r="H63" s="28" t="s">
        <v>63</v>
      </c>
      <c r="I63" s="25" t="s">
        <v>64</v>
      </c>
      <c r="J63" s="25" t="s">
        <v>65</v>
      </c>
    </row>
    <row r="64" spans="1:10" x14ac:dyDescent="0.25">
      <c r="A64" s="22" t="s">
        <v>66</v>
      </c>
      <c r="B64" s="22"/>
      <c r="C64" s="15">
        <f>ROUND(0.6848, 4)</f>
        <v>0.68479999999999996</v>
      </c>
      <c r="D64" s="15">
        <f>ROUND(0.7088, 4)</f>
        <v>0.70879999999999999</v>
      </c>
      <c r="E64" s="15">
        <f>ROUND(0.7608, 4)</f>
        <v>0.76080000000000003</v>
      </c>
      <c r="F64" s="8"/>
      <c r="G64" s="14" t="s">
        <v>67</v>
      </c>
      <c r="H64" s="29"/>
      <c r="I64" s="26"/>
      <c r="J64" s="26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7" t="s">
        <v>68</v>
      </c>
      <c r="B68" s="27"/>
      <c r="C68" s="14" t="s">
        <v>2</v>
      </c>
      <c r="D68" s="14" t="s">
        <v>330</v>
      </c>
      <c r="E68" s="14" t="s">
        <v>70</v>
      </c>
      <c r="F68" s="14" t="s">
        <v>71</v>
      </c>
      <c r="G68" s="14" t="s">
        <v>72</v>
      </c>
      <c r="H68" s="13"/>
      <c r="I68" s="17"/>
      <c r="J68" s="17"/>
    </row>
    <row r="69" spans="1:10" x14ac:dyDescent="0.25">
      <c r="A69" s="22" t="s">
        <v>73</v>
      </c>
      <c r="B69" s="22"/>
      <c r="C69" s="16">
        <v>123.61</v>
      </c>
      <c r="D69" s="16">
        <v>123.4</v>
      </c>
      <c r="E69" s="16">
        <v>92.53</v>
      </c>
      <c r="F69" s="16">
        <v>56.06</v>
      </c>
      <c r="G69" s="16">
        <f>12/11*C69</f>
        <v>134.84727272727272</v>
      </c>
      <c r="H69" s="8"/>
      <c r="I69" s="9"/>
      <c r="J69" s="9"/>
    </row>
    <row r="70" spans="1:10" x14ac:dyDescent="0.25">
      <c r="A70" s="22" t="s">
        <v>74</v>
      </c>
      <c r="B70" s="22"/>
      <c r="C70" s="16">
        <v>65.150000000000006</v>
      </c>
      <c r="D70" s="16">
        <v>74.790000000000006</v>
      </c>
      <c r="E70" s="16">
        <v>61.98</v>
      </c>
      <c r="F70" s="16">
        <v>64.09</v>
      </c>
      <c r="G70" s="16">
        <f>12/11*C70</f>
        <v>71.072727272727278</v>
      </c>
      <c r="H70" s="8"/>
      <c r="I70" s="9"/>
      <c r="J70" s="9"/>
    </row>
    <row r="71" spans="1:10" x14ac:dyDescent="0.25">
      <c r="A71" s="22" t="s">
        <v>75</v>
      </c>
      <c r="B71" s="22"/>
      <c r="C71" s="16">
        <v>320.27999999999997</v>
      </c>
      <c r="D71" s="16">
        <v>365.41</v>
      </c>
      <c r="E71" s="16">
        <v>291.51</v>
      </c>
      <c r="F71" s="16">
        <v>284.45</v>
      </c>
      <c r="G71" s="16">
        <f>12/11*C71</f>
        <v>349.39636363636356</v>
      </c>
      <c r="H71" s="8"/>
      <c r="I71" s="9"/>
      <c r="J71" s="9"/>
    </row>
    <row r="72" spans="1:10" x14ac:dyDescent="0.25">
      <c r="A72" s="22" t="s">
        <v>76</v>
      </c>
      <c r="B72" s="22"/>
      <c r="C72" s="16">
        <v>163.30000000000001</v>
      </c>
      <c r="D72" s="16">
        <v>157.53</v>
      </c>
      <c r="E72" s="16">
        <v>116.46</v>
      </c>
      <c r="F72" s="16">
        <v>79.959999999999994</v>
      </c>
      <c r="G72" s="16">
        <f>12/11*C72</f>
        <v>178.14545454545456</v>
      </c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A75" s="23" t="s">
        <v>60</v>
      </c>
      <c r="B75" s="24"/>
      <c r="C75" s="8"/>
      <c r="D75" s="8"/>
      <c r="E75" s="8"/>
      <c r="F75" s="8"/>
      <c r="G75" s="8"/>
      <c r="H75" s="8"/>
      <c r="I75" s="9"/>
      <c r="J75" s="9"/>
    </row>
    <row r="76" spans="1:10" x14ac:dyDescent="0.25">
      <c r="A76" s="3" t="s">
        <v>77</v>
      </c>
      <c r="B76" s="1" t="s">
        <v>331</v>
      </c>
      <c r="C76" s="8"/>
      <c r="D76" s="8"/>
      <c r="E76" s="8"/>
      <c r="F76" s="8"/>
      <c r="G76" s="8"/>
      <c r="H76" s="8"/>
      <c r="I76" s="9"/>
      <c r="J76" s="9"/>
    </row>
    <row r="77" spans="1:10" x14ac:dyDescent="0.25">
      <c r="A77" s="3" t="s">
        <v>70</v>
      </c>
      <c r="B77" s="1" t="s">
        <v>79</v>
      </c>
    </row>
    <row r="78" spans="1:10" x14ac:dyDescent="0.25">
      <c r="A78" s="3" t="s">
        <v>71</v>
      </c>
      <c r="B78" s="1" t="s">
        <v>80</v>
      </c>
    </row>
    <row r="79" spans="1:10" x14ac:dyDescent="0.25">
      <c r="A79" s="3" t="s">
        <v>72</v>
      </c>
      <c r="B79" s="1" t="s">
        <v>81</v>
      </c>
    </row>
  </sheetData>
  <mergeCells count="19">
    <mergeCell ref="C7:G7"/>
    <mergeCell ref="A48:B48"/>
    <mergeCell ref="A49:B49"/>
    <mergeCell ref="A54:B54"/>
    <mergeCell ref="A55:B55"/>
    <mergeCell ref="J63:J64"/>
    <mergeCell ref="A64:B64"/>
    <mergeCell ref="A68:B68"/>
    <mergeCell ref="A69:B69"/>
    <mergeCell ref="A56:B56"/>
    <mergeCell ref="A57:B57"/>
    <mergeCell ref="A62:B62"/>
    <mergeCell ref="A63:B63"/>
    <mergeCell ref="H63:H64"/>
    <mergeCell ref="A70:B70"/>
    <mergeCell ref="A71:B71"/>
    <mergeCell ref="A72:B72"/>
    <mergeCell ref="A75:B75"/>
    <mergeCell ref="I63:I6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2:J76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4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332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2084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70</v>
      </c>
      <c r="F9" s="10"/>
      <c r="G9" s="10">
        <f t="shared" ref="G9:G44" si="0">SUM(C9:F9)</f>
        <v>70</v>
      </c>
      <c r="H9" s="16">
        <f t="shared" ref="H9:H44" si="1">ROUND(G9/2084,2)</f>
        <v>0.03</v>
      </c>
      <c r="I9" s="15">
        <f t="shared" ref="I9:I44" si="2">ROUND(G9/$G$45,3)</f>
        <v>0</v>
      </c>
      <c r="J9" s="15">
        <f>ROUND(G9/50-1,2)</f>
        <v>0.4</v>
      </c>
    </row>
    <row r="10" spans="1:10" x14ac:dyDescent="0.25">
      <c r="A10" s="1" t="s">
        <v>16</v>
      </c>
      <c r="B10" s="1" t="s">
        <v>19</v>
      </c>
      <c r="C10" s="10">
        <v>63065</v>
      </c>
      <c r="D10" s="10"/>
      <c r="E10" s="10"/>
      <c r="F10" s="10"/>
      <c r="G10" s="10">
        <f t="shared" si="0"/>
        <v>63065</v>
      </c>
      <c r="H10" s="16">
        <f t="shared" si="1"/>
        <v>30.26</v>
      </c>
      <c r="I10" s="15">
        <f t="shared" si="2"/>
        <v>7.2999999999999995E-2</v>
      </c>
      <c r="J10" s="15">
        <f>ROUND(G10/63130-1,2)</f>
        <v>0</v>
      </c>
    </row>
    <row r="11" spans="1:10" x14ac:dyDescent="0.25">
      <c r="A11" s="1" t="s">
        <v>16</v>
      </c>
      <c r="B11" s="1" t="s">
        <v>20</v>
      </c>
      <c r="C11" s="10">
        <v>97610</v>
      </c>
      <c r="D11" s="10"/>
      <c r="E11" s="10"/>
      <c r="F11" s="10"/>
      <c r="G11" s="10">
        <f t="shared" si="0"/>
        <v>97610</v>
      </c>
      <c r="H11" s="16">
        <f t="shared" si="1"/>
        <v>46.84</v>
      </c>
      <c r="I11" s="15">
        <f t="shared" si="2"/>
        <v>0.114</v>
      </c>
      <c r="J11" s="15">
        <f>ROUND(G11/97615-1,2)</f>
        <v>0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167</v>
      </c>
      <c r="F12" s="10"/>
      <c r="G12" s="10">
        <f t="shared" si="0"/>
        <v>167</v>
      </c>
      <c r="H12" s="16">
        <f t="shared" si="1"/>
        <v>0.08</v>
      </c>
      <c r="I12" s="15">
        <f t="shared" si="2"/>
        <v>0</v>
      </c>
      <c r="J12" s="15">
        <f>ROUND(G12/142-1,2)</f>
        <v>0.18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208</v>
      </c>
      <c r="F13" s="10"/>
      <c r="G13" s="10">
        <f t="shared" si="0"/>
        <v>208</v>
      </c>
      <c r="H13" s="16">
        <f t="shared" si="1"/>
        <v>0.1</v>
      </c>
      <c r="I13" s="15">
        <f t="shared" si="2"/>
        <v>0</v>
      </c>
      <c r="J13" s="15">
        <f>ROUND(G13/175-1,2)</f>
        <v>0.19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2520</v>
      </c>
      <c r="F14" s="10"/>
      <c r="G14" s="10">
        <f t="shared" si="0"/>
        <v>2520</v>
      </c>
      <c r="H14" s="16">
        <f t="shared" si="1"/>
        <v>1.21</v>
      </c>
      <c r="I14" s="15">
        <f t="shared" si="2"/>
        <v>3.0000000000000001E-3</v>
      </c>
      <c r="J14" s="15">
        <f>ROUND(G14/1960-1,2)</f>
        <v>0.28999999999999998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91320</v>
      </c>
      <c r="F15" s="10"/>
      <c r="G15" s="10">
        <f t="shared" si="0"/>
        <v>91320</v>
      </c>
      <c r="H15" s="16">
        <f t="shared" si="1"/>
        <v>43.82</v>
      </c>
      <c r="I15" s="15">
        <f t="shared" si="2"/>
        <v>0.106</v>
      </c>
      <c r="J15" s="15">
        <f>ROUND(G15/103720-1,2)</f>
        <v>-0.12</v>
      </c>
    </row>
    <row r="16" spans="1:10" x14ac:dyDescent="0.25">
      <c r="A16" s="1" t="s">
        <v>16</v>
      </c>
      <c r="B16" s="1" t="s">
        <v>24</v>
      </c>
      <c r="C16" s="10">
        <v>78680</v>
      </c>
      <c r="D16" s="10"/>
      <c r="E16" s="10"/>
      <c r="F16" s="10"/>
      <c r="G16" s="10">
        <f t="shared" si="0"/>
        <v>78680</v>
      </c>
      <c r="H16" s="16">
        <f t="shared" si="1"/>
        <v>37.75</v>
      </c>
      <c r="I16" s="15">
        <f t="shared" si="2"/>
        <v>9.1999999999999998E-2</v>
      </c>
      <c r="J16" s="15">
        <f>ROUND(G16/82640-1,2)</f>
        <v>-0.05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2740</v>
      </c>
      <c r="F17" s="10"/>
      <c r="G17" s="10">
        <f t="shared" si="0"/>
        <v>2740</v>
      </c>
      <c r="H17" s="16">
        <f t="shared" si="1"/>
        <v>1.31</v>
      </c>
      <c r="I17" s="15">
        <f t="shared" si="2"/>
        <v>3.0000000000000001E-3</v>
      </c>
      <c r="J17" s="15">
        <f>ROUND(G17/4230-1,2)</f>
        <v>-0.35</v>
      </c>
    </row>
    <row r="18" spans="1:10" x14ac:dyDescent="0.25">
      <c r="A18" s="1" t="s">
        <v>16</v>
      </c>
      <c r="B18" s="1" t="s">
        <v>26</v>
      </c>
      <c r="C18" s="10">
        <v>113920</v>
      </c>
      <c r="D18" s="10"/>
      <c r="E18" s="10"/>
      <c r="F18" s="10">
        <v>1280</v>
      </c>
      <c r="G18" s="10">
        <f t="shared" si="0"/>
        <v>115200</v>
      </c>
      <c r="H18" s="16">
        <f t="shared" si="1"/>
        <v>55.28</v>
      </c>
      <c r="I18" s="15">
        <f t="shared" si="2"/>
        <v>0.13400000000000001</v>
      </c>
      <c r="J18" s="15">
        <f>ROUND(G18/109540-1,2)</f>
        <v>0.05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190</v>
      </c>
      <c r="F19" s="10"/>
      <c r="G19" s="10">
        <f t="shared" si="0"/>
        <v>190</v>
      </c>
      <c r="H19" s="16">
        <f t="shared" si="1"/>
        <v>0.09</v>
      </c>
      <c r="I19" s="15">
        <f t="shared" si="2"/>
        <v>0</v>
      </c>
      <c r="J19" s="15">
        <f>ROUND(G19/178-1,2)</f>
        <v>7.0000000000000007E-2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306</v>
      </c>
      <c r="F20" s="10"/>
      <c r="G20" s="10">
        <f t="shared" si="0"/>
        <v>306</v>
      </c>
      <c r="H20" s="16">
        <f t="shared" si="1"/>
        <v>0.15</v>
      </c>
      <c r="I20" s="15">
        <f t="shared" si="2"/>
        <v>0</v>
      </c>
      <c r="J20" s="15">
        <f>ROUND(G20/40-1,2)</f>
        <v>6.65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3480</v>
      </c>
      <c r="F21" s="10"/>
      <c r="G21" s="10">
        <f t="shared" si="0"/>
        <v>3480</v>
      </c>
      <c r="H21" s="16">
        <f t="shared" si="1"/>
        <v>1.67</v>
      </c>
      <c r="I21" s="15">
        <f t="shared" si="2"/>
        <v>4.0000000000000001E-3</v>
      </c>
      <c r="J21" s="15">
        <f>ROUND(G21/3010-1,2)</f>
        <v>0.16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410</v>
      </c>
      <c r="F22" s="10"/>
      <c r="G22" s="10">
        <f t="shared" si="0"/>
        <v>410</v>
      </c>
      <c r="H22" s="16">
        <f t="shared" si="1"/>
        <v>0.2</v>
      </c>
      <c r="I22" s="15">
        <f t="shared" si="2"/>
        <v>0</v>
      </c>
      <c r="J22" s="15">
        <f>ROUND(G22/690-1,2)</f>
        <v>-0.41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850</v>
      </c>
      <c r="F23" s="10"/>
      <c r="G23" s="10">
        <f t="shared" si="0"/>
        <v>850</v>
      </c>
      <c r="H23" s="16">
        <f t="shared" si="1"/>
        <v>0.41</v>
      </c>
      <c r="I23" s="15">
        <f t="shared" si="2"/>
        <v>1E-3</v>
      </c>
      <c r="J23" s="15">
        <f>ROUND(G23/780-1,2)</f>
        <v>0.09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2385</v>
      </c>
      <c r="F24" s="10"/>
      <c r="G24" s="10">
        <f t="shared" si="0"/>
        <v>2385</v>
      </c>
      <c r="H24" s="16">
        <f t="shared" si="1"/>
        <v>1.1399999999999999</v>
      </c>
      <c r="I24" s="15">
        <f t="shared" si="2"/>
        <v>3.0000000000000001E-3</v>
      </c>
      <c r="J24" s="15">
        <f>ROUND(G24/2420-1,2)</f>
        <v>-0.01</v>
      </c>
    </row>
    <row r="25" spans="1:10" x14ac:dyDescent="0.25">
      <c r="A25" s="1" t="s">
        <v>16</v>
      </c>
      <c r="B25" s="1" t="s">
        <v>33</v>
      </c>
      <c r="C25" s="10"/>
      <c r="D25" s="10">
        <v>256</v>
      </c>
      <c r="E25" s="10"/>
      <c r="F25" s="10"/>
      <c r="G25" s="10">
        <f t="shared" si="0"/>
        <v>256</v>
      </c>
      <c r="H25" s="16">
        <f t="shared" si="1"/>
        <v>0.12</v>
      </c>
      <c r="I25" s="15">
        <f t="shared" si="2"/>
        <v>0</v>
      </c>
      <c r="J25" s="15">
        <f>ROUND(G25/262-1,2)</f>
        <v>-0.02</v>
      </c>
    </row>
    <row r="26" spans="1:10" x14ac:dyDescent="0.25">
      <c r="A26" s="1" t="s">
        <v>16</v>
      </c>
      <c r="B26" s="1" t="s">
        <v>35</v>
      </c>
      <c r="C26" s="10"/>
      <c r="D26" s="10">
        <v>25</v>
      </c>
      <c r="E26" s="10"/>
      <c r="F26" s="10"/>
      <c r="G26" s="10">
        <f t="shared" si="0"/>
        <v>25</v>
      </c>
      <c r="H26" s="16">
        <f t="shared" si="1"/>
        <v>0.01</v>
      </c>
      <c r="I26" s="15">
        <f t="shared" si="2"/>
        <v>0</v>
      </c>
      <c r="J26" s="15">
        <f>ROUND(G26/290-1,2)</f>
        <v>-0.91</v>
      </c>
    </row>
    <row r="27" spans="1:10" x14ac:dyDescent="0.25">
      <c r="A27" s="1" t="s">
        <v>16</v>
      </c>
      <c r="B27" s="1" t="s">
        <v>36</v>
      </c>
      <c r="C27" s="10"/>
      <c r="D27" s="10"/>
      <c r="E27" s="10">
        <v>880</v>
      </c>
      <c r="F27" s="10"/>
      <c r="G27" s="10">
        <f t="shared" si="0"/>
        <v>880</v>
      </c>
      <c r="H27" s="16">
        <f t="shared" si="1"/>
        <v>0.42</v>
      </c>
      <c r="I27" s="15">
        <f t="shared" si="2"/>
        <v>1E-3</v>
      </c>
      <c r="J27" s="15">
        <f>ROUND(G27/3400-1,2)</f>
        <v>-0.74</v>
      </c>
    </row>
    <row r="28" spans="1:10" x14ac:dyDescent="0.25">
      <c r="A28" s="1" t="s">
        <v>16</v>
      </c>
      <c r="B28" s="1" t="s">
        <v>43</v>
      </c>
      <c r="C28" s="10"/>
      <c r="D28" s="10"/>
      <c r="E28" s="10">
        <v>2220</v>
      </c>
      <c r="F28" s="10"/>
      <c r="G28" s="10">
        <f t="shared" si="0"/>
        <v>2220</v>
      </c>
      <c r="H28" s="16">
        <f t="shared" si="1"/>
        <v>1.07</v>
      </c>
      <c r="I28" s="15">
        <f t="shared" si="2"/>
        <v>3.0000000000000001E-3</v>
      </c>
      <c r="J28" s="15">
        <f>ROUND(G28/5018-1,2)</f>
        <v>-0.56000000000000005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1540</v>
      </c>
      <c r="F29" s="10"/>
      <c r="G29" s="10">
        <f t="shared" si="0"/>
        <v>1540</v>
      </c>
      <c r="H29" s="16">
        <f t="shared" si="1"/>
        <v>0.74</v>
      </c>
      <c r="I29" s="15">
        <f t="shared" si="2"/>
        <v>2E-3</v>
      </c>
      <c r="J29" s="15">
        <f>ROUND(G29/2300-1,2)</f>
        <v>-0.33</v>
      </c>
    </row>
    <row r="30" spans="1:10" x14ac:dyDescent="0.25">
      <c r="A30" s="1" t="s">
        <v>16</v>
      </c>
      <c r="B30" s="1" t="s">
        <v>38</v>
      </c>
      <c r="C30" s="10"/>
      <c r="D30" s="10"/>
      <c r="E30" s="10">
        <v>64695</v>
      </c>
      <c r="F30" s="10"/>
      <c r="G30" s="10">
        <f t="shared" si="0"/>
        <v>64695</v>
      </c>
      <c r="H30" s="16">
        <f t="shared" si="1"/>
        <v>31.04</v>
      </c>
      <c r="I30" s="15">
        <f t="shared" si="2"/>
        <v>7.4999999999999997E-2</v>
      </c>
      <c r="J30" s="15">
        <f>ROUND(G30/61130-1,2)</f>
        <v>0.06</v>
      </c>
    </row>
    <row r="31" spans="1:10" x14ac:dyDescent="0.25">
      <c r="A31" s="1" t="s">
        <v>16</v>
      </c>
      <c r="B31" s="1" t="s">
        <v>39</v>
      </c>
      <c r="C31" s="10"/>
      <c r="D31" s="10"/>
      <c r="E31" s="10">
        <v>4890</v>
      </c>
      <c r="F31" s="10"/>
      <c r="G31" s="10">
        <f t="shared" si="0"/>
        <v>4890</v>
      </c>
      <c r="H31" s="16">
        <f t="shared" si="1"/>
        <v>2.35</v>
      </c>
      <c r="I31" s="15">
        <f t="shared" si="2"/>
        <v>6.0000000000000001E-3</v>
      </c>
      <c r="J31" s="15">
        <f>ROUND(G31/8280-1,2)</f>
        <v>-0.41</v>
      </c>
    </row>
    <row r="32" spans="1:10" x14ac:dyDescent="0.25">
      <c r="A32" s="1" t="s">
        <v>16</v>
      </c>
      <c r="B32" s="1" t="s">
        <v>40</v>
      </c>
      <c r="C32" s="10"/>
      <c r="D32" s="10"/>
      <c r="E32" s="10">
        <v>16220</v>
      </c>
      <c r="F32" s="10"/>
      <c r="G32" s="10">
        <f t="shared" si="0"/>
        <v>16220</v>
      </c>
      <c r="H32" s="16">
        <f t="shared" si="1"/>
        <v>7.78</v>
      </c>
      <c r="I32" s="15">
        <f t="shared" si="2"/>
        <v>1.9E-2</v>
      </c>
      <c r="J32" s="15">
        <f>ROUND(G32/15840-1,2)</f>
        <v>0.02</v>
      </c>
    </row>
    <row r="33" spans="1:10" x14ac:dyDescent="0.25">
      <c r="A33" s="1" t="s">
        <v>16</v>
      </c>
      <c r="B33" s="1" t="s">
        <v>41</v>
      </c>
      <c r="C33" s="10"/>
      <c r="D33" s="10"/>
      <c r="E33" s="10">
        <v>45230</v>
      </c>
      <c r="F33" s="10"/>
      <c r="G33" s="10">
        <f t="shared" si="0"/>
        <v>45230</v>
      </c>
      <c r="H33" s="16">
        <f t="shared" si="1"/>
        <v>21.7</v>
      </c>
      <c r="I33" s="15">
        <f t="shared" si="2"/>
        <v>5.2999999999999999E-2</v>
      </c>
      <c r="J33" s="15">
        <f>ROUND(G33/42040-1,2)</f>
        <v>0.08</v>
      </c>
    </row>
    <row r="34" spans="1:10" x14ac:dyDescent="0.25">
      <c r="A34" s="1" t="s">
        <v>16</v>
      </c>
      <c r="B34" s="1" t="s">
        <v>34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ROUND(G34/850-1,2)</f>
        <v>-1</v>
      </c>
    </row>
    <row r="35" spans="1:10" x14ac:dyDescent="0.25">
      <c r="A35" s="1" t="s">
        <v>16</v>
      </c>
      <c r="B35" s="1" t="s">
        <v>227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16</v>
      </c>
      <c r="B36" s="1" t="s">
        <v>42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ROUND(G36/69-1,2)</f>
        <v>-1</v>
      </c>
    </row>
    <row r="37" spans="1:10" x14ac:dyDescent="0.25">
      <c r="A37" s="1" t="s">
        <v>16</v>
      </c>
      <c r="B37" s="1" t="s">
        <v>98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ROUND(G37/926-1,2)</f>
        <v>-1</v>
      </c>
    </row>
    <row r="38" spans="1:10" x14ac:dyDescent="0.25">
      <c r="A38" s="1" t="s">
        <v>44</v>
      </c>
      <c r="B38" s="1" t="s">
        <v>45</v>
      </c>
      <c r="C38" s="10">
        <v>228550</v>
      </c>
      <c r="D38" s="10"/>
      <c r="E38" s="10">
        <v>340</v>
      </c>
      <c r="F38" s="10"/>
      <c r="G38" s="10">
        <f t="shared" si="0"/>
        <v>228890</v>
      </c>
      <c r="H38" s="16">
        <f t="shared" si="1"/>
        <v>109.83</v>
      </c>
      <c r="I38" s="15">
        <f t="shared" si="2"/>
        <v>0.26600000000000001</v>
      </c>
      <c r="J38" s="15">
        <f>ROUND(G38/215345-1,2)</f>
        <v>0.06</v>
      </c>
    </row>
    <row r="39" spans="1:10" x14ac:dyDescent="0.25">
      <c r="A39" s="1" t="s">
        <v>44</v>
      </c>
      <c r="B39" s="1" t="s">
        <v>46</v>
      </c>
      <c r="C39" s="10"/>
      <c r="D39" s="10"/>
      <c r="E39" s="10">
        <v>35780</v>
      </c>
      <c r="F39" s="10"/>
      <c r="G39" s="10">
        <f t="shared" si="0"/>
        <v>35780</v>
      </c>
      <c r="H39" s="16">
        <f t="shared" si="1"/>
        <v>17.170000000000002</v>
      </c>
      <c r="I39" s="15">
        <f t="shared" si="2"/>
        <v>4.2000000000000003E-2</v>
      </c>
      <c r="J39" s="15">
        <f>ROUND(G39/28120-1,2)</f>
        <v>0.27</v>
      </c>
    </row>
    <row r="40" spans="1:10" x14ac:dyDescent="0.25">
      <c r="A40" s="1" t="s">
        <v>44</v>
      </c>
      <c r="B40" s="1" t="s">
        <v>47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ROUND(G40/19990-1,2)</f>
        <v>-1</v>
      </c>
    </row>
    <row r="41" spans="1:10" x14ac:dyDescent="0.25">
      <c r="A41" s="1" t="s">
        <v>48</v>
      </c>
      <c r="B41" s="1" t="s">
        <v>49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>
        <f>ROUND(G41/28-1,2)</f>
        <v>-1</v>
      </c>
    </row>
    <row r="42" spans="1:10" x14ac:dyDescent="0.25">
      <c r="A42" s="1" t="s">
        <v>48</v>
      </c>
      <c r="B42" s="1" t="s">
        <v>51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/>
    </row>
    <row r="43" spans="1:10" x14ac:dyDescent="0.25">
      <c r="A43" s="1" t="s">
        <v>48</v>
      </c>
      <c r="B43" s="1" t="s">
        <v>50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>
        <f>ROUND(G43/1010-1,2)</f>
        <v>-1</v>
      </c>
    </row>
    <row r="44" spans="1:10" x14ac:dyDescent="0.25">
      <c r="A44" s="1" t="s">
        <v>48</v>
      </c>
      <c r="B44" s="1" t="s">
        <v>86</v>
      </c>
      <c r="C44" s="10"/>
      <c r="D44" s="10"/>
      <c r="E44" s="10"/>
      <c r="F44" s="10"/>
      <c r="G44" s="10">
        <f t="shared" si="0"/>
        <v>0</v>
      </c>
      <c r="H44" s="16">
        <f t="shared" si="1"/>
        <v>0</v>
      </c>
      <c r="I44" s="15">
        <f t="shared" si="2"/>
        <v>0</v>
      </c>
      <c r="J44" s="15"/>
    </row>
    <row r="45" spans="1:10" x14ac:dyDescent="0.25">
      <c r="A45" s="27" t="s">
        <v>12</v>
      </c>
      <c r="B45" s="27"/>
      <c r="C45" s="11">
        <f t="shared" ref="C45:H45" si="3">SUM(C8:C44)</f>
        <v>581825</v>
      </c>
      <c r="D45" s="11">
        <f t="shared" si="3"/>
        <v>281</v>
      </c>
      <c r="E45" s="11">
        <f t="shared" si="3"/>
        <v>276441</v>
      </c>
      <c r="F45" s="11">
        <f t="shared" si="3"/>
        <v>1280</v>
      </c>
      <c r="G45" s="11">
        <f t="shared" si="3"/>
        <v>859827</v>
      </c>
      <c r="H45" s="14">
        <f t="shared" si="3"/>
        <v>412.56999999999994</v>
      </c>
      <c r="I45" s="17"/>
      <c r="J45" s="17"/>
    </row>
    <row r="46" spans="1:10" x14ac:dyDescent="0.25">
      <c r="A46" s="27" t="s">
        <v>14</v>
      </c>
      <c r="B46" s="27"/>
      <c r="C46" s="12">
        <f>ROUND(C45/G45,2)</f>
        <v>0.68</v>
      </c>
      <c r="D46" s="12">
        <f>ROUND(D45/G45,2)</f>
        <v>0</v>
      </c>
      <c r="E46" s="12">
        <f>ROUND(E45/G45,2)</f>
        <v>0.32</v>
      </c>
      <c r="F46" s="12">
        <f>ROUND(F45/G45,2)</f>
        <v>0</v>
      </c>
      <c r="G46" s="13"/>
      <c r="H46" s="13"/>
      <c r="I46" s="17"/>
      <c r="J46" s="17"/>
    </row>
    <row r="47" spans="1:10" x14ac:dyDescent="0.25">
      <c r="A47" s="2" t="s">
        <v>52</v>
      </c>
      <c r="B47" s="2"/>
      <c r="C47" s="13"/>
      <c r="D47" s="13"/>
      <c r="E47" s="13"/>
      <c r="F47" s="13"/>
      <c r="G47" s="13"/>
      <c r="H47" s="13"/>
      <c r="I47" s="17"/>
      <c r="J47" s="17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27" t="s">
        <v>53</v>
      </c>
      <c r="B51" s="27"/>
      <c r="C51" s="5" t="s">
        <v>8</v>
      </c>
      <c r="D51" s="5" t="s">
        <v>9</v>
      </c>
      <c r="E51" s="5" t="s">
        <v>10</v>
      </c>
      <c r="F51" s="5" t="s">
        <v>11</v>
      </c>
      <c r="G51" s="5" t="s">
        <v>12</v>
      </c>
      <c r="H51" s="3" t="s">
        <v>13</v>
      </c>
      <c r="I51" s="2"/>
      <c r="J51" s="2"/>
    </row>
    <row r="52" spans="1:10" x14ac:dyDescent="0.25">
      <c r="A52" s="22" t="s">
        <v>54</v>
      </c>
      <c r="B52" s="22"/>
      <c r="C52" s="4">
        <v>353275</v>
      </c>
      <c r="D52" s="4">
        <v>281</v>
      </c>
      <c r="E52" s="4">
        <v>240321</v>
      </c>
      <c r="F52" s="4">
        <v>1280</v>
      </c>
      <c r="G52" s="4">
        <f>SUM(C52:F52)</f>
        <v>595157</v>
      </c>
      <c r="H52" s="1">
        <f>ROUND(G52/2084,2)</f>
        <v>285.58</v>
      </c>
    </row>
    <row r="53" spans="1:10" x14ac:dyDescent="0.25">
      <c r="A53" s="22" t="s">
        <v>55</v>
      </c>
      <c r="B53" s="22"/>
      <c r="C53" s="4">
        <v>228550</v>
      </c>
      <c r="D53" s="4">
        <v>0</v>
      </c>
      <c r="E53" s="4">
        <v>36120</v>
      </c>
      <c r="F53" s="4">
        <v>0</v>
      </c>
      <c r="G53" s="4">
        <f>SUM(C53:F53)</f>
        <v>264670</v>
      </c>
      <c r="H53" s="1">
        <f>ROUND(G53/2084,2)</f>
        <v>127</v>
      </c>
    </row>
    <row r="54" spans="1:10" x14ac:dyDescent="0.25">
      <c r="A54" s="22" t="s">
        <v>56</v>
      </c>
      <c r="B54" s="22"/>
      <c r="C54" s="4">
        <v>0</v>
      </c>
      <c r="D54" s="4">
        <v>0</v>
      </c>
      <c r="E54" s="4">
        <v>0</v>
      </c>
      <c r="F54" s="4">
        <v>0</v>
      </c>
      <c r="G54" s="4">
        <f>SUM(C54:F54)</f>
        <v>0</v>
      </c>
      <c r="H54" s="1">
        <f>ROUND(G54/2084,2)</f>
        <v>0</v>
      </c>
    </row>
    <row r="59" spans="1:10" x14ac:dyDescent="0.25">
      <c r="A59" s="27" t="s">
        <v>57</v>
      </c>
      <c r="B59" s="27"/>
      <c r="C59" s="3" t="s">
        <v>2</v>
      </c>
      <c r="D59" s="3">
        <v>2023</v>
      </c>
      <c r="E59" s="3" t="s">
        <v>59</v>
      </c>
      <c r="F59" s="2"/>
      <c r="G59" s="3" t="s">
        <v>60</v>
      </c>
      <c r="H59" s="3" t="s">
        <v>2</v>
      </c>
      <c r="I59" s="3" t="s">
        <v>61</v>
      </c>
      <c r="J59" s="3" t="s">
        <v>59</v>
      </c>
    </row>
    <row r="60" spans="1:10" x14ac:dyDescent="0.25">
      <c r="A60" s="22" t="s">
        <v>58</v>
      </c>
      <c r="B60" s="22"/>
      <c r="C60" s="7">
        <f>ROUND(0.6983, 4)</f>
        <v>0.69830000000000003</v>
      </c>
      <c r="D60" s="7">
        <f>ROUND(0.712, 4)</f>
        <v>0.71199999999999997</v>
      </c>
      <c r="E60" s="7">
        <f>ROUND(0.777, 4)</f>
        <v>0.77700000000000002</v>
      </c>
      <c r="G60" s="3" t="s">
        <v>62</v>
      </c>
      <c r="H60" s="32" t="s">
        <v>63</v>
      </c>
      <c r="I60" s="32" t="s">
        <v>64</v>
      </c>
      <c r="J60" s="32" t="s">
        <v>65</v>
      </c>
    </row>
    <row r="61" spans="1:10" x14ac:dyDescent="0.25">
      <c r="A61" s="22" t="s">
        <v>66</v>
      </c>
      <c r="B61" s="22"/>
      <c r="C61" s="7">
        <f>ROUND(0.6877, 4)</f>
        <v>0.68769999999999998</v>
      </c>
      <c r="D61" s="7">
        <f>ROUND(0.7016, 4)</f>
        <v>0.7016</v>
      </c>
      <c r="E61" s="7">
        <f>ROUND(0.7608, 4)</f>
        <v>0.76080000000000003</v>
      </c>
      <c r="G61" s="3" t="s">
        <v>67</v>
      </c>
      <c r="H61" s="22"/>
      <c r="I61" s="22"/>
      <c r="J61" s="22"/>
    </row>
    <row r="65" spans="1:10" x14ac:dyDescent="0.25">
      <c r="A65" s="27" t="s">
        <v>68</v>
      </c>
      <c r="B65" s="27"/>
      <c r="C65" s="3" t="s">
        <v>2</v>
      </c>
      <c r="D65" s="3" t="s">
        <v>333</v>
      </c>
      <c r="E65" s="3" t="s">
        <v>70</v>
      </c>
      <c r="F65" s="3" t="s">
        <v>71</v>
      </c>
      <c r="G65" s="3" t="s">
        <v>72</v>
      </c>
      <c r="H65" s="2"/>
      <c r="I65" s="2"/>
      <c r="J65" s="2"/>
    </row>
    <row r="66" spans="1:10" x14ac:dyDescent="0.25">
      <c r="A66" s="22" t="s">
        <v>73</v>
      </c>
      <c r="B66" s="22"/>
      <c r="C66" s="1">
        <v>109.83</v>
      </c>
      <c r="D66" s="1">
        <v>106.63</v>
      </c>
      <c r="E66" s="1">
        <v>92.53</v>
      </c>
      <c r="F66" s="1">
        <v>56.06</v>
      </c>
      <c r="G66" s="1">
        <f>12/11*C66</f>
        <v>119.81454545454544</v>
      </c>
    </row>
    <row r="67" spans="1:10" x14ac:dyDescent="0.25">
      <c r="A67" s="22" t="s">
        <v>74</v>
      </c>
      <c r="B67" s="22"/>
      <c r="C67" s="1">
        <v>55.28</v>
      </c>
      <c r="D67" s="1">
        <v>60.12</v>
      </c>
      <c r="E67" s="1">
        <v>61.98</v>
      </c>
      <c r="F67" s="1">
        <v>64.09</v>
      </c>
      <c r="G67" s="1">
        <f>12/11*C67</f>
        <v>60.305454545454545</v>
      </c>
    </row>
    <row r="68" spans="1:10" x14ac:dyDescent="0.25">
      <c r="A68" s="22" t="s">
        <v>75</v>
      </c>
      <c r="B68" s="22"/>
      <c r="C68" s="1">
        <v>285.58</v>
      </c>
      <c r="D68" s="1">
        <v>292.33</v>
      </c>
      <c r="E68" s="1">
        <v>291.51</v>
      </c>
      <c r="F68" s="1">
        <v>284.45</v>
      </c>
      <c r="G68" s="1">
        <f>12/11*C68</f>
        <v>311.54181818181814</v>
      </c>
    </row>
    <row r="69" spans="1:10" x14ac:dyDescent="0.25">
      <c r="A69" s="22" t="s">
        <v>76</v>
      </c>
      <c r="B69" s="22"/>
      <c r="C69" s="1">
        <v>127</v>
      </c>
      <c r="D69" s="1">
        <v>121.65</v>
      </c>
      <c r="E69" s="1">
        <v>116.46</v>
      </c>
      <c r="F69" s="1">
        <v>79.959999999999994</v>
      </c>
      <c r="G69" s="1">
        <f>12/11*C69</f>
        <v>138.54545454545453</v>
      </c>
    </row>
    <row r="72" spans="1:10" x14ac:dyDescent="0.25">
      <c r="A72" s="23" t="s">
        <v>60</v>
      </c>
      <c r="B72" s="24"/>
    </row>
    <row r="73" spans="1:10" x14ac:dyDescent="0.25">
      <c r="A73" s="3" t="s">
        <v>77</v>
      </c>
      <c r="B73" s="1" t="s">
        <v>334</v>
      </c>
    </row>
    <row r="74" spans="1:10" x14ac:dyDescent="0.25">
      <c r="A74" s="3" t="s">
        <v>70</v>
      </c>
      <c r="B74" s="1" t="s">
        <v>79</v>
      </c>
    </row>
    <row r="75" spans="1:10" x14ac:dyDescent="0.25">
      <c r="A75" s="3" t="s">
        <v>71</v>
      </c>
      <c r="B75" s="1" t="s">
        <v>80</v>
      </c>
    </row>
    <row r="76" spans="1:10" x14ac:dyDescent="0.25">
      <c r="A76" s="3" t="s">
        <v>72</v>
      </c>
      <c r="B76" s="1" t="s">
        <v>81</v>
      </c>
    </row>
  </sheetData>
  <mergeCells count="19">
    <mergeCell ref="C7:G7"/>
    <mergeCell ref="A45:B45"/>
    <mergeCell ref="A46:B46"/>
    <mergeCell ref="A51:B51"/>
    <mergeCell ref="A52:B52"/>
    <mergeCell ref="J60:J61"/>
    <mergeCell ref="A61:B61"/>
    <mergeCell ref="A65:B65"/>
    <mergeCell ref="A66:B66"/>
    <mergeCell ref="A53:B53"/>
    <mergeCell ref="A54:B54"/>
    <mergeCell ref="A59:B59"/>
    <mergeCell ref="A60:B60"/>
    <mergeCell ref="H60:H61"/>
    <mergeCell ref="A67:B67"/>
    <mergeCell ref="A68:B68"/>
    <mergeCell ref="A69:B69"/>
    <mergeCell ref="A72:B72"/>
    <mergeCell ref="I60:I6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2:J68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9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335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1715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>
        <v>41390</v>
      </c>
      <c r="D9" s="10"/>
      <c r="E9" s="10"/>
      <c r="F9" s="10"/>
      <c r="G9" s="10">
        <f t="shared" ref="G9:G18" si="0">SUM(C9:F9)</f>
        <v>41390</v>
      </c>
      <c r="H9" s="16">
        <f t="shared" ref="H9:H18" si="1">ROUND(G9/1715,2)</f>
        <v>24.13</v>
      </c>
      <c r="I9" s="15">
        <f t="shared" ref="I9:I18" si="2">ROUND(G9/$G$19,3)</f>
        <v>0.108</v>
      </c>
      <c r="J9" s="15">
        <f>ROUND(G9/39370-1,2)</f>
        <v>0.05</v>
      </c>
    </row>
    <row r="10" spans="1:10" x14ac:dyDescent="0.25">
      <c r="A10" s="1" t="s">
        <v>16</v>
      </c>
      <c r="B10" s="1" t="s">
        <v>20</v>
      </c>
      <c r="C10" s="10">
        <v>55160</v>
      </c>
      <c r="D10" s="10"/>
      <c r="E10" s="10"/>
      <c r="F10" s="10"/>
      <c r="G10" s="10">
        <f t="shared" si="0"/>
        <v>55160</v>
      </c>
      <c r="H10" s="16">
        <f t="shared" si="1"/>
        <v>32.159999999999997</v>
      </c>
      <c r="I10" s="15">
        <f t="shared" si="2"/>
        <v>0.14399999999999999</v>
      </c>
      <c r="J10" s="15">
        <f>ROUND(G10/54230-1,2)</f>
        <v>0.02</v>
      </c>
    </row>
    <row r="11" spans="1:10" x14ac:dyDescent="0.25">
      <c r="A11" s="1" t="s">
        <v>16</v>
      </c>
      <c r="B11" s="1" t="s">
        <v>24</v>
      </c>
      <c r="C11" s="10">
        <v>47960</v>
      </c>
      <c r="D11" s="10"/>
      <c r="E11" s="10"/>
      <c r="F11" s="10"/>
      <c r="G11" s="10">
        <f t="shared" si="0"/>
        <v>47960</v>
      </c>
      <c r="H11" s="16">
        <f t="shared" si="1"/>
        <v>27.97</v>
      </c>
      <c r="I11" s="15">
        <f t="shared" si="2"/>
        <v>0.126</v>
      </c>
      <c r="J11" s="15">
        <f>ROUND(G11/49220-1,2)</f>
        <v>-0.03</v>
      </c>
    </row>
    <row r="12" spans="1:10" x14ac:dyDescent="0.25">
      <c r="A12" s="1" t="s">
        <v>16</v>
      </c>
      <c r="B12" s="1" t="s">
        <v>26</v>
      </c>
      <c r="C12" s="10">
        <v>100060</v>
      </c>
      <c r="D12" s="10"/>
      <c r="E12" s="10"/>
      <c r="F12" s="10"/>
      <c r="G12" s="10">
        <f t="shared" si="0"/>
        <v>100060</v>
      </c>
      <c r="H12" s="16">
        <f t="shared" si="1"/>
        <v>58.34</v>
      </c>
      <c r="I12" s="15">
        <f t="shared" si="2"/>
        <v>0.26200000000000001</v>
      </c>
      <c r="J12" s="15">
        <f>ROUND(G12/112840-1,2)</f>
        <v>-0.11</v>
      </c>
    </row>
    <row r="13" spans="1:10" x14ac:dyDescent="0.25">
      <c r="A13" s="1" t="s">
        <v>16</v>
      </c>
      <c r="B13" s="1" t="s">
        <v>33</v>
      </c>
      <c r="C13" s="10"/>
      <c r="D13" s="10">
        <v>167</v>
      </c>
      <c r="E13" s="10">
        <v>21</v>
      </c>
      <c r="F13" s="10"/>
      <c r="G13" s="10">
        <f t="shared" si="0"/>
        <v>188</v>
      </c>
      <c r="H13" s="16">
        <f t="shared" si="1"/>
        <v>0.11</v>
      </c>
      <c r="I13" s="15">
        <f t="shared" si="2"/>
        <v>0</v>
      </c>
      <c r="J13" s="15">
        <f>ROUND(G13/192-1,2)</f>
        <v>-0.02</v>
      </c>
    </row>
    <row r="14" spans="1:10" x14ac:dyDescent="0.25">
      <c r="A14" s="1" t="s">
        <v>16</v>
      </c>
      <c r="B14" s="1" t="s">
        <v>35</v>
      </c>
      <c r="C14" s="10"/>
      <c r="D14" s="10">
        <v>50</v>
      </c>
      <c r="E14" s="10"/>
      <c r="F14" s="10"/>
      <c r="G14" s="10">
        <f t="shared" si="0"/>
        <v>50</v>
      </c>
      <c r="H14" s="16">
        <f t="shared" si="1"/>
        <v>0.03</v>
      </c>
      <c r="I14" s="15">
        <f t="shared" si="2"/>
        <v>0</v>
      </c>
      <c r="J14" s="15">
        <f>ROUND(G14/305-1,2)</f>
        <v>-0.84</v>
      </c>
    </row>
    <row r="15" spans="1:10" x14ac:dyDescent="0.25">
      <c r="A15" s="1" t="s">
        <v>16</v>
      </c>
      <c r="B15" s="1" t="s">
        <v>23</v>
      </c>
      <c r="C15" s="10"/>
      <c r="D15" s="10"/>
      <c r="E15" s="10"/>
      <c r="F15" s="10"/>
      <c r="G15" s="10">
        <f t="shared" si="0"/>
        <v>0</v>
      </c>
      <c r="H15" s="16">
        <f t="shared" si="1"/>
        <v>0</v>
      </c>
      <c r="I15" s="15">
        <f t="shared" si="2"/>
        <v>0</v>
      </c>
      <c r="J15" s="15"/>
    </row>
    <row r="16" spans="1:10" x14ac:dyDescent="0.25">
      <c r="A16" s="1" t="s">
        <v>44</v>
      </c>
      <c r="B16" s="1" t="s">
        <v>45</v>
      </c>
      <c r="C16" s="10">
        <v>122960</v>
      </c>
      <c r="D16" s="10"/>
      <c r="E16" s="10"/>
      <c r="F16" s="10"/>
      <c r="G16" s="10">
        <f t="shared" si="0"/>
        <v>122960</v>
      </c>
      <c r="H16" s="16">
        <f t="shared" si="1"/>
        <v>71.7</v>
      </c>
      <c r="I16" s="15">
        <f t="shared" si="2"/>
        <v>0.32200000000000001</v>
      </c>
      <c r="J16" s="15">
        <f>ROUND(G16/120470-1,2)</f>
        <v>0.02</v>
      </c>
    </row>
    <row r="17" spans="1:10" x14ac:dyDescent="0.25">
      <c r="A17" s="1" t="s">
        <v>44</v>
      </c>
      <c r="B17" s="1" t="s">
        <v>47</v>
      </c>
      <c r="C17" s="10"/>
      <c r="D17" s="10"/>
      <c r="E17" s="10"/>
      <c r="F17" s="10">
        <v>14020</v>
      </c>
      <c r="G17" s="10">
        <f t="shared" si="0"/>
        <v>14020</v>
      </c>
      <c r="H17" s="16">
        <f t="shared" si="1"/>
        <v>8.17</v>
      </c>
      <c r="I17" s="15">
        <f t="shared" si="2"/>
        <v>3.6999999999999998E-2</v>
      </c>
      <c r="J17" s="15">
        <f>ROUND(G17/14940-1,2)</f>
        <v>-0.06</v>
      </c>
    </row>
    <row r="18" spans="1:10" x14ac:dyDescent="0.25">
      <c r="A18" s="1" t="s">
        <v>48</v>
      </c>
      <c r="B18" s="1" t="s">
        <v>51</v>
      </c>
      <c r="C18" s="10"/>
      <c r="D18" s="10"/>
      <c r="E18" s="10"/>
      <c r="F18" s="10"/>
      <c r="G18" s="10">
        <f t="shared" si="0"/>
        <v>0</v>
      </c>
      <c r="H18" s="16">
        <f t="shared" si="1"/>
        <v>0</v>
      </c>
      <c r="I18" s="15">
        <f t="shared" si="2"/>
        <v>0</v>
      </c>
      <c r="J18" s="15"/>
    </row>
    <row r="19" spans="1:10" x14ac:dyDescent="0.25">
      <c r="A19" s="27" t="s">
        <v>12</v>
      </c>
      <c r="B19" s="27"/>
      <c r="C19" s="11">
        <f t="shared" ref="C19:H19" si="3">SUM(C8:C18)</f>
        <v>367530</v>
      </c>
      <c r="D19" s="11">
        <f t="shared" si="3"/>
        <v>217</v>
      </c>
      <c r="E19" s="11">
        <f t="shared" si="3"/>
        <v>21</v>
      </c>
      <c r="F19" s="11">
        <f t="shared" si="3"/>
        <v>14020</v>
      </c>
      <c r="G19" s="11">
        <f t="shared" si="3"/>
        <v>381788</v>
      </c>
      <c r="H19" s="14">
        <f t="shared" si="3"/>
        <v>222.60999999999999</v>
      </c>
      <c r="I19" s="17"/>
      <c r="J19" s="17"/>
    </row>
    <row r="20" spans="1:10" x14ac:dyDescent="0.25">
      <c r="A20" s="27" t="s">
        <v>14</v>
      </c>
      <c r="B20" s="27"/>
      <c r="C20" s="12">
        <f>ROUND(C19/G19,2)</f>
        <v>0.96</v>
      </c>
      <c r="D20" s="12">
        <f>ROUND(D19/G19,2)</f>
        <v>0</v>
      </c>
      <c r="E20" s="12">
        <f>ROUND(E19/G19,2)</f>
        <v>0</v>
      </c>
      <c r="F20" s="12">
        <f>ROUND(F19/G19,2)</f>
        <v>0.04</v>
      </c>
      <c r="G20" s="13"/>
      <c r="H20" s="13"/>
      <c r="I20" s="17"/>
      <c r="J20" s="17"/>
    </row>
    <row r="21" spans="1:10" x14ac:dyDescent="0.25">
      <c r="A21" s="2" t="s">
        <v>52</v>
      </c>
      <c r="B21" s="2"/>
      <c r="C21" s="13"/>
      <c r="D21" s="13"/>
      <c r="E21" s="13"/>
      <c r="F21" s="13"/>
      <c r="G21" s="13"/>
      <c r="H21" s="13"/>
      <c r="I21" s="17"/>
      <c r="J21" s="17"/>
    </row>
    <row r="22" spans="1:10" x14ac:dyDescent="0.25">
      <c r="C22" s="8"/>
      <c r="D22" s="8"/>
      <c r="E22" s="8"/>
      <c r="F22" s="8"/>
      <c r="G22" s="8"/>
      <c r="H22" s="8"/>
      <c r="I22" s="9"/>
      <c r="J22" s="9"/>
    </row>
    <row r="23" spans="1:10" x14ac:dyDescent="0.25">
      <c r="C23" s="8"/>
      <c r="D23" s="8"/>
      <c r="E23" s="8"/>
      <c r="F23" s="8"/>
      <c r="G23" s="8"/>
      <c r="H23" s="8"/>
      <c r="I23" s="9"/>
      <c r="J23" s="9"/>
    </row>
    <row r="24" spans="1:10" x14ac:dyDescent="0.25">
      <c r="C24" s="8"/>
      <c r="D24" s="8"/>
      <c r="E24" s="8"/>
      <c r="F24" s="8"/>
      <c r="G24" s="8"/>
      <c r="H24" s="8"/>
      <c r="I24" s="9"/>
      <c r="J24" s="9"/>
    </row>
    <row r="25" spans="1:10" x14ac:dyDescent="0.25">
      <c r="A25" s="27" t="s">
        <v>53</v>
      </c>
      <c r="B25" s="27"/>
      <c r="C25" s="11" t="s">
        <v>8</v>
      </c>
      <c r="D25" s="11" t="s">
        <v>9</v>
      </c>
      <c r="E25" s="11" t="s">
        <v>10</v>
      </c>
      <c r="F25" s="11" t="s">
        <v>11</v>
      </c>
      <c r="G25" s="11" t="s">
        <v>12</v>
      </c>
      <c r="H25" s="14" t="s">
        <v>13</v>
      </c>
      <c r="I25" s="17"/>
      <c r="J25" s="17"/>
    </row>
    <row r="26" spans="1:10" x14ac:dyDescent="0.25">
      <c r="A26" s="22" t="s">
        <v>54</v>
      </c>
      <c r="B26" s="22"/>
      <c r="C26" s="10">
        <v>244570</v>
      </c>
      <c r="D26" s="10">
        <v>217</v>
      </c>
      <c r="E26" s="10">
        <v>21</v>
      </c>
      <c r="F26" s="10">
        <v>0</v>
      </c>
      <c r="G26" s="10">
        <f>SUM(C26:F26)</f>
        <v>244808</v>
      </c>
      <c r="H26" s="16">
        <f>ROUND(G26/1715,2)</f>
        <v>142.75</v>
      </c>
      <c r="I26" s="9"/>
      <c r="J26" s="9"/>
    </row>
    <row r="27" spans="1:10" x14ac:dyDescent="0.25">
      <c r="A27" s="22" t="s">
        <v>55</v>
      </c>
      <c r="B27" s="22"/>
      <c r="C27" s="10">
        <v>122960</v>
      </c>
      <c r="D27" s="10">
        <v>0</v>
      </c>
      <c r="E27" s="10">
        <v>0</v>
      </c>
      <c r="F27" s="10">
        <v>14020</v>
      </c>
      <c r="G27" s="10">
        <f>SUM(C27:F27)</f>
        <v>136980</v>
      </c>
      <c r="H27" s="16">
        <f>ROUND(G27/1715,2)</f>
        <v>79.87</v>
      </c>
      <c r="I27" s="9"/>
      <c r="J27" s="9"/>
    </row>
    <row r="28" spans="1:10" x14ac:dyDescent="0.25">
      <c r="A28" s="22" t="s">
        <v>56</v>
      </c>
      <c r="B28" s="22"/>
      <c r="C28" s="10">
        <v>0</v>
      </c>
      <c r="D28" s="10">
        <v>0</v>
      </c>
      <c r="E28" s="10">
        <v>0</v>
      </c>
      <c r="F28" s="10">
        <v>0</v>
      </c>
      <c r="G28" s="10">
        <f>SUM(C28:F28)</f>
        <v>0</v>
      </c>
      <c r="H28" s="16">
        <f>ROUND(G28/1715,2)</f>
        <v>0</v>
      </c>
      <c r="I28" s="9"/>
      <c r="J28" s="9"/>
    </row>
    <row r="29" spans="1:10" x14ac:dyDescent="0.25">
      <c r="C29" s="8"/>
      <c r="D29" s="8"/>
      <c r="E29" s="8"/>
      <c r="F29" s="8"/>
      <c r="G29" s="8"/>
      <c r="H29" s="8"/>
      <c r="I29" s="9"/>
      <c r="J29" s="9"/>
    </row>
    <row r="30" spans="1:10" x14ac:dyDescent="0.25">
      <c r="C30" s="8"/>
      <c r="D30" s="8"/>
      <c r="E30" s="8"/>
      <c r="F30" s="8"/>
      <c r="G30" s="8"/>
      <c r="H30" s="8"/>
      <c r="I30" s="9"/>
      <c r="J30" s="9"/>
    </row>
    <row r="31" spans="1:10" x14ac:dyDescent="0.25">
      <c r="C31" s="8"/>
      <c r="D31" s="8"/>
      <c r="E31" s="8"/>
      <c r="F31" s="8"/>
      <c r="G31" s="8"/>
      <c r="H31" s="8"/>
      <c r="I31" s="9"/>
      <c r="J31" s="9"/>
    </row>
    <row r="32" spans="1:10" x14ac:dyDescent="0.25">
      <c r="C32" s="8"/>
      <c r="D32" s="8"/>
      <c r="E32" s="8"/>
      <c r="F32" s="8"/>
      <c r="G32" s="8"/>
      <c r="H32" s="8"/>
      <c r="I32" s="9"/>
      <c r="J32" s="9"/>
    </row>
    <row r="33" spans="1:10" x14ac:dyDescent="0.25">
      <c r="A33" s="27" t="s">
        <v>57</v>
      </c>
      <c r="B33" s="27"/>
      <c r="C33" s="14" t="s">
        <v>2</v>
      </c>
      <c r="D33" s="14">
        <v>2023</v>
      </c>
      <c r="E33" s="14" t="s">
        <v>59</v>
      </c>
      <c r="F33" s="13"/>
      <c r="G33" s="14" t="s">
        <v>60</v>
      </c>
      <c r="H33" s="14" t="s">
        <v>2</v>
      </c>
      <c r="I33" s="12" t="s">
        <v>61</v>
      </c>
      <c r="J33" s="12" t="s">
        <v>59</v>
      </c>
    </row>
    <row r="34" spans="1:10" x14ac:dyDescent="0.25">
      <c r="A34" s="22" t="s">
        <v>58</v>
      </c>
      <c r="B34" s="22"/>
      <c r="C34" s="15">
        <f>ROUND(0.6727, 4)</f>
        <v>0.67269999999999996</v>
      </c>
      <c r="D34" s="15">
        <f>ROUND(0.6864, 4)</f>
        <v>0.68640000000000001</v>
      </c>
      <c r="E34" s="15">
        <f>ROUND(0.777, 4)</f>
        <v>0.77700000000000002</v>
      </c>
      <c r="F34" s="8"/>
      <c r="G34" s="14" t="s">
        <v>62</v>
      </c>
      <c r="H34" s="28" t="s">
        <v>63</v>
      </c>
      <c r="I34" s="25" t="s">
        <v>64</v>
      </c>
      <c r="J34" s="25" t="s">
        <v>65</v>
      </c>
    </row>
    <row r="35" spans="1:10" x14ac:dyDescent="0.25">
      <c r="A35" s="22" t="s">
        <v>66</v>
      </c>
      <c r="B35" s="22"/>
      <c r="C35" s="15">
        <f>ROUND(0.6588, 4)</f>
        <v>0.65880000000000005</v>
      </c>
      <c r="D35" s="15">
        <f>ROUND(0.673, 4)</f>
        <v>0.67300000000000004</v>
      </c>
      <c r="E35" s="15">
        <f>ROUND(0.7608, 4)</f>
        <v>0.76080000000000003</v>
      </c>
      <c r="F35" s="8"/>
      <c r="G35" s="14" t="s">
        <v>67</v>
      </c>
      <c r="H35" s="29"/>
      <c r="I35" s="26"/>
      <c r="J35" s="26"/>
    </row>
    <row r="36" spans="1:10" x14ac:dyDescent="0.25">
      <c r="C36" s="8"/>
      <c r="D36" s="8"/>
      <c r="E36" s="8"/>
      <c r="F36" s="8"/>
      <c r="G36" s="8"/>
      <c r="H36" s="8"/>
      <c r="I36" s="9"/>
      <c r="J36" s="9"/>
    </row>
    <row r="37" spans="1:10" x14ac:dyDescent="0.25">
      <c r="C37" s="8"/>
      <c r="D37" s="8"/>
      <c r="E37" s="8"/>
      <c r="F37" s="8"/>
      <c r="G37" s="8"/>
      <c r="H37" s="8"/>
      <c r="I37" s="9"/>
      <c r="J37" s="9"/>
    </row>
    <row r="38" spans="1:10" x14ac:dyDescent="0.25">
      <c r="C38" s="8"/>
      <c r="D38" s="8"/>
      <c r="E38" s="8"/>
      <c r="F38" s="8"/>
      <c r="G38" s="8"/>
      <c r="H38" s="8"/>
      <c r="I38" s="9"/>
      <c r="J38" s="9"/>
    </row>
    <row r="39" spans="1:10" x14ac:dyDescent="0.25">
      <c r="A39" s="27" t="s">
        <v>68</v>
      </c>
      <c r="B39" s="27"/>
      <c r="C39" s="14" t="s">
        <v>2</v>
      </c>
      <c r="D39" s="14" t="s">
        <v>336</v>
      </c>
      <c r="E39" s="14" t="s">
        <v>70</v>
      </c>
      <c r="F39" s="14" t="s">
        <v>71</v>
      </c>
      <c r="G39" s="14" t="s">
        <v>72</v>
      </c>
      <c r="H39" s="13"/>
      <c r="I39" s="17"/>
      <c r="J39" s="17"/>
    </row>
    <row r="40" spans="1:10" x14ac:dyDescent="0.25">
      <c r="A40" s="22" t="s">
        <v>73</v>
      </c>
      <c r="B40" s="22"/>
      <c r="C40" s="16">
        <v>71.7</v>
      </c>
      <c r="D40" s="16">
        <v>72.58</v>
      </c>
      <c r="E40" s="16">
        <v>92.53</v>
      </c>
      <c r="F40" s="16">
        <v>56.06</v>
      </c>
      <c r="G40" s="16">
        <f>12/11*C40</f>
        <v>78.218181818181819</v>
      </c>
      <c r="H40" s="8"/>
      <c r="I40" s="9"/>
      <c r="J40" s="9"/>
    </row>
    <row r="41" spans="1:10" x14ac:dyDescent="0.25">
      <c r="A41" s="22" t="s">
        <v>74</v>
      </c>
      <c r="B41" s="22"/>
      <c r="C41" s="16">
        <v>58.34</v>
      </c>
      <c r="D41" s="16">
        <v>72.55</v>
      </c>
      <c r="E41" s="16">
        <v>61.98</v>
      </c>
      <c r="F41" s="16">
        <v>64.09</v>
      </c>
      <c r="G41" s="16">
        <f>12/11*C41</f>
        <v>63.643636363636361</v>
      </c>
      <c r="H41" s="8"/>
      <c r="I41" s="9"/>
      <c r="J41" s="9"/>
    </row>
    <row r="42" spans="1:10" x14ac:dyDescent="0.25">
      <c r="A42" s="22" t="s">
        <v>75</v>
      </c>
      <c r="B42" s="22"/>
      <c r="C42" s="16">
        <v>142.75</v>
      </c>
      <c r="D42" s="16">
        <v>170.43</v>
      </c>
      <c r="E42" s="16">
        <v>291.51</v>
      </c>
      <c r="F42" s="16">
        <v>284.45</v>
      </c>
      <c r="G42" s="16">
        <f>12/11*C42</f>
        <v>155.72727272727272</v>
      </c>
      <c r="H42" s="8"/>
      <c r="I42" s="9"/>
      <c r="J42" s="9"/>
    </row>
    <row r="43" spans="1:10" x14ac:dyDescent="0.25">
      <c r="A43" s="22" t="s">
        <v>76</v>
      </c>
      <c r="B43" s="22"/>
      <c r="C43" s="16">
        <v>79.87</v>
      </c>
      <c r="D43" s="16">
        <v>81.87</v>
      </c>
      <c r="E43" s="16">
        <v>116.46</v>
      </c>
      <c r="F43" s="16">
        <v>79.959999999999994</v>
      </c>
      <c r="G43" s="16">
        <f>12/11*C43</f>
        <v>87.130909090909086</v>
      </c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3" t="s">
        <v>60</v>
      </c>
      <c r="B46" s="24"/>
      <c r="C46" s="8"/>
      <c r="D46" s="8"/>
      <c r="E46" s="8"/>
      <c r="F46" s="8"/>
      <c r="G46" s="8"/>
      <c r="H46" s="8"/>
      <c r="I46" s="9"/>
      <c r="J46" s="9"/>
    </row>
    <row r="47" spans="1:10" x14ac:dyDescent="0.25">
      <c r="A47" s="3" t="s">
        <v>77</v>
      </c>
      <c r="B47" s="1" t="s">
        <v>337</v>
      </c>
      <c r="C47" s="8"/>
      <c r="D47" s="8"/>
      <c r="E47" s="8"/>
      <c r="F47" s="8"/>
      <c r="G47" s="8"/>
      <c r="H47" s="8"/>
      <c r="I47" s="9"/>
      <c r="J47" s="9"/>
    </row>
    <row r="48" spans="1:10" x14ac:dyDescent="0.25">
      <c r="A48" s="3" t="s">
        <v>70</v>
      </c>
      <c r="B48" s="1" t="s">
        <v>79</v>
      </c>
      <c r="C48" s="8"/>
      <c r="D48" s="8"/>
      <c r="E48" s="8"/>
      <c r="F48" s="8"/>
      <c r="G48" s="8"/>
      <c r="H48" s="8"/>
      <c r="I48" s="9"/>
      <c r="J48" s="9"/>
    </row>
    <row r="49" spans="1:10" x14ac:dyDescent="0.25">
      <c r="A49" s="3" t="s">
        <v>71</v>
      </c>
      <c r="B49" s="1" t="s">
        <v>80</v>
      </c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3" t="s">
        <v>72</v>
      </c>
      <c r="B50" s="1" t="s">
        <v>81</v>
      </c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3:10" x14ac:dyDescent="0.25">
      <c r="C65" s="8"/>
      <c r="D65" s="8"/>
      <c r="E65" s="8"/>
      <c r="F65" s="8"/>
      <c r="G65" s="8"/>
      <c r="H65" s="8"/>
      <c r="I65" s="9"/>
      <c r="J65" s="9"/>
    </row>
    <row r="66" spans="3:10" x14ac:dyDescent="0.25">
      <c r="C66" s="8"/>
      <c r="D66" s="8"/>
      <c r="E66" s="8"/>
      <c r="F66" s="8"/>
      <c r="G66" s="8"/>
      <c r="H66" s="8"/>
      <c r="I66" s="9"/>
      <c r="J66" s="9"/>
    </row>
    <row r="67" spans="3:10" x14ac:dyDescent="0.25">
      <c r="C67" s="8"/>
      <c r="D67" s="8"/>
      <c r="E67" s="8"/>
      <c r="F67" s="8"/>
      <c r="G67" s="8"/>
      <c r="H67" s="8"/>
      <c r="I67" s="9"/>
      <c r="J67" s="9"/>
    </row>
    <row r="68" spans="3:10" x14ac:dyDescent="0.25">
      <c r="C68" s="8"/>
      <c r="D68" s="8"/>
      <c r="E68" s="8"/>
      <c r="F68" s="8"/>
      <c r="G68" s="8"/>
      <c r="H68" s="8"/>
      <c r="I68" s="9"/>
      <c r="J68" s="9"/>
    </row>
  </sheetData>
  <mergeCells count="19">
    <mergeCell ref="C7:G7"/>
    <mergeCell ref="A19:B19"/>
    <mergeCell ref="A20:B20"/>
    <mergeCell ref="A25:B25"/>
    <mergeCell ref="A26:B26"/>
    <mergeCell ref="J34:J35"/>
    <mergeCell ref="A35:B35"/>
    <mergeCell ref="A39:B39"/>
    <mergeCell ref="A40:B40"/>
    <mergeCell ref="A27:B27"/>
    <mergeCell ref="A28:B28"/>
    <mergeCell ref="A33:B33"/>
    <mergeCell ref="A34:B34"/>
    <mergeCell ref="H34:H35"/>
    <mergeCell ref="A41:B41"/>
    <mergeCell ref="A42:B42"/>
    <mergeCell ref="A43:B43"/>
    <mergeCell ref="A46:B46"/>
    <mergeCell ref="I34:I3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31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338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679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19</v>
      </c>
      <c r="C9" s="10">
        <v>16740</v>
      </c>
      <c r="D9" s="10"/>
      <c r="E9" s="10"/>
      <c r="F9" s="10"/>
      <c r="G9" s="10">
        <f t="shared" ref="G9:G36" si="0">SUM(C9:F9)</f>
        <v>16740</v>
      </c>
      <c r="H9" s="16">
        <f t="shared" ref="H9:H36" si="1">ROUND(G9/679,2)</f>
        <v>24.65</v>
      </c>
      <c r="I9" s="15">
        <f t="shared" ref="I9:I36" si="2">ROUND(G9/$G$37,3)</f>
        <v>6.8000000000000005E-2</v>
      </c>
      <c r="J9" s="15">
        <f>ROUND(G9/15140-1,2)</f>
        <v>0.11</v>
      </c>
    </row>
    <row r="10" spans="1:10" x14ac:dyDescent="0.25">
      <c r="A10" s="1" t="s">
        <v>16</v>
      </c>
      <c r="B10" s="1" t="s">
        <v>20</v>
      </c>
      <c r="C10" s="10">
        <v>34570</v>
      </c>
      <c r="D10" s="10"/>
      <c r="E10" s="10">
        <v>1240</v>
      </c>
      <c r="F10" s="10"/>
      <c r="G10" s="10">
        <f t="shared" si="0"/>
        <v>35810</v>
      </c>
      <c r="H10" s="16">
        <f t="shared" si="1"/>
        <v>52.74</v>
      </c>
      <c r="I10" s="15">
        <f t="shared" si="2"/>
        <v>0.14499999999999999</v>
      </c>
      <c r="J10" s="15">
        <f>ROUND(G10/35970-1,2)</f>
        <v>0</v>
      </c>
    </row>
    <row r="11" spans="1:10" x14ac:dyDescent="0.25">
      <c r="A11" s="1" t="s">
        <v>16</v>
      </c>
      <c r="B11" s="1" t="s">
        <v>21</v>
      </c>
      <c r="C11" s="10"/>
      <c r="D11" s="10"/>
      <c r="E11" s="10">
        <v>120</v>
      </c>
      <c r="F11" s="10"/>
      <c r="G11" s="10">
        <f t="shared" si="0"/>
        <v>120</v>
      </c>
      <c r="H11" s="16">
        <f t="shared" si="1"/>
        <v>0.18</v>
      </c>
      <c r="I11" s="15">
        <f t="shared" si="2"/>
        <v>0</v>
      </c>
      <c r="J11" s="15">
        <f>ROUND(G11/200-1,2)</f>
        <v>-0.4</v>
      </c>
    </row>
    <row r="12" spans="1:10" x14ac:dyDescent="0.25">
      <c r="A12" s="1" t="s">
        <v>16</v>
      </c>
      <c r="B12" s="1" t="s">
        <v>23</v>
      </c>
      <c r="C12" s="10"/>
      <c r="D12" s="10"/>
      <c r="E12" s="10">
        <v>35690</v>
      </c>
      <c r="F12" s="10"/>
      <c r="G12" s="10">
        <f t="shared" si="0"/>
        <v>35690</v>
      </c>
      <c r="H12" s="16">
        <f t="shared" si="1"/>
        <v>52.56</v>
      </c>
      <c r="I12" s="15">
        <f t="shared" si="2"/>
        <v>0.14499999999999999</v>
      </c>
      <c r="J12" s="15">
        <f>ROUND(G12/34120-1,2)</f>
        <v>0.05</v>
      </c>
    </row>
    <row r="13" spans="1:10" x14ac:dyDescent="0.25">
      <c r="A13" s="1" t="s">
        <v>16</v>
      </c>
      <c r="B13" s="1" t="s">
        <v>24</v>
      </c>
      <c r="C13" s="10">
        <v>18200</v>
      </c>
      <c r="D13" s="10"/>
      <c r="E13" s="10"/>
      <c r="F13" s="10"/>
      <c r="G13" s="10">
        <f t="shared" si="0"/>
        <v>18200</v>
      </c>
      <c r="H13" s="16">
        <f t="shared" si="1"/>
        <v>26.8</v>
      </c>
      <c r="I13" s="15">
        <f t="shared" si="2"/>
        <v>7.3999999999999996E-2</v>
      </c>
      <c r="J13" s="15">
        <f>ROUND(G13/19650-1,2)</f>
        <v>-7.0000000000000007E-2</v>
      </c>
    </row>
    <row r="14" spans="1:10" x14ac:dyDescent="0.25">
      <c r="A14" s="1" t="s">
        <v>16</v>
      </c>
      <c r="B14" s="1" t="s">
        <v>25</v>
      </c>
      <c r="C14" s="10"/>
      <c r="D14" s="10"/>
      <c r="E14" s="10">
        <v>680</v>
      </c>
      <c r="F14" s="10"/>
      <c r="G14" s="10">
        <f t="shared" si="0"/>
        <v>680</v>
      </c>
      <c r="H14" s="16">
        <f t="shared" si="1"/>
        <v>1</v>
      </c>
      <c r="I14" s="15">
        <f t="shared" si="2"/>
        <v>3.0000000000000001E-3</v>
      </c>
      <c r="J14" s="15">
        <f>ROUND(G14/1180-1,2)</f>
        <v>-0.42</v>
      </c>
    </row>
    <row r="15" spans="1:10" x14ac:dyDescent="0.25">
      <c r="A15" s="1" t="s">
        <v>16</v>
      </c>
      <c r="B15" s="1" t="s">
        <v>26</v>
      </c>
      <c r="C15" s="10">
        <v>19320</v>
      </c>
      <c r="D15" s="10"/>
      <c r="E15" s="10"/>
      <c r="F15" s="10"/>
      <c r="G15" s="10">
        <f t="shared" si="0"/>
        <v>19320</v>
      </c>
      <c r="H15" s="16">
        <f t="shared" si="1"/>
        <v>28.45</v>
      </c>
      <c r="I15" s="15">
        <f t="shared" si="2"/>
        <v>7.8E-2</v>
      </c>
      <c r="J15" s="15">
        <f>ROUND(G15/27840-1,2)</f>
        <v>-0.31</v>
      </c>
    </row>
    <row r="16" spans="1:10" x14ac:dyDescent="0.25">
      <c r="A16" s="1" t="s">
        <v>16</v>
      </c>
      <c r="B16" s="1" t="s">
        <v>27</v>
      </c>
      <c r="C16" s="10"/>
      <c r="D16" s="10"/>
      <c r="E16" s="10">
        <v>522</v>
      </c>
      <c r="F16" s="10"/>
      <c r="G16" s="10">
        <f t="shared" si="0"/>
        <v>522</v>
      </c>
      <c r="H16" s="16">
        <f t="shared" si="1"/>
        <v>0.77</v>
      </c>
      <c r="I16" s="15">
        <f t="shared" si="2"/>
        <v>2E-3</v>
      </c>
      <c r="J16" s="15">
        <f>ROUND(G16/456-1,2)</f>
        <v>0.14000000000000001</v>
      </c>
    </row>
    <row r="17" spans="1:10" x14ac:dyDescent="0.25">
      <c r="A17" s="1" t="s">
        <v>16</v>
      </c>
      <c r="B17" s="1" t="s">
        <v>28</v>
      </c>
      <c r="C17" s="10"/>
      <c r="D17" s="10"/>
      <c r="E17" s="10">
        <v>258</v>
      </c>
      <c r="F17" s="10"/>
      <c r="G17" s="10">
        <f t="shared" si="0"/>
        <v>258</v>
      </c>
      <c r="H17" s="16">
        <f t="shared" si="1"/>
        <v>0.38</v>
      </c>
      <c r="I17" s="15">
        <f t="shared" si="2"/>
        <v>1E-3</v>
      </c>
      <c r="J17" s="15">
        <f>ROUND(G17/315-1,2)</f>
        <v>-0.18</v>
      </c>
    </row>
    <row r="18" spans="1:10" x14ac:dyDescent="0.25">
      <c r="A18" s="1" t="s">
        <v>16</v>
      </c>
      <c r="B18" s="1" t="s">
        <v>29</v>
      </c>
      <c r="C18" s="10"/>
      <c r="D18" s="10"/>
      <c r="E18" s="10">
        <v>590</v>
      </c>
      <c r="F18" s="10"/>
      <c r="G18" s="10">
        <f t="shared" si="0"/>
        <v>590</v>
      </c>
      <c r="H18" s="16">
        <f t="shared" si="1"/>
        <v>0.87</v>
      </c>
      <c r="I18" s="15">
        <f t="shared" si="2"/>
        <v>2E-3</v>
      </c>
      <c r="J18" s="15">
        <f>ROUND(G18/410-1,2)</f>
        <v>0.44</v>
      </c>
    </row>
    <row r="19" spans="1:10" x14ac:dyDescent="0.25">
      <c r="A19" s="1" t="s">
        <v>16</v>
      </c>
      <c r="B19" s="1" t="s">
        <v>32</v>
      </c>
      <c r="C19" s="10"/>
      <c r="D19" s="10"/>
      <c r="E19" s="10">
        <v>940</v>
      </c>
      <c r="F19" s="10"/>
      <c r="G19" s="10">
        <f t="shared" si="0"/>
        <v>940</v>
      </c>
      <c r="H19" s="16">
        <f t="shared" si="1"/>
        <v>1.38</v>
      </c>
      <c r="I19" s="15">
        <f t="shared" si="2"/>
        <v>4.0000000000000001E-3</v>
      </c>
      <c r="J19" s="15">
        <f>ROUND(G19/1765-1,2)</f>
        <v>-0.47</v>
      </c>
    </row>
    <row r="20" spans="1:10" x14ac:dyDescent="0.25">
      <c r="A20" s="1" t="s">
        <v>16</v>
      </c>
      <c r="B20" s="1" t="s">
        <v>33</v>
      </c>
      <c r="C20" s="10"/>
      <c r="D20" s="10"/>
      <c r="E20" s="10">
        <v>57</v>
      </c>
      <c r="F20" s="10"/>
      <c r="G20" s="10">
        <f t="shared" si="0"/>
        <v>57</v>
      </c>
      <c r="H20" s="16">
        <f t="shared" si="1"/>
        <v>0.08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43</v>
      </c>
      <c r="C21" s="10"/>
      <c r="D21" s="10"/>
      <c r="E21" s="10">
        <v>660</v>
      </c>
      <c r="F21" s="10"/>
      <c r="G21" s="10">
        <f t="shared" si="0"/>
        <v>660</v>
      </c>
      <c r="H21" s="16">
        <f t="shared" si="1"/>
        <v>0.97</v>
      </c>
      <c r="I21" s="15">
        <f t="shared" si="2"/>
        <v>3.0000000000000001E-3</v>
      </c>
      <c r="J21" s="15">
        <f>ROUND(G21/2570-1,2)</f>
        <v>-0.74</v>
      </c>
    </row>
    <row r="22" spans="1:10" x14ac:dyDescent="0.25">
      <c r="A22" s="1" t="s">
        <v>16</v>
      </c>
      <c r="B22" s="1" t="s">
        <v>37</v>
      </c>
      <c r="C22" s="10"/>
      <c r="D22" s="10"/>
      <c r="E22" s="10">
        <v>782</v>
      </c>
      <c r="F22" s="10"/>
      <c r="G22" s="10">
        <f t="shared" si="0"/>
        <v>782</v>
      </c>
      <c r="H22" s="16">
        <f t="shared" si="1"/>
        <v>1.1499999999999999</v>
      </c>
      <c r="I22" s="15">
        <f t="shared" si="2"/>
        <v>3.0000000000000001E-3</v>
      </c>
      <c r="J22" s="15">
        <f>ROUND(G22/968-1,2)</f>
        <v>-0.19</v>
      </c>
    </row>
    <row r="23" spans="1:10" x14ac:dyDescent="0.25">
      <c r="A23" s="1" t="s">
        <v>16</v>
      </c>
      <c r="B23" s="1" t="s">
        <v>38</v>
      </c>
      <c r="C23" s="10"/>
      <c r="D23" s="10"/>
      <c r="E23" s="10">
        <v>22135</v>
      </c>
      <c r="F23" s="10"/>
      <c r="G23" s="10">
        <f t="shared" si="0"/>
        <v>22135</v>
      </c>
      <c r="H23" s="16">
        <f t="shared" si="1"/>
        <v>32.6</v>
      </c>
      <c r="I23" s="15">
        <f t="shared" si="2"/>
        <v>0.09</v>
      </c>
      <c r="J23" s="15">
        <f>ROUND(G23/20965-1,2)</f>
        <v>0.06</v>
      </c>
    </row>
    <row r="24" spans="1:10" x14ac:dyDescent="0.25">
      <c r="A24" s="1" t="s">
        <v>16</v>
      </c>
      <c r="B24" s="1" t="s">
        <v>40</v>
      </c>
      <c r="C24" s="10"/>
      <c r="D24" s="10"/>
      <c r="E24" s="10">
        <v>14020</v>
      </c>
      <c r="F24" s="10"/>
      <c r="G24" s="10">
        <f t="shared" si="0"/>
        <v>14020</v>
      </c>
      <c r="H24" s="16">
        <f t="shared" si="1"/>
        <v>20.65</v>
      </c>
      <c r="I24" s="15">
        <f t="shared" si="2"/>
        <v>5.7000000000000002E-2</v>
      </c>
      <c r="J24" s="15">
        <f>ROUND(G24/11370-1,2)</f>
        <v>0.23</v>
      </c>
    </row>
    <row r="25" spans="1:10" x14ac:dyDescent="0.25">
      <c r="A25" s="1" t="s">
        <v>16</v>
      </c>
      <c r="B25" s="1" t="s">
        <v>41</v>
      </c>
      <c r="C25" s="10"/>
      <c r="D25" s="10"/>
      <c r="E25" s="10">
        <v>8500</v>
      </c>
      <c r="F25" s="10"/>
      <c r="G25" s="10">
        <f t="shared" si="0"/>
        <v>8500</v>
      </c>
      <c r="H25" s="16">
        <f t="shared" si="1"/>
        <v>12.52</v>
      </c>
      <c r="I25" s="15">
        <f t="shared" si="2"/>
        <v>3.4000000000000002E-2</v>
      </c>
      <c r="J25" s="15">
        <f>ROUND(G25/7610-1,2)</f>
        <v>0.12</v>
      </c>
    </row>
    <row r="26" spans="1:10" x14ac:dyDescent="0.25">
      <c r="A26" s="1" t="s">
        <v>16</v>
      </c>
      <c r="B26" s="1" t="s">
        <v>36</v>
      </c>
      <c r="C26" s="10"/>
      <c r="D26" s="10"/>
      <c r="E26" s="10"/>
      <c r="F26" s="10"/>
      <c r="G26" s="10">
        <f t="shared" si="0"/>
        <v>0</v>
      </c>
      <c r="H26" s="16">
        <f t="shared" si="1"/>
        <v>0</v>
      </c>
      <c r="I26" s="15">
        <f t="shared" si="2"/>
        <v>0</v>
      </c>
      <c r="J26" s="15">
        <f>ROUND(G26/1478-1,2)</f>
        <v>-1</v>
      </c>
    </row>
    <row r="27" spans="1:10" x14ac:dyDescent="0.25">
      <c r="A27" s="1" t="s">
        <v>16</v>
      </c>
      <c r="B27" s="1" t="s">
        <v>30</v>
      </c>
      <c r="C27" s="10"/>
      <c r="D27" s="10"/>
      <c r="E27" s="10"/>
      <c r="F27" s="10"/>
      <c r="G27" s="10">
        <f t="shared" si="0"/>
        <v>0</v>
      </c>
      <c r="H27" s="16">
        <f t="shared" si="1"/>
        <v>0</v>
      </c>
      <c r="I27" s="15">
        <f t="shared" si="2"/>
        <v>0</v>
      </c>
      <c r="J27" s="15">
        <f>ROUND(G27/60-1,2)</f>
        <v>-1</v>
      </c>
    </row>
    <row r="28" spans="1:10" x14ac:dyDescent="0.25">
      <c r="A28" s="1" t="s">
        <v>16</v>
      </c>
      <c r="B28" s="1" t="s">
        <v>22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/>
    </row>
    <row r="29" spans="1:10" x14ac:dyDescent="0.25">
      <c r="A29" s="1" t="s">
        <v>16</v>
      </c>
      <c r="B29" s="1" t="s">
        <v>42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/>
    </row>
    <row r="30" spans="1:10" x14ac:dyDescent="0.25">
      <c r="A30" s="1" t="s">
        <v>16</v>
      </c>
      <c r="B30" s="1" t="s">
        <v>31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/>
    </row>
    <row r="31" spans="1:10" x14ac:dyDescent="0.25">
      <c r="A31" s="1" t="s">
        <v>16</v>
      </c>
      <c r="B31" s="1" t="s">
        <v>35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/>
    </row>
    <row r="32" spans="1:10" x14ac:dyDescent="0.25">
      <c r="A32" s="1" t="s">
        <v>16</v>
      </c>
      <c r="B32" s="1" t="s">
        <v>39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44</v>
      </c>
      <c r="B33" s="1" t="s">
        <v>45</v>
      </c>
      <c r="C33" s="10">
        <v>56850</v>
      </c>
      <c r="D33" s="10"/>
      <c r="E33" s="10"/>
      <c r="F33" s="10"/>
      <c r="G33" s="10">
        <f t="shared" si="0"/>
        <v>56850</v>
      </c>
      <c r="H33" s="16">
        <f t="shared" si="1"/>
        <v>83.73</v>
      </c>
      <c r="I33" s="15">
        <f t="shared" si="2"/>
        <v>0.23</v>
      </c>
      <c r="J33" s="15">
        <f>ROUND(G33/54780-1,2)</f>
        <v>0.04</v>
      </c>
    </row>
    <row r="34" spans="1:10" x14ac:dyDescent="0.25">
      <c r="A34" s="1" t="s">
        <v>44</v>
      </c>
      <c r="B34" s="1" t="s">
        <v>46</v>
      </c>
      <c r="C34" s="10"/>
      <c r="D34" s="10"/>
      <c r="E34" s="10">
        <v>14790</v>
      </c>
      <c r="F34" s="10"/>
      <c r="G34" s="10">
        <f t="shared" si="0"/>
        <v>14790</v>
      </c>
      <c r="H34" s="16">
        <f t="shared" si="1"/>
        <v>21.78</v>
      </c>
      <c r="I34" s="15">
        <f t="shared" si="2"/>
        <v>0.06</v>
      </c>
      <c r="J34" s="15">
        <f>ROUND(G34/13710-1,2)</f>
        <v>0.08</v>
      </c>
    </row>
    <row r="35" spans="1:10" x14ac:dyDescent="0.25">
      <c r="A35" s="1" t="s">
        <v>44</v>
      </c>
      <c r="B35" s="1" t="s">
        <v>47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/>
    </row>
    <row r="36" spans="1:10" x14ac:dyDescent="0.25">
      <c r="A36" s="1" t="s">
        <v>48</v>
      </c>
      <c r="B36" s="1" t="s">
        <v>51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/>
    </row>
    <row r="37" spans="1:10" x14ac:dyDescent="0.25">
      <c r="A37" s="27" t="s">
        <v>12</v>
      </c>
      <c r="B37" s="27"/>
      <c r="C37" s="11">
        <f t="shared" ref="C37:H37" si="3">SUM(C8:C36)</f>
        <v>145680</v>
      </c>
      <c r="D37" s="11">
        <f t="shared" si="3"/>
        <v>0</v>
      </c>
      <c r="E37" s="11">
        <f t="shared" si="3"/>
        <v>100984</v>
      </c>
      <c r="F37" s="11">
        <f t="shared" si="3"/>
        <v>0</v>
      </c>
      <c r="G37" s="11">
        <f t="shared" si="3"/>
        <v>246664</v>
      </c>
      <c r="H37" s="14">
        <f t="shared" si="3"/>
        <v>363.26</v>
      </c>
      <c r="I37" s="17"/>
      <c r="J37" s="17"/>
    </row>
    <row r="38" spans="1:10" x14ac:dyDescent="0.25">
      <c r="A38" s="27" t="s">
        <v>14</v>
      </c>
      <c r="B38" s="27"/>
      <c r="C38" s="12">
        <f>ROUND(C37/G37,2)</f>
        <v>0.59</v>
      </c>
      <c r="D38" s="12">
        <f>ROUND(D37/G37,2)</f>
        <v>0</v>
      </c>
      <c r="E38" s="12">
        <f>ROUND(E37/G37,2)</f>
        <v>0.41</v>
      </c>
      <c r="F38" s="12">
        <f>ROUND(F37/G37,2)</f>
        <v>0</v>
      </c>
      <c r="G38" s="13"/>
      <c r="H38" s="13"/>
      <c r="I38" s="17"/>
      <c r="J38" s="17"/>
    </row>
    <row r="39" spans="1:10" x14ac:dyDescent="0.25">
      <c r="A39" s="2" t="s">
        <v>52</v>
      </c>
      <c r="B39" s="2"/>
      <c r="C39" s="13"/>
      <c r="D39" s="13"/>
      <c r="E39" s="13"/>
      <c r="F39" s="13"/>
      <c r="G39" s="13"/>
      <c r="H39" s="13"/>
      <c r="I39" s="17"/>
      <c r="J39" s="17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A43" s="27" t="s">
        <v>53</v>
      </c>
      <c r="B43" s="27"/>
      <c r="C43" s="11" t="s">
        <v>8</v>
      </c>
      <c r="D43" s="11" t="s">
        <v>9</v>
      </c>
      <c r="E43" s="11" t="s">
        <v>10</v>
      </c>
      <c r="F43" s="11" t="s">
        <v>11</v>
      </c>
      <c r="G43" s="11" t="s">
        <v>12</v>
      </c>
      <c r="H43" s="14" t="s">
        <v>13</v>
      </c>
      <c r="I43" s="17"/>
      <c r="J43" s="17"/>
    </row>
    <row r="44" spans="1:10" x14ac:dyDescent="0.25">
      <c r="A44" s="22" t="s">
        <v>54</v>
      </c>
      <c r="B44" s="22"/>
      <c r="C44" s="10">
        <v>88830</v>
      </c>
      <c r="D44" s="10">
        <v>0</v>
      </c>
      <c r="E44" s="10">
        <v>86194</v>
      </c>
      <c r="F44" s="10">
        <v>0</v>
      </c>
      <c r="G44" s="10">
        <f>SUM(C44:F44)</f>
        <v>175024</v>
      </c>
      <c r="H44" s="16">
        <f>ROUND(G44/679,2)</f>
        <v>257.77</v>
      </c>
      <c r="I44" s="9"/>
      <c r="J44" s="9"/>
    </row>
    <row r="45" spans="1:10" x14ac:dyDescent="0.25">
      <c r="A45" s="22" t="s">
        <v>55</v>
      </c>
      <c r="B45" s="22"/>
      <c r="C45" s="10">
        <v>56850</v>
      </c>
      <c r="D45" s="10">
        <v>0</v>
      </c>
      <c r="E45" s="10">
        <v>14790</v>
      </c>
      <c r="F45" s="10">
        <v>0</v>
      </c>
      <c r="G45" s="10">
        <f>SUM(C45:F45)</f>
        <v>71640</v>
      </c>
      <c r="H45" s="16">
        <f>ROUND(G45/679,2)</f>
        <v>105.51</v>
      </c>
      <c r="I45" s="9"/>
      <c r="J45" s="9"/>
    </row>
    <row r="46" spans="1:10" x14ac:dyDescent="0.25">
      <c r="A46" s="22" t="s">
        <v>56</v>
      </c>
      <c r="B46" s="22"/>
      <c r="C46" s="10">
        <v>0</v>
      </c>
      <c r="D46" s="10">
        <v>0</v>
      </c>
      <c r="E46" s="10">
        <v>0</v>
      </c>
      <c r="F46" s="10">
        <v>0</v>
      </c>
      <c r="G46" s="10">
        <f>SUM(C46:F46)</f>
        <v>0</v>
      </c>
      <c r="H46" s="16">
        <f>ROUND(G46/679,2)</f>
        <v>0</v>
      </c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A51" s="27" t="s">
        <v>57</v>
      </c>
      <c r="B51" s="27"/>
      <c r="C51" s="14" t="s">
        <v>2</v>
      </c>
      <c r="D51" s="14">
        <v>2023</v>
      </c>
      <c r="E51" s="14" t="s">
        <v>59</v>
      </c>
      <c r="F51" s="13"/>
      <c r="G51" s="14" t="s">
        <v>60</v>
      </c>
      <c r="H51" s="14" t="s">
        <v>2</v>
      </c>
      <c r="I51" s="12" t="s">
        <v>61</v>
      </c>
      <c r="J51" s="12" t="s">
        <v>59</v>
      </c>
    </row>
    <row r="52" spans="1:10" x14ac:dyDescent="0.25">
      <c r="A52" s="22" t="s">
        <v>58</v>
      </c>
      <c r="B52" s="22"/>
      <c r="C52" s="15">
        <f>ROUND(0.7286, 4)</f>
        <v>0.72860000000000003</v>
      </c>
      <c r="D52" s="15">
        <f>ROUND(0.7317, 4)</f>
        <v>0.73170000000000002</v>
      </c>
      <c r="E52" s="15">
        <f>ROUND(0.777, 4)</f>
        <v>0.77700000000000002</v>
      </c>
      <c r="F52" s="8"/>
      <c r="G52" s="14" t="s">
        <v>62</v>
      </c>
      <c r="H52" s="28" t="s">
        <v>63</v>
      </c>
      <c r="I52" s="25" t="s">
        <v>64</v>
      </c>
      <c r="J52" s="25" t="s">
        <v>65</v>
      </c>
    </row>
    <row r="53" spans="1:10" x14ac:dyDescent="0.25">
      <c r="A53" s="22" t="s">
        <v>66</v>
      </c>
      <c r="B53" s="22"/>
      <c r="C53" s="15">
        <f>ROUND(0.6991, 4)</f>
        <v>0.69910000000000005</v>
      </c>
      <c r="D53" s="15">
        <f>ROUND(0.7044, 4)</f>
        <v>0.70440000000000003</v>
      </c>
      <c r="E53" s="15">
        <f>ROUND(0.7608, 4)</f>
        <v>0.76080000000000003</v>
      </c>
      <c r="F53" s="8"/>
      <c r="G53" s="14" t="s">
        <v>67</v>
      </c>
      <c r="H53" s="29"/>
      <c r="I53" s="26"/>
      <c r="J53" s="26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A57" s="27" t="s">
        <v>68</v>
      </c>
      <c r="B57" s="27"/>
      <c r="C57" s="14" t="s">
        <v>2</v>
      </c>
      <c r="D57" s="14" t="s">
        <v>339</v>
      </c>
      <c r="E57" s="14" t="s">
        <v>70</v>
      </c>
      <c r="F57" s="14" t="s">
        <v>71</v>
      </c>
      <c r="G57" s="14" t="s">
        <v>72</v>
      </c>
      <c r="H57" s="13"/>
      <c r="I57" s="17"/>
      <c r="J57" s="17"/>
    </row>
    <row r="58" spans="1:10" x14ac:dyDescent="0.25">
      <c r="A58" s="22" t="s">
        <v>73</v>
      </c>
      <c r="B58" s="22"/>
      <c r="C58" s="16">
        <v>83.73</v>
      </c>
      <c r="D58" s="16">
        <v>80.37</v>
      </c>
      <c r="E58" s="16">
        <v>92.53</v>
      </c>
      <c r="F58" s="16">
        <v>56.06</v>
      </c>
      <c r="G58" s="16">
        <f>12/11*C58</f>
        <v>91.341818181818184</v>
      </c>
      <c r="H58" s="8"/>
      <c r="I58" s="9"/>
      <c r="J58" s="9"/>
    </row>
    <row r="59" spans="1:10" x14ac:dyDescent="0.25">
      <c r="A59" s="22" t="s">
        <v>74</v>
      </c>
      <c r="B59" s="22"/>
      <c r="C59" s="16">
        <v>28.45</v>
      </c>
      <c r="D59" s="16">
        <v>42.31</v>
      </c>
      <c r="E59" s="16">
        <v>61.98</v>
      </c>
      <c r="F59" s="16">
        <v>64.09</v>
      </c>
      <c r="G59" s="16">
        <f>12/11*C59</f>
        <v>31.036363636363632</v>
      </c>
      <c r="H59" s="8"/>
      <c r="I59" s="9"/>
      <c r="J59" s="9"/>
    </row>
    <row r="60" spans="1:10" x14ac:dyDescent="0.25">
      <c r="A60" s="22" t="s">
        <v>75</v>
      </c>
      <c r="B60" s="22"/>
      <c r="C60" s="16">
        <v>257.77</v>
      </c>
      <c r="D60" s="16">
        <v>254.84</v>
      </c>
      <c r="E60" s="16">
        <v>291.51</v>
      </c>
      <c r="F60" s="16">
        <v>284.45</v>
      </c>
      <c r="G60" s="16">
        <f>12/11*C60</f>
        <v>281.20363636363635</v>
      </c>
      <c r="H60" s="8"/>
      <c r="I60" s="9"/>
      <c r="J60" s="9"/>
    </row>
    <row r="61" spans="1:10" x14ac:dyDescent="0.25">
      <c r="A61" s="22" t="s">
        <v>76</v>
      </c>
      <c r="B61" s="22"/>
      <c r="C61" s="16">
        <v>105.51</v>
      </c>
      <c r="D61" s="16">
        <v>103.45</v>
      </c>
      <c r="E61" s="16">
        <v>116.46</v>
      </c>
      <c r="F61" s="16">
        <v>79.959999999999994</v>
      </c>
      <c r="G61" s="16">
        <f>12/11*C61</f>
        <v>115.10181818181817</v>
      </c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3" t="s">
        <v>60</v>
      </c>
      <c r="B64" s="24"/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3" t="s">
        <v>77</v>
      </c>
      <c r="B65" s="1" t="s">
        <v>340</v>
      </c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70</v>
      </c>
      <c r="B66" s="1" t="s">
        <v>79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71</v>
      </c>
      <c r="B67" s="1" t="s">
        <v>80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72</v>
      </c>
      <c r="B68" s="1" t="s">
        <v>81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</sheetData>
  <mergeCells count="19">
    <mergeCell ref="C7:G7"/>
    <mergeCell ref="A37:B37"/>
    <mergeCell ref="A38:B38"/>
    <mergeCell ref="A43:B43"/>
    <mergeCell ref="A44:B44"/>
    <mergeCell ref="J52:J53"/>
    <mergeCell ref="A53:B53"/>
    <mergeCell ref="A57:B57"/>
    <mergeCell ref="A58:B58"/>
    <mergeCell ref="A45:B45"/>
    <mergeCell ref="A46:B46"/>
    <mergeCell ref="A51:B51"/>
    <mergeCell ref="A52:B52"/>
    <mergeCell ref="H52:H53"/>
    <mergeCell ref="A59:B59"/>
    <mergeCell ref="A60:B60"/>
    <mergeCell ref="A61:B61"/>
    <mergeCell ref="A64:B64"/>
    <mergeCell ref="I52:I5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2:J75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1.425781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341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2645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55</v>
      </c>
      <c r="F9" s="10"/>
      <c r="G9" s="10">
        <f t="shared" ref="G9:G43" si="0">SUM(C9:F9)</f>
        <v>55</v>
      </c>
      <c r="H9" s="16">
        <f t="shared" ref="H9:H43" si="1">ROUND(G9/2645,2)</f>
        <v>0.02</v>
      </c>
      <c r="I9" s="15">
        <f t="shared" ref="I9:I43" si="2">ROUND(G9/$G$44,3)</f>
        <v>0</v>
      </c>
      <c r="J9" s="15">
        <f>ROUND(G9/57-1,2)</f>
        <v>-0.04</v>
      </c>
    </row>
    <row r="10" spans="1:10" x14ac:dyDescent="0.25">
      <c r="A10" s="1" t="s">
        <v>16</v>
      </c>
      <c r="B10" s="1" t="s">
        <v>19</v>
      </c>
      <c r="C10" s="10">
        <v>93230</v>
      </c>
      <c r="D10" s="10"/>
      <c r="E10" s="10">
        <v>2520</v>
      </c>
      <c r="F10" s="10"/>
      <c r="G10" s="10">
        <f t="shared" si="0"/>
        <v>95750</v>
      </c>
      <c r="H10" s="16">
        <f t="shared" si="1"/>
        <v>36.200000000000003</v>
      </c>
      <c r="I10" s="15">
        <f t="shared" si="2"/>
        <v>9.9000000000000005E-2</v>
      </c>
      <c r="J10" s="15">
        <f>ROUND(G10/86960-1,2)</f>
        <v>0.1</v>
      </c>
    </row>
    <row r="11" spans="1:10" x14ac:dyDescent="0.25">
      <c r="A11" s="1" t="s">
        <v>16</v>
      </c>
      <c r="B11" s="1" t="s">
        <v>20</v>
      </c>
      <c r="C11" s="10">
        <v>112330</v>
      </c>
      <c r="D11" s="10"/>
      <c r="E11" s="10"/>
      <c r="F11" s="10"/>
      <c r="G11" s="10">
        <f t="shared" si="0"/>
        <v>112330</v>
      </c>
      <c r="H11" s="16">
        <f t="shared" si="1"/>
        <v>42.47</v>
      </c>
      <c r="I11" s="15">
        <f t="shared" si="2"/>
        <v>0.11600000000000001</v>
      </c>
      <c r="J11" s="15">
        <f>ROUND(G11/112260-1,2)</f>
        <v>0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105</v>
      </c>
      <c r="F12" s="10"/>
      <c r="G12" s="10">
        <f t="shared" si="0"/>
        <v>105</v>
      </c>
      <c r="H12" s="16">
        <f t="shared" si="1"/>
        <v>0.04</v>
      </c>
      <c r="I12" s="15">
        <f t="shared" si="2"/>
        <v>0</v>
      </c>
      <c r="J12" s="15">
        <f>ROUND(G12/86-1,2)</f>
        <v>0.22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419</v>
      </c>
      <c r="F13" s="10"/>
      <c r="G13" s="10">
        <f t="shared" si="0"/>
        <v>419</v>
      </c>
      <c r="H13" s="16">
        <f t="shared" si="1"/>
        <v>0.16</v>
      </c>
      <c r="I13" s="15">
        <f t="shared" si="2"/>
        <v>0</v>
      </c>
      <c r="J13" s="15">
        <f>ROUND(G13/182-1,2)</f>
        <v>1.3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900</v>
      </c>
      <c r="F14" s="10"/>
      <c r="G14" s="10">
        <f t="shared" si="0"/>
        <v>900</v>
      </c>
      <c r="H14" s="16">
        <f t="shared" si="1"/>
        <v>0.34</v>
      </c>
      <c r="I14" s="15">
        <f t="shared" si="2"/>
        <v>1E-3</v>
      </c>
      <c r="J14" s="15">
        <f>ROUND(G14/2000-1,2)</f>
        <v>-0.55000000000000004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68770</v>
      </c>
      <c r="F15" s="10"/>
      <c r="G15" s="10">
        <f t="shared" si="0"/>
        <v>68770</v>
      </c>
      <c r="H15" s="16">
        <f t="shared" si="1"/>
        <v>26</v>
      </c>
      <c r="I15" s="15">
        <f t="shared" si="2"/>
        <v>7.0999999999999994E-2</v>
      </c>
      <c r="J15" s="15">
        <f>ROUND(G15/25080-1,2)</f>
        <v>1.74</v>
      </c>
    </row>
    <row r="16" spans="1:10" x14ac:dyDescent="0.25">
      <c r="A16" s="1" t="s">
        <v>16</v>
      </c>
      <c r="B16" s="1" t="s">
        <v>24</v>
      </c>
      <c r="C16" s="10">
        <v>118920</v>
      </c>
      <c r="D16" s="10"/>
      <c r="E16" s="10"/>
      <c r="F16" s="10"/>
      <c r="G16" s="10">
        <f t="shared" si="0"/>
        <v>118920</v>
      </c>
      <c r="H16" s="16">
        <f t="shared" si="1"/>
        <v>44.96</v>
      </c>
      <c r="I16" s="15">
        <f t="shared" si="2"/>
        <v>0.123</v>
      </c>
      <c r="J16" s="15">
        <f>ROUND(G16/108740-1,2)</f>
        <v>0.09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3785</v>
      </c>
      <c r="F17" s="10"/>
      <c r="G17" s="10">
        <f t="shared" si="0"/>
        <v>3785</v>
      </c>
      <c r="H17" s="16">
        <f t="shared" si="1"/>
        <v>1.43</v>
      </c>
      <c r="I17" s="15">
        <f t="shared" si="2"/>
        <v>4.0000000000000001E-3</v>
      </c>
      <c r="J17" s="15">
        <f>ROUND(G17/3330-1,2)</f>
        <v>0.14000000000000001</v>
      </c>
    </row>
    <row r="18" spans="1:10" x14ac:dyDescent="0.25">
      <c r="A18" s="1" t="s">
        <v>16</v>
      </c>
      <c r="B18" s="1" t="s">
        <v>26</v>
      </c>
      <c r="C18" s="10">
        <v>172040</v>
      </c>
      <c r="D18" s="10"/>
      <c r="E18" s="10"/>
      <c r="F18" s="10">
        <v>650</v>
      </c>
      <c r="G18" s="10">
        <f t="shared" si="0"/>
        <v>172690</v>
      </c>
      <c r="H18" s="16">
        <f t="shared" si="1"/>
        <v>65.290000000000006</v>
      </c>
      <c r="I18" s="15">
        <f t="shared" si="2"/>
        <v>0.17799999999999999</v>
      </c>
      <c r="J18" s="15">
        <f>ROUND(G18/177560-1,2)</f>
        <v>-0.03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780</v>
      </c>
      <c r="F19" s="10"/>
      <c r="G19" s="10">
        <f t="shared" si="0"/>
        <v>780</v>
      </c>
      <c r="H19" s="16">
        <f t="shared" si="1"/>
        <v>0.28999999999999998</v>
      </c>
      <c r="I19" s="15">
        <f t="shared" si="2"/>
        <v>1E-3</v>
      </c>
      <c r="J19" s="15">
        <f>ROUND(G19/868-1,2)</f>
        <v>-0.1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335</v>
      </c>
      <c r="F20" s="10"/>
      <c r="G20" s="10">
        <f t="shared" si="0"/>
        <v>335</v>
      </c>
      <c r="H20" s="16">
        <f t="shared" si="1"/>
        <v>0.13</v>
      </c>
      <c r="I20" s="15">
        <f t="shared" si="2"/>
        <v>0</v>
      </c>
      <c r="J20" s="15">
        <f>ROUND(G20/426-1,2)</f>
        <v>-0.21</v>
      </c>
    </row>
    <row r="21" spans="1:10" x14ac:dyDescent="0.25">
      <c r="A21" s="1" t="s">
        <v>16</v>
      </c>
      <c r="B21" s="1" t="s">
        <v>42</v>
      </c>
      <c r="C21" s="10"/>
      <c r="D21" s="10"/>
      <c r="E21" s="10">
        <v>99</v>
      </c>
      <c r="F21" s="10"/>
      <c r="G21" s="10">
        <f t="shared" si="0"/>
        <v>99</v>
      </c>
      <c r="H21" s="16">
        <f t="shared" si="1"/>
        <v>0.04</v>
      </c>
      <c r="I21" s="15">
        <f t="shared" si="2"/>
        <v>0</v>
      </c>
      <c r="J21" s="15">
        <f>ROUND(G21/94-1,2)</f>
        <v>0.05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1433</v>
      </c>
      <c r="F22" s="10"/>
      <c r="G22" s="10">
        <f t="shared" si="0"/>
        <v>1433</v>
      </c>
      <c r="H22" s="16">
        <f t="shared" si="1"/>
        <v>0.54</v>
      </c>
      <c r="I22" s="15">
        <f t="shared" si="2"/>
        <v>1E-3</v>
      </c>
      <c r="J22" s="15">
        <f>ROUND(G22/4064-1,2)</f>
        <v>-0.65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860</v>
      </c>
      <c r="F23" s="10"/>
      <c r="G23" s="10">
        <f t="shared" si="0"/>
        <v>860</v>
      </c>
      <c r="H23" s="16">
        <f t="shared" si="1"/>
        <v>0.33</v>
      </c>
      <c r="I23" s="15">
        <f t="shared" si="2"/>
        <v>1E-3</v>
      </c>
      <c r="J23" s="15">
        <f>ROUND(G23/1410-1,2)</f>
        <v>-0.39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600</v>
      </c>
      <c r="F24" s="10"/>
      <c r="G24" s="10">
        <f t="shared" si="0"/>
        <v>600</v>
      </c>
      <c r="H24" s="16">
        <f t="shared" si="1"/>
        <v>0.23</v>
      </c>
      <c r="I24" s="15">
        <f t="shared" si="2"/>
        <v>1E-3</v>
      </c>
      <c r="J24" s="15">
        <f>ROUND(G24/430-1,2)</f>
        <v>0.4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1438</v>
      </c>
      <c r="F25" s="10"/>
      <c r="G25" s="10">
        <f t="shared" si="0"/>
        <v>1438</v>
      </c>
      <c r="H25" s="16">
        <f t="shared" si="1"/>
        <v>0.54</v>
      </c>
      <c r="I25" s="15">
        <f t="shared" si="2"/>
        <v>1E-3</v>
      </c>
      <c r="J25" s="15">
        <f>ROUND(G25/1600-1,2)</f>
        <v>-0.1</v>
      </c>
    </row>
    <row r="26" spans="1:10" x14ac:dyDescent="0.25">
      <c r="A26" s="1" t="s">
        <v>16</v>
      </c>
      <c r="B26" s="1" t="s">
        <v>33</v>
      </c>
      <c r="C26" s="10"/>
      <c r="D26" s="10">
        <v>139</v>
      </c>
      <c r="E26" s="10">
        <v>130</v>
      </c>
      <c r="F26" s="10"/>
      <c r="G26" s="10">
        <f t="shared" si="0"/>
        <v>269</v>
      </c>
      <c r="H26" s="16">
        <f t="shared" si="1"/>
        <v>0.1</v>
      </c>
      <c r="I26" s="15">
        <f t="shared" si="2"/>
        <v>0</v>
      </c>
      <c r="J26" s="15">
        <f>ROUND(G26/343-1,2)</f>
        <v>-0.22</v>
      </c>
    </row>
    <row r="27" spans="1:10" x14ac:dyDescent="0.25">
      <c r="A27" s="1" t="s">
        <v>16</v>
      </c>
      <c r="B27" s="1" t="s">
        <v>35</v>
      </c>
      <c r="C27" s="10"/>
      <c r="D27" s="10"/>
      <c r="E27" s="10">
        <v>260</v>
      </c>
      <c r="F27" s="10"/>
      <c r="G27" s="10">
        <f t="shared" si="0"/>
        <v>260</v>
      </c>
      <c r="H27" s="16">
        <f t="shared" si="1"/>
        <v>0.1</v>
      </c>
      <c r="I27" s="15">
        <f t="shared" si="2"/>
        <v>0</v>
      </c>
      <c r="J27" s="15">
        <f>ROUND(G27/183-1,2)</f>
        <v>0.42</v>
      </c>
    </row>
    <row r="28" spans="1:10" x14ac:dyDescent="0.25">
      <c r="A28" s="1" t="s">
        <v>16</v>
      </c>
      <c r="B28" s="1" t="s">
        <v>34</v>
      </c>
      <c r="C28" s="10"/>
      <c r="D28" s="10"/>
      <c r="E28" s="10">
        <v>750</v>
      </c>
      <c r="F28" s="10"/>
      <c r="G28" s="10">
        <f t="shared" si="0"/>
        <v>750</v>
      </c>
      <c r="H28" s="16">
        <f t="shared" si="1"/>
        <v>0.28000000000000003</v>
      </c>
      <c r="I28" s="15">
        <f t="shared" si="2"/>
        <v>1E-3</v>
      </c>
      <c r="J28" s="15">
        <f>ROUND(G28/600-1,2)</f>
        <v>0.25</v>
      </c>
    </row>
    <row r="29" spans="1:10" x14ac:dyDescent="0.25">
      <c r="A29" s="1" t="s">
        <v>16</v>
      </c>
      <c r="B29" s="1" t="s">
        <v>36</v>
      </c>
      <c r="C29" s="10"/>
      <c r="D29" s="10"/>
      <c r="E29" s="10">
        <v>1127</v>
      </c>
      <c r="F29" s="10"/>
      <c r="G29" s="10">
        <f t="shared" si="0"/>
        <v>1127</v>
      </c>
      <c r="H29" s="16">
        <f t="shared" si="1"/>
        <v>0.43</v>
      </c>
      <c r="I29" s="15">
        <f t="shared" si="2"/>
        <v>1E-3</v>
      </c>
      <c r="J29" s="15">
        <f>ROUND(G29/2545-1,2)</f>
        <v>-0.56000000000000005</v>
      </c>
    </row>
    <row r="30" spans="1:10" x14ac:dyDescent="0.25">
      <c r="A30" s="1" t="s">
        <v>16</v>
      </c>
      <c r="B30" s="1" t="s">
        <v>37</v>
      </c>
      <c r="C30" s="10"/>
      <c r="D30" s="10"/>
      <c r="E30" s="10">
        <v>2170</v>
      </c>
      <c r="F30" s="10"/>
      <c r="G30" s="10">
        <f t="shared" si="0"/>
        <v>2170</v>
      </c>
      <c r="H30" s="16">
        <f t="shared" si="1"/>
        <v>0.82</v>
      </c>
      <c r="I30" s="15">
        <f t="shared" si="2"/>
        <v>2E-3</v>
      </c>
      <c r="J30" s="15">
        <f>ROUND(G30/4500-1,2)</f>
        <v>-0.52</v>
      </c>
    </row>
    <row r="31" spans="1:10" x14ac:dyDescent="0.25">
      <c r="A31" s="1" t="s">
        <v>16</v>
      </c>
      <c r="B31" s="1" t="s">
        <v>43</v>
      </c>
      <c r="C31" s="10"/>
      <c r="D31" s="10"/>
      <c r="E31" s="10">
        <v>3595</v>
      </c>
      <c r="F31" s="10"/>
      <c r="G31" s="10">
        <f t="shared" si="0"/>
        <v>3595</v>
      </c>
      <c r="H31" s="16">
        <f t="shared" si="1"/>
        <v>1.36</v>
      </c>
      <c r="I31" s="15">
        <f t="shared" si="2"/>
        <v>4.0000000000000001E-3</v>
      </c>
      <c r="J31" s="15">
        <f>ROUND(G31/2874-1,2)</f>
        <v>0.25</v>
      </c>
    </row>
    <row r="32" spans="1:10" x14ac:dyDescent="0.25">
      <c r="A32" s="1" t="s">
        <v>16</v>
      </c>
      <c r="B32" s="1" t="s">
        <v>38</v>
      </c>
      <c r="C32" s="10"/>
      <c r="D32" s="10"/>
      <c r="E32" s="10">
        <v>65630</v>
      </c>
      <c r="F32" s="10"/>
      <c r="G32" s="10">
        <f t="shared" si="0"/>
        <v>65630</v>
      </c>
      <c r="H32" s="16">
        <f t="shared" si="1"/>
        <v>24.81</v>
      </c>
      <c r="I32" s="15">
        <f t="shared" si="2"/>
        <v>6.8000000000000005E-2</v>
      </c>
      <c r="J32" s="15">
        <f>ROUND(G32/45870-1,2)</f>
        <v>0.43</v>
      </c>
    </row>
    <row r="33" spans="1:10" x14ac:dyDescent="0.25">
      <c r="A33" s="1" t="s">
        <v>16</v>
      </c>
      <c r="B33" s="1" t="s">
        <v>39</v>
      </c>
      <c r="C33" s="10"/>
      <c r="D33" s="10"/>
      <c r="E33" s="10">
        <v>3920</v>
      </c>
      <c r="F33" s="10"/>
      <c r="G33" s="10">
        <f t="shared" si="0"/>
        <v>3920</v>
      </c>
      <c r="H33" s="16">
        <f t="shared" si="1"/>
        <v>1.48</v>
      </c>
      <c r="I33" s="15">
        <f t="shared" si="2"/>
        <v>4.0000000000000001E-3</v>
      </c>
      <c r="J33" s="15">
        <f>ROUND(G33/4570-1,2)</f>
        <v>-0.14000000000000001</v>
      </c>
    </row>
    <row r="34" spans="1:10" x14ac:dyDescent="0.25">
      <c r="A34" s="1" t="s">
        <v>16</v>
      </c>
      <c r="B34" s="1" t="s">
        <v>40</v>
      </c>
      <c r="C34" s="10"/>
      <c r="D34" s="10"/>
      <c r="E34" s="10">
        <v>19230</v>
      </c>
      <c r="F34" s="10"/>
      <c r="G34" s="10">
        <f t="shared" si="0"/>
        <v>19230</v>
      </c>
      <c r="H34" s="16">
        <f t="shared" si="1"/>
        <v>7.27</v>
      </c>
      <c r="I34" s="15">
        <f t="shared" si="2"/>
        <v>0.02</v>
      </c>
      <c r="J34" s="15">
        <f>ROUND(G34/16440-1,2)</f>
        <v>0.17</v>
      </c>
    </row>
    <row r="35" spans="1:10" x14ac:dyDescent="0.25">
      <c r="A35" s="1" t="s">
        <v>16</v>
      </c>
      <c r="B35" s="1" t="s">
        <v>41</v>
      </c>
      <c r="C35" s="10"/>
      <c r="D35" s="10"/>
      <c r="E35" s="10">
        <v>67610</v>
      </c>
      <c r="F35" s="10">
        <v>4900</v>
      </c>
      <c r="G35" s="10">
        <f t="shared" si="0"/>
        <v>72510</v>
      </c>
      <c r="H35" s="16">
        <f t="shared" si="1"/>
        <v>27.41</v>
      </c>
      <c r="I35" s="15">
        <f t="shared" si="2"/>
        <v>7.4999999999999997E-2</v>
      </c>
      <c r="J35" s="15">
        <f>ROUND(G35/51140-1,2)</f>
        <v>0.42</v>
      </c>
    </row>
    <row r="36" spans="1:10" x14ac:dyDescent="0.25">
      <c r="A36" s="1" t="s">
        <v>16</v>
      </c>
      <c r="B36" s="1" t="s">
        <v>18</v>
      </c>
      <c r="C36" s="10"/>
      <c r="D36" s="10"/>
      <c r="E36" s="10"/>
      <c r="F36" s="10"/>
      <c r="G36" s="10">
        <f t="shared" si="0"/>
        <v>0</v>
      </c>
      <c r="H36" s="16">
        <f t="shared" si="1"/>
        <v>0</v>
      </c>
      <c r="I36" s="15">
        <f t="shared" si="2"/>
        <v>0</v>
      </c>
      <c r="J36" s="15">
        <f>ROUND(G36/1340-1,2)</f>
        <v>-1</v>
      </c>
    </row>
    <row r="37" spans="1:10" x14ac:dyDescent="0.25">
      <c r="A37" s="1" t="s">
        <v>16</v>
      </c>
      <c r="B37" s="1" t="s">
        <v>96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>
        <f>ROUND(G37/20-1,2)</f>
        <v>-1</v>
      </c>
    </row>
    <row r="38" spans="1:10" x14ac:dyDescent="0.25">
      <c r="A38" s="1" t="s">
        <v>44</v>
      </c>
      <c r="B38" s="1" t="s">
        <v>45</v>
      </c>
      <c r="C38" s="10">
        <v>146500</v>
      </c>
      <c r="D38" s="10"/>
      <c r="E38" s="10">
        <v>100</v>
      </c>
      <c r="F38" s="10">
        <v>80</v>
      </c>
      <c r="G38" s="10">
        <f t="shared" si="0"/>
        <v>146680</v>
      </c>
      <c r="H38" s="16">
        <f t="shared" si="1"/>
        <v>55.46</v>
      </c>
      <c r="I38" s="15">
        <f t="shared" si="2"/>
        <v>0.151</v>
      </c>
      <c r="J38" s="15">
        <f>ROUND(G38/133310-1,2)</f>
        <v>0.1</v>
      </c>
    </row>
    <row r="39" spans="1:10" x14ac:dyDescent="0.25">
      <c r="A39" s="1" t="s">
        <v>44</v>
      </c>
      <c r="B39" s="1" t="s">
        <v>47</v>
      </c>
      <c r="C39" s="10"/>
      <c r="D39" s="10"/>
      <c r="E39" s="10"/>
      <c r="F39" s="10">
        <v>28035</v>
      </c>
      <c r="G39" s="10">
        <f t="shared" si="0"/>
        <v>28035</v>
      </c>
      <c r="H39" s="16">
        <f t="shared" si="1"/>
        <v>10.6</v>
      </c>
      <c r="I39" s="15">
        <f t="shared" si="2"/>
        <v>2.9000000000000001E-2</v>
      </c>
      <c r="J39" s="15">
        <f>ROUND(G39/22010-1,2)</f>
        <v>0.27</v>
      </c>
    </row>
    <row r="40" spans="1:10" x14ac:dyDescent="0.25">
      <c r="A40" s="1" t="s">
        <v>44</v>
      </c>
      <c r="B40" s="1" t="s">
        <v>46</v>
      </c>
      <c r="C40" s="10"/>
      <c r="D40" s="10"/>
      <c r="E40" s="10">
        <v>44820</v>
      </c>
      <c r="F40" s="10"/>
      <c r="G40" s="10">
        <f t="shared" si="0"/>
        <v>44820</v>
      </c>
      <c r="H40" s="16">
        <f t="shared" si="1"/>
        <v>16.95</v>
      </c>
      <c r="I40" s="15">
        <f t="shared" si="2"/>
        <v>4.5999999999999999E-2</v>
      </c>
      <c r="J40" s="15">
        <f>ROUND(G40/28470-1,2)</f>
        <v>0.56999999999999995</v>
      </c>
    </row>
    <row r="41" spans="1:10" x14ac:dyDescent="0.25">
      <c r="A41" s="1" t="s">
        <v>48</v>
      </c>
      <c r="B41" s="1" t="s">
        <v>51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1" t="s">
        <v>48</v>
      </c>
      <c r="B42" s="1" t="s">
        <v>49</v>
      </c>
      <c r="C42" s="10"/>
      <c r="D42" s="10"/>
      <c r="E42" s="10"/>
      <c r="F42" s="10"/>
      <c r="G42" s="10">
        <f t="shared" si="0"/>
        <v>0</v>
      </c>
      <c r="H42" s="16">
        <f t="shared" si="1"/>
        <v>0</v>
      </c>
      <c r="I42" s="15">
        <f t="shared" si="2"/>
        <v>0</v>
      </c>
      <c r="J42" s="15">
        <f>ROUND(G42/460-1,2)</f>
        <v>-1</v>
      </c>
    </row>
    <row r="43" spans="1:10" x14ac:dyDescent="0.25">
      <c r="A43" s="1" t="s">
        <v>48</v>
      </c>
      <c r="B43" s="1" t="s">
        <v>50</v>
      </c>
      <c r="C43" s="10"/>
      <c r="D43" s="10"/>
      <c r="E43" s="10"/>
      <c r="F43" s="10"/>
      <c r="G43" s="10">
        <f t="shared" si="0"/>
        <v>0</v>
      </c>
      <c r="H43" s="16">
        <f t="shared" si="1"/>
        <v>0</v>
      </c>
      <c r="I43" s="15">
        <f t="shared" si="2"/>
        <v>0</v>
      </c>
      <c r="J43" s="15">
        <f>ROUND(G43/235-1,2)</f>
        <v>-1</v>
      </c>
    </row>
    <row r="44" spans="1:10" x14ac:dyDescent="0.25">
      <c r="A44" s="27" t="s">
        <v>12</v>
      </c>
      <c r="B44" s="27"/>
      <c r="C44" s="11">
        <f t="shared" ref="C44:H44" si="3">SUM(C8:C43)</f>
        <v>643020</v>
      </c>
      <c r="D44" s="11">
        <f t="shared" si="3"/>
        <v>139</v>
      </c>
      <c r="E44" s="11">
        <f t="shared" si="3"/>
        <v>291441</v>
      </c>
      <c r="F44" s="11">
        <f t="shared" si="3"/>
        <v>33665</v>
      </c>
      <c r="G44" s="11">
        <f t="shared" si="3"/>
        <v>968265</v>
      </c>
      <c r="H44" s="14">
        <f t="shared" si="3"/>
        <v>366.08</v>
      </c>
      <c r="I44" s="17"/>
      <c r="J44" s="17"/>
    </row>
    <row r="45" spans="1:10" x14ac:dyDescent="0.25">
      <c r="A45" s="27" t="s">
        <v>14</v>
      </c>
      <c r="B45" s="27"/>
      <c r="C45" s="12">
        <f>ROUND(C44/G44,2)</f>
        <v>0.66</v>
      </c>
      <c r="D45" s="12">
        <f>ROUND(D44/G44,2)</f>
        <v>0</v>
      </c>
      <c r="E45" s="12">
        <f>ROUND(E44/G44,2)</f>
        <v>0.3</v>
      </c>
      <c r="F45" s="12">
        <f>ROUND(F44/G44,2)</f>
        <v>0.03</v>
      </c>
      <c r="G45" s="13"/>
      <c r="H45" s="13"/>
      <c r="I45" s="17"/>
      <c r="J45" s="17"/>
    </row>
    <row r="46" spans="1:10" x14ac:dyDescent="0.25">
      <c r="A46" s="2" t="s">
        <v>52</v>
      </c>
      <c r="B46" s="2"/>
      <c r="C46" s="13"/>
      <c r="D46" s="13"/>
      <c r="E46" s="13"/>
      <c r="F46" s="13"/>
      <c r="G46" s="13"/>
      <c r="H46" s="13"/>
      <c r="I46" s="17"/>
      <c r="J46" s="17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53</v>
      </c>
      <c r="B50" s="27"/>
      <c r="C50" s="11" t="s">
        <v>8</v>
      </c>
      <c r="D50" s="11" t="s">
        <v>9</v>
      </c>
      <c r="E50" s="11" t="s">
        <v>10</v>
      </c>
      <c r="F50" s="11" t="s">
        <v>11</v>
      </c>
      <c r="G50" s="11" t="s">
        <v>12</v>
      </c>
      <c r="H50" s="14" t="s">
        <v>13</v>
      </c>
      <c r="I50" s="17"/>
      <c r="J50" s="17"/>
    </row>
    <row r="51" spans="1:10" x14ac:dyDescent="0.25">
      <c r="A51" s="22" t="s">
        <v>54</v>
      </c>
      <c r="B51" s="22"/>
      <c r="C51" s="10">
        <v>496520</v>
      </c>
      <c r="D51" s="10">
        <v>139</v>
      </c>
      <c r="E51" s="10">
        <v>246521</v>
      </c>
      <c r="F51" s="10">
        <v>5550</v>
      </c>
      <c r="G51" s="10">
        <f>SUM(C51:F51)</f>
        <v>748730</v>
      </c>
      <c r="H51" s="16">
        <f>ROUND(G51/2645,2)</f>
        <v>283.07</v>
      </c>
      <c r="I51" s="9"/>
      <c r="J51" s="9"/>
    </row>
    <row r="52" spans="1:10" x14ac:dyDescent="0.25">
      <c r="A52" s="22" t="s">
        <v>55</v>
      </c>
      <c r="B52" s="22"/>
      <c r="C52" s="10">
        <v>146500</v>
      </c>
      <c r="D52" s="10">
        <v>0</v>
      </c>
      <c r="E52" s="10">
        <v>44920</v>
      </c>
      <c r="F52" s="10">
        <v>28115</v>
      </c>
      <c r="G52" s="10">
        <f>SUM(C52:F52)</f>
        <v>219535</v>
      </c>
      <c r="H52" s="16">
        <f>ROUND(G52/2645,2)</f>
        <v>83</v>
      </c>
      <c r="I52" s="9"/>
      <c r="J52" s="9"/>
    </row>
    <row r="53" spans="1:10" x14ac:dyDescent="0.25">
      <c r="A53" s="22" t="s">
        <v>56</v>
      </c>
      <c r="B53" s="22"/>
      <c r="C53" s="10">
        <v>0</v>
      </c>
      <c r="D53" s="10">
        <v>0</v>
      </c>
      <c r="E53" s="10">
        <v>0</v>
      </c>
      <c r="F53" s="10">
        <v>0</v>
      </c>
      <c r="G53" s="10">
        <f>SUM(C53:F53)</f>
        <v>0</v>
      </c>
      <c r="H53" s="16">
        <f>ROUND(G53/2645,2)</f>
        <v>0</v>
      </c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57</v>
      </c>
      <c r="B58" s="27"/>
      <c r="C58" s="14" t="s">
        <v>2</v>
      </c>
      <c r="D58" s="14">
        <v>2023</v>
      </c>
      <c r="E58" s="14" t="s">
        <v>59</v>
      </c>
      <c r="F58" s="13"/>
      <c r="G58" s="14" t="s">
        <v>60</v>
      </c>
      <c r="H58" s="14" t="s">
        <v>2</v>
      </c>
      <c r="I58" s="12" t="s">
        <v>61</v>
      </c>
      <c r="J58" s="12" t="s">
        <v>59</v>
      </c>
    </row>
    <row r="59" spans="1:10" x14ac:dyDescent="0.25">
      <c r="A59" s="22" t="s">
        <v>58</v>
      </c>
      <c r="B59" s="22"/>
      <c r="C59" s="15">
        <f>ROUND(0.8335, 4)</f>
        <v>0.83350000000000002</v>
      </c>
      <c r="D59" s="15">
        <f>ROUND(0.8277, 4)</f>
        <v>0.82769999999999999</v>
      </c>
      <c r="E59" s="15">
        <f>ROUND(0.777, 4)</f>
        <v>0.77700000000000002</v>
      </c>
      <c r="F59" s="8"/>
      <c r="G59" s="14" t="s">
        <v>62</v>
      </c>
      <c r="H59" s="28" t="s">
        <v>63</v>
      </c>
      <c r="I59" s="25" t="s">
        <v>64</v>
      </c>
      <c r="J59" s="25" t="s">
        <v>65</v>
      </c>
    </row>
    <row r="60" spans="1:10" x14ac:dyDescent="0.25">
      <c r="A60" s="22" t="s">
        <v>66</v>
      </c>
      <c r="B60" s="22"/>
      <c r="C60" s="15">
        <f>ROUND(0.8199, 4)</f>
        <v>0.81989999999999996</v>
      </c>
      <c r="D60" s="15">
        <f>ROUND(0.8142, 4)</f>
        <v>0.81420000000000003</v>
      </c>
      <c r="E60" s="15">
        <f>ROUND(0.7608, 4)</f>
        <v>0.76080000000000003</v>
      </c>
      <c r="F60" s="8"/>
      <c r="G60" s="14" t="s">
        <v>67</v>
      </c>
      <c r="H60" s="29"/>
      <c r="I60" s="26"/>
      <c r="J60" s="26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27" t="s">
        <v>68</v>
      </c>
      <c r="B64" s="27"/>
      <c r="C64" s="14" t="s">
        <v>2</v>
      </c>
      <c r="D64" s="14" t="s">
        <v>342</v>
      </c>
      <c r="E64" s="14" t="s">
        <v>70</v>
      </c>
      <c r="F64" s="14" t="s">
        <v>71</v>
      </c>
      <c r="G64" s="14" t="s">
        <v>72</v>
      </c>
      <c r="H64" s="13"/>
      <c r="I64" s="17"/>
      <c r="J64" s="17"/>
    </row>
    <row r="65" spans="1:10" x14ac:dyDescent="0.25">
      <c r="A65" s="22" t="s">
        <v>73</v>
      </c>
      <c r="B65" s="22"/>
      <c r="C65" s="16">
        <v>55.46</v>
      </c>
      <c r="D65" s="16">
        <v>57.49</v>
      </c>
      <c r="E65" s="16">
        <v>92.53</v>
      </c>
      <c r="F65" s="16">
        <v>56.06</v>
      </c>
      <c r="G65" s="16">
        <f>12/11*C65</f>
        <v>60.50181818181818</v>
      </c>
      <c r="H65" s="8"/>
      <c r="I65" s="9"/>
      <c r="J65" s="9"/>
    </row>
    <row r="66" spans="1:10" x14ac:dyDescent="0.25">
      <c r="A66" s="22" t="s">
        <v>74</v>
      </c>
      <c r="B66" s="22"/>
      <c r="C66" s="16">
        <v>65.290000000000006</v>
      </c>
      <c r="D66" s="16">
        <v>72.89</v>
      </c>
      <c r="E66" s="16">
        <v>61.98</v>
      </c>
      <c r="F66" s="16">
        <v>64.09</v>
      </c>
      <c r="G66" s="16">
        <f>12/11*C66</f>
        <v>71.225454545454554</v>
      </c>
      <c r="H66" s="8"/>
      <c r="I66" s="9"/>
      <c r="J66" s="9"/>
    </row>
    <row r="67" spans="1:10" x14ac:dyDescent="0.25">
      <c r="A67" s="22" t="s">
        <v>75</v>
      </c>
      <c r="B67" s="22"/>
      <c r="C67" s="16">
        <v>286.7</v>
      </c>
      <c r="D67" s="16">
        <v>281.45999999999998</v>
      </c>
      <c r="E67" s="16">
        <v>291.51</v>
      </c>
      <c r="F67" s="16">
        <v>284.45</v>
      </c>
      <c r="G67" s="16">
        <f>12/11*C67</f>
        <v>312.76363636363635</v>
      </c>
      <c r="H67" s="8"/>
      <c r="I67" s="9"/>
      <c r="J67" s="9"/>
    </row>
    <row r="68" spans="1:10" x14ac:dyDescent="0.25">
      <c r="A68" s="22" t="s">
        <v>76</v>
      </c>
      <c r="B68" s="22"/>
      <c r="C68" s="16">
        <v>83</v>
      </c>
      <c r="D68" s="16">
        <v>81.510000000000005</v>
      </c>
      <c r="E68" s="16">
        <v>116.46</v>
      </c>
      <c r="F68" s="16">
        <v>79.959999999999994</v>
      </c>
      <c r="G68" s="16">
        <f>12/11*C68</f>
        <v>90.545454545454533</v>
      </c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1" spans="1:10" x14ac:dyDescent="0.25">
      <c r="A71" s="23" t="s">
        <v>60</v>
      </c>
      <c r="B71" s="24"/>
    </row>
    <row r="72" spans="1:10" x14ac:dyDescent="0.25">
      <c r="A72" s="3" t="s">
        <v>77</v>
      </c>
      <c r="B72" s="1" t="s">
        <v>343</v>
      </c>
    </row>
    <row r="73" spans="1:10" x14ac:dyDescent="0.25">
      <c r="A73" s="3" t="s">
        <v>70</v>
      </c>
      <c r="B73" s="1" t="s">
        <v>79</v>
      </c>
    </row>
    <row r="74" spans="1:10" x14ac:dyDescent="0.25">
      <c r="A74" s="3" t="s">
        <v>71</v>
      </c>
      <c r="B74" s="1" t="s">
        <v>80</v>
      </c>
    </row>
    <row r="75" spans="1:10" x14ac:dyDescent="0.25">
      <c r="A75" s="3" t="s">
        <v>72</v>
      </c>
      <c r="B75" s="1" t="s">
        <v>81</v>
      </c>
    </row>
  </sheetData>
  <mergeCells count="19">
    <mergeCell ref="C7:G7"/>
    <mergeCell ref="A44:B44"/>
    <mergeCell ref="A45:B45"/>
    <mergeCell ref="A50:B50"/>
    <mergeCell ref="A51:B51"/>
    <mergeCell ref="J59:J60"/>
    <mergeCell ref="A60:B60"/>
    <mergeCell ref="A64:B64"/>
    <mergeCell ref="A65:B65"/>
    <mergeCell ref="A52:B52"/>
    <mergeCell ref="A53:B53"/>
    <mergeCell ref="A58:B58"/>
    <mergeCell ref="A59:B59"/>
    <mergeCell ref="H59:H60"/>
    <mergeCell ref="A66:B66"/>
    <mergeCell ref="A67:B67"/>
    <mergeCell ref="A68:B68"/>
    <mergeCell ref="A71:B71"/>
    <mergeCell ref="I59:I60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2:J71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3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344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1924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18</v>
      </c>
      <c r="C9" s="10"/>
      <c r="D9" s="10"/>
      <c r="E9" s="10">
        <v>1460</v>
      </c>
      <c r="F9" s="10">
        <v>5160</v>
      </c>
      <c r="G9" s="10">
        <f t="shared" ref="G9:G37" si="0">SUM(C9:F9)</f>
        <v>6620</v>
      </c>
      <c r="H9" s="16">
        <f t="shared" ref="H9:H37" si="1">ROUND(G9/1924,2)</f>
        <v>3.44</v>
      </c>
      <c r="I9" s="15">
        <f t="shared" ref="I9:I37" si="2">ROUND(G9/$G$38,3)</f>
        <v>8.9999999999999993E-3</v>
      </c>
      <c r="J9" s="15">
        <f>ROUND(G9/6040-1,2)</f>
        <v>0.1</v>
      </c>
    </row>
    <row r="10" spans="1:10" x14ac:dyDescent="0.25">
      <c r="A10" s="1" t="s">
        <v>16</v>
      </c>
      <c r="B10" s="1" t="s">
        <v>19</v>
      </c>
      <c r="C10" s="10">
        <v>68560</v>
      </c>
      <c r="D10" s="10"/>
      <c r="E10" s="10"/>
      <c r="F10" s="10"/>
      <c r="G10" s="10">
        <f t="shared" si="0"/>
        <v>68560</v>
      </c>
      <c r="H10" s="16">
        <f t="shared" si="1"/>
        <v>35.630000000000003</v>
      </c>
      <c r="I10" s="15">
        <f t="shared" si="2"/>
        <v>8.7999999999999995E-2</v>
      </c>
      <c r="J10" s="15">
        <f>ROUND(G10/66980-1,2)</f>
        <v>0.02</v>
      </c>
    </row>
    <row r="11" spans="1:10" x14ac:dyDescent="0.25">
      <c r="A11" s="1" t="s">
        <v>16</v>
      </c>
      <c r="B11" s="1" t="s">
        <v>20</v>
      </c>
      <c r="C11" s="10">
        <v>90435</v>
      </c>
      <c r="D11" s="10"/>
      <c r="E11" s="10"/>
      <c r="F11" s="10"/>
      <c r="G11" s="10">
        <f t="shared" si="0"/>
        <v>90435</v>
      </c>
      <c r="H11" s="16">
        <f t="shared" si="1"/>
        <v>47</v>
      </c>
      <c r="I11" s="15">
        <f t="shared" si="2"/>
        <v>0.11600000000000001</v>
      </c>
      <c r="J11" s="15">
        <f>ROUND(G11/92745-1,2)</f>
        <v>-0.02</v>
      </c>
    </row>
    <row r="12" spans="1:10" x14ac:dyDescent="0.25">
      <c r="A12" s="1" t="s">
        <v>16</v>
      </c>
      <c r="B12" s="1" t="s">
        <v>22</v>
      </c>
      <c r="C12" s="10"/>
      <c r="D12" s="10"/>
      <c r="E12" s="10">
        <v>2100</v>
      </c>
      <c r="F12" s="10"/>
      <c r="G12" s="10">
        <f t="shared" si="0"/>
        <v>2100</v>
      </c>
      <c r="H12" s="16">
        <f t="shared" si="1"/>
        <v>1.0900000000000001</v>
      </c>
      <c r="I12" s="15">
        <f t="shared" si="2"/>
        <v>3.0000000000000001E-3</v>
      </c>
      <c r="J12" s="15">
        <f>ROUND(G12/1900-1,2)</f>
        <v>0.11</v>
      </c>
    </row>
    <row r="13" spans="1:10" x14ac:dyDescent="0.25">
      <c r="A13" s="1" t="s">
        <v>16</v>
      </c>
      <c r="B13" s="1" t="s">
        <v>24</v>
      </c>
      <c r="C13" s="10">
        <v>101385</v>
      </c>
      <c r="D13" s="10"/>
      <c r="E13" s="10"/>
      <c r="F13" s="10"/>
      <c r="G13" s="10">
        <f t="shared" si="0"/>
        <v>101385</v>
      </c>
      <c r="H13" s="16">
        <f t="shared" si="1"/>
        <v>52.69</v>
      </c>
      <c r="I13" s="15">
        <f t="shared" si="2"/>
        <v>0.13</v>
      </c>
      <c r="J13" s="15">
        <f>ROUND(G13/100230-1,2)</f>
        <v>0.01</v>
      </c>
    </row>
    <row r="14" spans="1:10" x14ac:dyDescent="0.25">
      <c r="A14" s="1" t="s">
        <v>16</v>
      </c>
      <c r="B14" s="1" t="s">
        <v>25</v>
      </c>
      <c r="C14" s="10"/>
      <c r="D14" s="10"/>
      <c r="E14" s="10">
        <v>2125</v>
      </c>
      <c r="F14" s="10"/>
      <c r="G14" s="10">
        <f t="shared" si="0"/>
        <v>2125</v>
      </c>
      <c r="H14" s="16">
        <f t="shared" si="1"/>
        <v>1.1000000000000001</v>
      </c>
      <c r="I14" s="15">
        <f t="shared" si="2"/>
        <v>3.0000000000000001E-3</v>
      </c>
      <c r="J14" s="15">
        <f>ROUND(G14/3000-1,2)</f>
        <v>-0.28999999999999998</v>
      </c>
    </row>
    <row r="15" spans="1:10" x14ac:dyDescent="0.25">
      <c r="A15" s="1" t="s">
        <v>16</v>
      </c>
      <c r="B15" s="1" t="s">
        <v>26</v>
      </c>
      <c r="C15" s="10">
        <v>163460</v>
      </c>
      <c r="D15" s="10"/>
      <c r="E15" s="10"/>
      <c r="F15" s="10"/>
      <c r="G15" s="10">
        <f t="shared" si="0"/>
        <v>163460</v>
      </c>
      <c r="H15" s="16">
        <f t="shared" si="1"/>
        <v>84.96</v>
      </c>
      <c r="I15" s="15">
        <f t="shared" si="2"/>
        <v>0.21</v>
      </c>
      <c r="J15" s="15">
        <f>ROUND(G15/157720-1,2)</f>
        <v>0.04</v>
      </c>
    </row>
    <row r="16" spans="1:10" x14ac:dyDescent="0.25">
      <c r="A16" s="1" t="s">
        <v>16</v>
      </c>
      <c r="B16" s="1" t="s">
        <v>27</v>
      </c>
      <c r="C16" s="10"/>
      <c r="D16" s="10"/>
      <c r="E16" s="10">
        <v>623</v>
      </c>
      <c r="F16" s="10"/>
      <c r="G16" s="10">
        <f t="shared" si="0"/>
        <v>623</v>
      </c>
      <c r="H16" s="16">
        <f t="shared" si="1"/>
        <v>0.32</v>
      </c>
      <c r="I16" s="15">
        <f t="shared" si="2"/>
        <v>1E-3</v>
      </c>
      <c r="J16" s="15">
        <f>ROUND(G16/850-1,2)</f>
        <v>-0.27</v>
      </c>
    </row>
    <row r="17" spans="1:10" x14ac:dyDescent="0.25">
      <c r="A17" s="1" t="s">
        <v>16</v>
      </c>
      <c r="B17" s="1" t="s">
        <v>28</v>
      </c>
      <c r="C17" s="10"/>
      <c r="D17" s="10"/>
      <c r="E17" s="10">
        <v>597</v>
      </c>
      <c r="F17" s="10"/>
      <c r="G17" s="10">
        <f t="shared" si="0"/>
        <v>597</v>
      </c>
      <c r="H17" s="16">
        <f t="shared" si="1"/>
        <v>0.31</v>
      </c>
      <c r="I17" s="15">
        <f t="shared" si="2"/>
        <v>1E-3</v>
      </c>
      <c r="J17" s="15">
        <f>ROUND(G17/372-1,2)</f>
        <v>0.6</v>
      </c>
    </row>
    <row r="18" spans="1:10" x14ac:dyDescent="0.25">
      <c r="A18" s="1" t="s">
        <v>16</v>
      </c>
      <c r="B18" s="1" t="s">
        <v>29</v>
      </c>
      <c r="C18" s="10"/>
      <c r="D18" s="10"/>
      <c r="E18" s="10">
        <v>1430</v>
      </c>
      <c r="F18" s="10"/>
      <c r="G18" s="10">
        <f t="shared" si="0"/>
        <v>1430</v>
      </c>
      <c r="H18" s="16">
        <f t="shared" si="1"/>
        <v>0.74</v>
      </c>
      <c r="I18" s="15">
        <f t="shared" si="2"/>
        <v>2E-3</v>
      </c>
      <c r="J18" s="15"/>
    </row>
    <row r="19" spans="1:10" x14ac:dyDescent="0.25">
      <c r="A19" s="1" t="s">
        <v>16</v>
      </c>
      <c r="B19" s="1" t="s">
        <v>30</v>
      </c>
      <c r="C19" s="10"/>
      <c r="D19" s="10"/>
      <c r="E19" s="10">
        <v>650</v>
      </c>
      <c r="F19" s="10"/>
      <c r="G19" s="10">
        <f t="shared" si="0"/>
        <v>650</v>
      </c>
      <c r="H19" s="16">
        <f t="shared" si="1"/>
        <v>0.34</v>
      </c>
      <c r="I19" s="15">
        <f t="shared" si="2"/>
        <v>1E-3</v>
      </c>
      <c r="J19" s="15">
        <f>ROUND(G19/560-1,2)</f>
        <v>0.16</v>
      </c>
    </row>
    <row r="20" spans="1:10" x14ac:dyDescent="0.25">
      <c r="A20" s="1" t="s">
        <v>16</v>
      </c>
      <c r="B20" s="1" t="s">
        <v>32</v>
      </c>
      <c r="C20" s="10"/>
      <c r="D20" s="10"/>
      <c r="E20" s="10">
        <v>680</v>
      </c>
      <c r="F20" s="10"/>
      <c r="G20" s="10">
        <f t="shared" si="0"/>
        <v>680</v>
      </c>
      <c r="H20" s="16">
        <f t="shared" si="1"/>
        <v>0.35</v>
      </c>
      <c r="I20" s="15">
        <f t="shared" si="2"/>
        <v>1E-3</v>
      </c>
      <c r="J20" s="15">
        <f>ROUND(G20/640-1,2)</f>
        <v>0.06</v>
      </c>
    </row>
    <row r="21" spans="1:10" x14ac:dyDescent="0.25">
      <c r="A21" s="1" t="s">
        <v>16</v>
      </c>
      <c r="B21" s="1" t="s">
        <v>33</v>
      </c>
      <c r="C21" s="10"/>
      <c r="D21" s="10">
        <v>109</v>
      </c>
      <c r="E21" s="10">
        <v>27</v>
      </c>
      <c r="F21" s="10"/>
      <c r="G21" s="10">
        <f t="shared" si="0"/>
        <v>136</v>
      </c>
      <c r="H21" s="16">
        <f t="shared" si="1"/>
        <v>7.0000000000000007E-2</v>
      </c>
      <c r="I21" s="15">
        <f t="shared" si="2"/>
        <v>0</v>
      </c>
      <c r="J21" s="15">
        <f>ROUND(G21/118-1,2)</f>
        <v>0.15</v>
      </c>
    </row>
    <row r="22" spans="1:10" x14ac:dyDescent="0.25">
      <c r="A22" s="1" t="s">
        <v>16</v>
      </c>
      <c r="B22" s="1" t="s">
        <v>35</v>
      </c>
      <c r="C22" s="10"/>
      <c r="D22" s="10">
        <v>50</v>
      </c>
      <c r="E22" s="10"/>
      <c r="F22" s="10"/>
      <c r="G22" s="10">
        <f t="shared" si="0"/>
        <v>50</v>
      </c>
      <c r="H22" s="16">
        <f t="shared" si="1"/>
        <v>0.03</v>
      </c>
      <c r="I22" s="15">
        <f t="shared" si="2"/>
        <v>0</v>
      </c>
      <c r="J22" s="15">
        <f>ROUND(G22/290-1,2)</f>
        <v>-0.83</v>
      </c>
    </row>
    <row r="23" spans="1:10" x14ac:dyDescent="0.25">
      <c r="A23" s="1" t="s">
        <v>16</v>
      </c>
      <c r="B23" s="1" t="s">
        <v>43</v>
      </c>
      <c r="C23" s="10"/>
      <c r="D23" s="10"/>
      <c r="E23" s="10">
        <v>660</v>
      </c>
      <c r="F23" s="10"/>
      <c r="G23" s="10">
        <f t="shared" si="0"/>
        <v>660</v>
      </c>
      <c r="H23" s="16">
        <f t="shared" si="1"/>
        <v>0.34</v>
      </c>
      <c r="I23" s="15">
        <f t="shared" si="2"/>
        <v>1E-3</v>
      </c>
      <c r="J23" s="15">
        <f>ROUND(G23/3268-1,2)</f>
        <v>-0.8</v>
      </c>
    </row>
    <row r="24" spans="1:10" x14ac:dyDescent="0.25">
      <c r="A24" s="1" t="s">
        <v>16</v>
      </c>
      <c r="B24" s="1" t="s">
        <v>38</v>
      </c>
      <c r="C24" s="10"/>
      <c r="D24" s="10"/>
      <c r="E24" s="10">
        <v>52800</v>
      </c>
      <c r="F24" s="10"/>
      <c r="G24" s="10">
        <f t="shared" si="0"/>
        <v>52800</v>
      </c>
      <c r="H24" s="16">
        <f t="shared" si="1"/>
        <v>27.44</v>
      </c>
      <c r="I24" s="15">
        <f t="shared" si="2"/>
        <v>6.8000000000000005E-2</v>
      </c>
      <c r="J24" s="15">
        <f>ROUND(G24/53375-1,2)</f>
        <v>-0.01</v>
      </c>
    </row>
    <row r="25" spans="1:10" x14ac:dyDescent="0.25">
      <c r="A25" s="1" t="s">
        <v>16</v>
      </c>
      <c r="B25" s="1" t="s">
        <v>39</v>
      </c>
      <c r="C25" s="10"/>
      <c r="D25" s="10"/>
      <c r="E25" s="10">
        <v>7940</v>
      </c>
      <c r="F25" s="10"/>
      <c r="G25" s="10">
        <f t="shared" si="0"/>
        <v>7940</v>
      </c>
      <c r="H25" s="16">
        <f t="shared" si="1"/>
        <v>4.13</v>
      </c>
      <c r="I25" s="15">
        <f t="shared" si="2"/>
        <v>0.01</v>
      </c>
      <c r="J25" s="15">
        <f>ROUND(G25/14090-1,2)</f>
        <v>-0.44</v>
      </c>
    </row>
    <row r="26" spans="1:10" x14ac:dyDescent="0.25">
      <c r="A26" s="1" t="s">
        <v>16</v>
      </c>
      <c r="B26" s="1" t="s">
        <v>40</v>
      </c>
      <c r="C26" s="10"/>
      <c r="D26" s="10"/>
      <c r="E26" s="10">
        <v>28580</v>
      </c>
      <c r="F26" s="10"/>
      <c r="G26" s="10">
        <f t="shared" si="0"/>
        <v>28580</v>
      </c>
      <c r="H26" s="16">
        <f t="shared" si="1"/>
        <v>14.85</v>
      </c>
      <c r="I26" s="15">
        <f t="shared" si="2"/>
        <v>3.6999999999999998E-2</v>
      </c>
      <c r="J26" s="15">
        <f>ROUND(G26/25170-1,2)</f>
        <v>0.14000000000000001</v>
      </c>
    </row>
    <row r="27" spans="1:10" x14ac:dyDescent="0.25">
      <c r="A27" s="1" t="s">
        <v>16</v>
      </c>
      <c r="B27" s="1" t="s">
        <v>41</v>
      </c>
      <c r="C27" s="10"/>
      <c r="D27" s="10"/>
      <c r="E27" s="10">
        <v>38400</v>
      </c>
      <c r="F27" s="10"/>
      <c r="G27" s="10">
        <f t="shared" si="0"/>
        <v>38400</v>
      </c>
      <c r="H27" s="16">
        <f t="shared" si="1"/>
        <v>19.96</v>
      </c>
      <c r="I27" s="15">
        <f t="shared" si="2"/>
        <v>4.9000000000000002E-2</v>
      </c>
      <c r="J27" s="15">
        <f>ROUND(G27/32860-1,2)</f>
        <v>0.17</v>
      </c>
    </row>
    <row r="28" spans="1:10" x14ac:dyDescent="0.25">
      <c r="A28" s="1" t="s">
        <v>16</v>
      </c>
      <c r="B28" s="1" t="s">
        <v>34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ROUND(G28/1500-1,2)</f>
        <v>-1</v>
      </c>
    </row>
    <row r="29" spans="1:10" x14ac:dyDescent="0.25">
      <c r="A29" s="1" t="s">
        <v>16</v>
      </c>
      <c r="B29" s="1" t="s">
        <v>36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ROUND(G29/3881-1,2)</f>
        <v>-1</v>
      </c>
    </row>
    <row r="30" spans="1:10" x14ac:dyDescent="0.25">
      <c r="A30" s="1" t="s">
        <v>16</v>
      </c>
      <c r="B30" s="1" t="s">
        <v>31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/>
    </row>
    <row r="31" spans="1:10" x14ac:dyDescent="0.25">
      <c r="A31" s="1" t="s">
        <v>16</v>
      </c>
      <c r="B31" s="1" t="s">
        <v>23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ROUND(G31/169600-1,2)</f>
        <v>-1</v>
      </c>
    </row>
    <row r="32" spans="1:10" x14ac:dyDescent="0.25">
      <c r="A32" s="1" t="s">
        <v>16</v>
      </c>
      <c r="B32" s="1" t="s">
        <v>17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>
        <f>ROUND(G32/60-1,2)</f>
        <v>-1</v>
      </c>
    </row>
    <row r="33" spans="1:10" x14ac:dyDescent="0.25">
      <c r="A33" s="1" t="s">
        <v>16</v>
      </c>
      <c r="B33" s="1" t="s">
        <v>42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/>
    </row>
    <row r="34" spans="1:10" x14ac:dyDescent="0.25">
      <c r="A34" s="1" t="s">
        <v>16</v>
      </c>
      <c r="B34" s="1" t="s">
        <v>90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44</v>
      </c>
      <c r="B35" s="1" t="s">
        <v>45</v>
      </c>
      <c r="C35" s="10">
        <v>153990</v>
      </c>
      <c r="D35" s="10">
        <v>1125</v>
      </c>
      <c r="E35" s="10"/>
      <c r="F35" s="10"/>
      <c r="G35" s="10">
        <f t="shared" si="0"/>
        <v>155115</v>
      </c>
      <c r="H35" s="16">
        <f t="shared" si="1"/>
        <v>80.62</v>
      </c>
      <c r="I35" s="15">
        <f t="shared" si="2"/>
        <v>0.19900000000000001</v>
      </c>
      <c r="J35" s="15">
        <f>ROUND(G35/153030-1,2)</f>
        <v>0.01</v>
      </c>
    </row>
    <row r="36" spans="1:10" x14ac:dyDescent="0.25">
      <c r="A36" s="1" t="s">
        <v>44</v>
      </c>
      <c r="B36" s="1" t="s">
        <v>47</v>
      </c>
      <c r="C36" s="10"/>
      <c r="D36" s="10"/>
      <c r="E36" s="10"/>
      <c r="F36" s="10">
        <v>3220</v>
      </c>
      <c r="G36" s="10">
        <f t="shared" si="0"/>
        <v>3220</v>
      </c>
      <c r="H36" s="16">
        <f t="shared" si="1"/>
        <v>1.67</v>
      </c>
      <c r="I36" s="15">
        <f t="shared" si="2"/>
        <v>4.0000000000000001E-3</v>
      </c>
      <c r="J36" s="15"/>
    </row>
    <row r="37" spans="1:10" x14ac:dyDescent="0.25">
      <c r="A37" s="1" t="s">
        <v>44</v>
      </c>
      <c r="B37" s="1" t="s">
        <v>46</v>
      </c>
      <c r="C37" s="10"/>
      <c r="D37" s="10"/>
      <c r="E37" s="10">
        <v>52940</v>
      </c>
      <c r="F37" s="10"/>
      <c r="G37" s="10">
        <f t="shared" si="0"/>
        <v>52940</v>
      </c>
      <c r="H37" s="16">
        <f t="shared" si="1"/>
        <v>27.52</v>
      </c>
      <c r="I37" s="15">
        <f t="shared" si="2"/>
        <v>6.8000000000000005E-2</v>
      </c>
      <c r="J37" s="15">
        <f>ROUND(G37/58260-1,2)</f>
        <v>-0.09</v>
      </c>
    </row>
    <row r="38" spans="1:10" x14ac:dyDescent="0.25">
      <c r="A38" s="27" t="s">
        <v>12</v>
      </c>
      <c r="B38" s="27"/>
      <c r="C38" s="11">
        <f t="shared" ref="C38:H38" si="3">SUM(C8:C37)</f>
        <v>577830</v>
      </c>
      <c r="D38" s="11">
        <f t="shared" si="3"/>
        <v>1284</v>
      </c>
      <c r="E38" s="11">
        <f t="shared" si="3"/>
        <v>191012</v>
      </c>
      <c r="F38" s="11">
        <f t="shared" si="3"/>
        <v>8380</v>
      </c>
      <c r="G38" s="11">
        <f t="shared" si="3"/>
        <v>778506</v>
      </c>
      <c r="H38" s="14">
        <f t="shared" si="3"/>
        <v>404.59999999999997</v>
      </c>
      <c r="I38" s="17"/>
      <c r="J38" s="17"/>
    </row>
    <row r="39" spans="1:10" x14ac:dyDescent="0.25">
      <c r="A39" s="27" t="s">
        <v>14</v>
      </c>
      <c r="B39" s="27"/>
      <c r="C39" s="12">
        <f>ROUND(C38/G38,2)</f>
        <v>0.74</v>
      </c>
      <c r="D39" s="12">
        <f>ROUND(D38/G38,2)</f>
        <v>0</v>
      </c>
      <c r="E39" s="12">
        <f>ROUND(E38/G38,2)</f>
        <v>0.25</v>
      </c>
      <c r="F39" s="12">
        <f>ROUND(F38/G38,2)</f>
        <v>0.01</v>
      </c>
      <c r="G39" s="13"/>
      <c r="H39" s="13"/>
      <c r="I39" s="17"/>
      <c r="J39" s="17"/>
    </row>
    <row r="40" spans="1:10" x14ac:dyDescent="0.25">
      <c r="A40" s="2" t="s">
        <v>52</v>
      </c>
      <c r="B40" s="2"/>
      <c r="C40" s="13"/>
      <c r="D40" s="13"/>
      <c r="E40" s="13"/>
      <c r="F40" s="13"/>
      <c r="G40" s="13"/>
      <c r="H40" s="13"/>
      <c r="I40" s="17"/>
      <c r="J40" s="17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C42" s="8"/>
      <c r="D42" s="8"/>
      <c r="E42" s="8"/>
      <c r="F42" s="8"/>
      <c r="G42" s="8"/>
      <c r="H42" s="8"/>
      <c r="I42" s="9"/>
      <c r="J42" s="9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A44" s="27" t="s">
        <v>53</v>
      </c>
      <c r="B44" s="27"/>
      <c r="C44" s="11" t="s">
        <v>8</v>
      </c>
      <c r="D44" s="11" t="s">
        <v>9</v>
      </c>
      <c r="E44" s="11" t="s">
        <v>10</v>
      </c>
      <c r="F44" s="11" t="s">
        <v>11</v>
      </c>
      <c r="G44" s="11" t="s">
        <v>12</v>
      </c>
      <c r="H44" s="14" t="s">
        <v>13</v>
      </c>
      <c r="I44" s="17"/>
      <c r="J44" s="17"/>
    </row>
    <row r="45" spans="1:10" x14ac:dyDescent="0.25">
      <c r="A45" s="22" t="s">
        <v>54</v>
      </c>
      <c r="B45" s="22"/>
      <c r="C45" s="10">
        <v>423840</v>
      </c>
      <c r="D45" s="10">
        <v>159</v>
      </c>
      <c r="E45" s="10">
        <v>138072</v>
      </c>
      <c r="F45" s="10">
        <v>5160</v>
      </c>
      <c r="G45" s="10">
        <f>SUM(C45:F45)</f>
        <v>567231</v>
      </c>
      <c r="H45" s="16">
        <f>ROUND(G45/1924,2)</f>
        <v>294.82</v>
      </c>
      <c r="I45" s="9"/>
      <c r="J45" s="9"/>
    </row>
    <row r="46" spans="1:10" x14ac:dyDescent="0.25">
      <c r="A46" s="22" t="s">
        <v>55</v>
      </c>
      <c r="B46" s="22"/>
      <c r="C46" s="10">
        <v>153990</v>
      </c>
      <c r="D46" s="10">
        <v>1125</v>
      </c>
      <c r="E46" s="10">
        <v>52940</v>
      </c>
      <c r="F46" s="10">
        <v>3220</v>
      </c>
      <c r="G46" s="10">
        <f>SUM(C46:F46)</f>
        <v>211275</v>
      </c>
      <c r="H46" s="16">
        <f>ROUND(G46/1924,2)</f>
        <v>109.81</v>
      </c>
      <c r="I46" s="9"/>
      <c r="J46" s="9"/>
    </row>
    <row r="47" spans="1:10" x14ac:dyDescent="0.25">
      <c r="A47" s="22" t="s">
        <v>56</v>
      </c>
      <c r="B47" s="22"/>
      <c r="C47" s="10"/>
      <c r="D47" s="10"/>
      <c r="E47" s="10"/>
      <c r="F47" s="10"/>
      <c r="G47" s="10">
        <f>SUM(C47:F47)</f>
        <v>0</v>
      </c>
      <c r="H47" s="16">
        <f>ROUND(G47/1924,2)</f>
        <v>0</v>
      </c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A52" s="27" t="s">
        <v>57</v>
      </c>
      <c r="B52" s="27"/>
      <c r="C52" s="14" t="s">
        <v>2</v>
      </c>
      <c r="D52" s="14">
        <v>2023</v>
      </c>
      <c r="E52" s="14" t="s">
        <v>59</v>
      </c>
      <c r="F52" s="13"/>
      <c r="G52" s="14" t="s">
        <v>60</v>
      </c>
      <c r="H52" s="14" t="s">
        <v>2</v>
      </c>
      <c r="I52" s="12" t="s">
        <v>61</v>
      </c>
      <c r="J52" s="12" t="s">
        <v>59</v>
      </c>
    </row>
    <row r="53" spans="1:10" x14ac:dyDescent="0.25">
      <c r="A53" s="22" t="s">
        <v>58</v>
      </c>
      <c r="B53" s="22"/>
      <c r="C53" s="15">
        <f>ROUND(0.7923, 4)</f>
        <v>0.7923</v>
      </c>
      <c r="D53" s="15">
        <f>ROUND(0.792, 4)</f>
        <v>0.79200000000000004</v>
      </c>
      <c r="E53" s="15">
        <f>ROUND(0.777, 4)</f>
        <v>0.77700000000000002</v>
      </c>
      <c r="F53" s="8"/>
      <c r="G53" s="14" t="s">
        <v>62</v>
      </c>
      <c r="H53" s="28" t="s">
        <v>63</v>
      </c>
      <c r="I53" s="25" t="s">
        <v>64</v>
      </c>
      <c r="J53" s="25" t="s">
        <v>65</v>
      </c>
    </row>
    <row r="54" spans="1:10" x14ac:dyDescent="0.25">
      <c r="A54" s="22" t="s">
        <v>66</v>
      </c>
      <c r="B54" s="22"/>
      <c r="C54" s="15">
        <f>ROUND(0.7809, 4)</f>
        <v>0.78090000000000004</v>
      </c>
      <c r="D54" s="15">
        <f>ROUND(0.7807, 4)</f>
        <v>0.78069999999999995</v>
      </c>
      <c r="E54" s="15">
        <f>ROUND(0.7608, 4)</f>
        <v>0.76080000000000003</v>
      </c>
      <c r="F54" s="8"/>
      <c r="G54" s="14" t="s">
        <v>67</v>
      </c>
      <c r="H54" s="29"/>
      <c r="I54" s="26"/>
      <c r="J54" s="26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C56" s="8"/>
      <c r="D56" s="8"/>
      <c r="E56" s="8"/>
      <c r="F56" s="8"/>
      <c r="G56" s="8"/>
      <c r="H56" s="8"/>
      <c r="I56" s="9"/>
      <c r="J56" s="9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A58" s="27" t="s">
        <v>68</v>
      </c>
      <c r="B58" s="27"/>
      <c r="C58" s="14" t="s">
        <v>2</v>
      </c>
      <c r="D58" s="14" t="s">
        <v>345</v>
      </c>
      <c r="E58" s="14" t="s">
        <v>70</v>
      </c>
      <c r="F58" s="14" t="s">
        <v>71</v>
      </c>
      <c r="G58" s="14" t="s">
        <v>72</v>
      </c>
      <c r="H58" s="13"/>
      <c r="I58" s="17"/>
      <c r="J58" s="17"/>
    </row>
    <row r="59" spans="1:10" x14ac:dyDescent="0.25">
      <c r="A59" s="22" t="s">
        <v>73</v>
      </c>
      <c r="B59" s="22"/>
      <c r="C59" s="16">
        <v>80.62</v>
      </c>
      <c r="D59" s="16">
        <v>85.02</v>
      </c>
      <c r="E59" s="16">
        <v>92.53</v>
      </c>
      <c r="F59" s="16">
        <v>56.06</v>
      </c>
      <c r="G59" s="16">
        <f>12/11*C59</f>
        <v>87.949090909090913</v>
      </c>
      <c r="H59" s="8"/>
      <c r="I59" s="9"/>
      <c r="J59" s="9"/>
    </row>
    <row r="60" spans="1:10" x14ac:dyDescent="0.25">
      <c r="A60" s="22" t="s">
        <v>74</v>
      </c>
      <c r="B60" s="22"/>
      <c r="C60" s="16">
        <v>84.96</v>
      </c>
      <c r="D60" s="16">
        <v>84.23</v>
      </c>
      <c r="E60" s="16">
        <v>61.98</v>
      </c>
      <c r="F60" s="16">
        <v>64.09</v>
      </c>
      <c r="G60" s="16">
        <f>12/11*C60</f>
        <v>92.683636363636353</v>
      </c>
      <c r="H60" s="8"/>
      <c r="I60" s="9"/>
      <c r="J60" s="9"/>
    </row>
    <row r="61" spans="1:10" x14ac:dyDescent="0.25">
      <c r="A61" s="22" t="s">
        <v>75</v>
      </c>
      <c r="B61" s="22"/>
      <c r="C61" s="16">
        <v>294.82</v>
      </c>
      <c r="D61" s="16">
        <v>409.28</v>
      </c>
      <c r="E61" s="16">
        <v>291.51</v>
      </c>
      <c r="F61" s="16">
        <v>284.45</v>
      </c>
      <c r="G61" s="16">
        <f>12/11*C61</f>
        <v>321.62181818181813</v>
      </c>
      <c r="H61" s="8"/>
      <c r="I61" s="9"/>
      <c r="J61" s="9"/>
    </row>
    <row r="62" spans="1:10" x14ac:dyDescent="0.25">
      <c r="A62" s="22" t="s">
        <v>76</v>
      </c>
      <c r="B62" s="22"/>
      <c r="C62" s="16">
        <v>109.81</v>
      </c>
      <c r="D62" s="16">
        <v>117.78</v>
      </c>
      <c r="E62" s="16">
        <v>116.46</v>
      </c>
      <c r="F62" s="16">
        <v>79.959999999999994</v>
      </c>
      <c r="G62" s="16">
        <f>12/11*C62</f>
        <v>119.79272727272726</v>
      </c>
      <c r="H62" s="8"/>
      <c r="I62" s="9"/>
      <c r="J62" s="9"/>
    </row>
    <row r="63" spans="1:10" x14ac:dyDescent="0.25">
      <c r="C63" s="8"/>
      <c r="D63" s="8"/>
      <c r="E63" s="8"/>
      <c r="F63" s="8"/>
      <c r="G63" s="8"/>
      <c r="H63" s="8"/>
      <c r="I63" s="9"/>
      <c r="J63" s="9"/>
    </row>
    <row r="64" spans="1:10" x14ac:dyDescent="0.25"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23" t="s">
        <v>60</v>
      </c>
      <c r="B65" s="24"/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77</v>
      </c>
      <c r="B66" s="1" t="s">
        <v>346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70</v>
      </c>
      <c r="B67" s="1" t="s">
        <v>79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71</v>
      </c>
      <c r="B68" s="1" t="s">
        <v>80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72</v>
      </c>
      <c r="B69" s="1" t="s">
        <v>81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</sheetData>
  <mergeCells count="19">
    <mergeCell ref="C7:G7"/>
    <mergeCell ref="A38:B38"/>
    <mergeCell ref="A39:B39"/>
    <mergeCell ref="A44:B44"/>
    <mergeCell ref="A45:B45"/>
    <mergeCell ref="J53:J54"/>
    <mergeCell ref="A54:B54"/>
    <mergeCell ref="A58:B58"/>
    <mergeCell ref="A59:B59"/>
    <mergeCell ref="A46:B46"/>
    <mergeCell ref="A47:B47"/>
    <mergeCell ref="A52:B52"/>
    <mergeCell ref="A53:B53"/>
    <mergeCell ref="H53:H54"/>
    <mergeCell ref="A60:B60"/>
    <mergeCell ref="A61:B61"/>
    <mergeCell ref="A62:B62"/>
    <mergeCell ref="A65:B65"/>
    <mergeCell ref="I53:I54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2:J73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4.28515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347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846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29</v>
      </c>
      <c r="F9" s="10"/>
      <c r="G9" s="10">
        <f t="shared" ref="G9:G39" si="0">SUM(C9:F9)</f>
        <v>29</v>
      </c>
      <c r="H9" s="16">
        <f t="shared" ref="H9:H39" si="1">ROUND(G9/846,2)</f>
        <v>0.03</v>
      </c>
      <c r="I9" s="15">
        <f t="shared" ref="I9:I39" si="2">ROUND(G9/$G$40,3)</f>
        <v>0</v>
      </c>
      <c r="J9" s="15"/>
    </row>
    <row r="10" spans="1:10" x14ac:dyDescent="0.25">
      <c r="A10" s="1" t="s">
        <v>16</v>
      </c>
      <c r="B10" s="1" t="s">
        <v>18</v>
      </c>
      <c r="C10" s="10"/>
      <c r="D10" s="10"/>
      <c r="E10" s="10">
        <v>3185</v>
      </c>
      <c r="F10" s="10"/>
      <c r="G10" s="10">
        <f t="shared" si="0"/>
        <v>3185</v>
      </c>
      <c r="H10" s="16">
        <f t="shared" si="1"/>
        <v>3.76</v>
      </c>
      <c r="I10" s="15">
        <f t="shared" si="2"/>
        <v>8.9999999999999993E-3</v>
      </c>
      <c r="J10" s="15"/>
    </row>
    <row r="11" spans="1:10" x14ac:dyDescent="0.25">
      <c r="A11" s="1" t="s">
        <v>16</v>
      </c>
      <c r="B11" s="1" t="s">
        <v>19</v>
      </c>
      <c r="C11" s="10">
        <v>29860</v>
      </c>
      <c r="D11" s="10"/>
      <c r="E11" s="10">
        <v>5717</v>
      </c>
      <c r="F11" s="10"/>
      <c r="G11" s="10">
        <f t="shared" si="0"/>
        <v>35577</v>
      </c>
      <c r="H11" s="16">
        <f t="shared" si="1"/>
        <v>42.05</v>
      </c>
      <c r="I11" s="15">
        <f t="shared" si="2"/>
        <v>9.9000000000000005E-2</v>
      </c>
      <c r="J11" s="15">
        <f>ROUND(G11/29598.71-1,2)</f>
        <v>0.2</v>
      </c>
    </row>
    <row r="12" spans="1:10" x14ac:dyDescent="0.25">
      <c r="A12" s="1" t="s">
        <v>16</v>
      </c>
      <c r="B12" s="1" t="s">
        <v>20</v>
      </c>
      <c r="C12" s="10">
        <v>40415</v>
      </c>
      <c r="D12" s="10"/>
      <c r="E12" s="10"/>
      <c r="F12" s="10"/>
      <c r="G12" s="10">
        <f t="shared" si="0"/>
        <v>40415</v>
      </c>
      <c r="H12" s="16">
        <f t="shared" si="1"/>
        <v>47.77</v>
      </c>
      <c r="I12" s="15">
        <f t="shared" si="2"/>
        <v>0.112</v>
      </c>
      <c r="J12" s="15">
        <f>ROUND(G12/38555-1,2)</f>
        <v>0.05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88</v>
      </c>
      <c r="F13" s="10"/>
      <c r="G13" s="10">
        <f t="shared" si="0"/>
        <v>88</v>
      </c>
      <c r="H13" s="16">
        <f t="shared" si="1"/>
        <v>0.1</v>
      </c>
      <c r="I13" s="15">
        <f t="shared" si="2"/>
        <v>0</v>
      </c>
      <c r="J13" s="15">
        <f>ROUND(G13/25.96-1,2)</f>
        <v>2.39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517</v>
      </c>
      <c r="F14" s="10"/>
      <c r="G14" s="10">
        <f t="shared" si="0"/>
        <v>517</v>
      </c>
      <c r="H14" s="16">
        <f t="shared" si="1"/>
        <v>0.61</v>
      </c>
      <c r="I14" s="15">
        <f t="shared" si="2"/>
        <v>1E-3</v>
      </c>
      <c r="J14" s="15">
        <f>ROUND(G14/312.5-1,2)</f>
        <v>0.65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25342</v>
      </c>
      <c r="F15" s="10"/>
      <c r="G15" s="10">
        <f t="shared" si="0"/>
        <v>25342</v>
      </c>
      <c r="H15" s="16">
        <f t="shared" si="1"/>
        <v>29.96</v>
      </c>
      <c r="I15" s="15">
        <f t="shared" si="2"/>
        <v>7.0000000000000007E-2</v>
      </c>
      <c r="J15" s="15">
        <f>ROUND(G15/10047.45-1,2)</f>
        <v>1.52</v>
      </c>
    </row>
    <row r="16" spans="1:10" x14ac:dyDescent="0.25">
      <c r="A16" s="1" t="s">
        <v>16</v>
      </c>
      <c r="B16" s="1" t="s">
        <v>24</v>
      </c>
      <c r="C16" s="10">
        <v>29930</v>
      </c>
      <c r="D16" s="10"/>
      <c r="E16" s="10">
        <v>16181</v>
      </c>
      <c r="F16" s="10"/>
      <c r="G16" s="10">
        <f t="shared" si="0"/>
        <v>46111</v>
      </c>
      <c r="H16" s="16">
        <f t="shared" si="1"/>
        <v>54.5</v>
      </c>
      <c r="I16" s="15">
        <f t="shared" si="2"/>
        <v>0.128</v>
      </c>
      <c r="J16" s="15">
        <f>ROUND(G16/31599.57-1,2)</f>
        <v>0.46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1703</v>
      </c>
      <c r="F17" s="10"/>
      <c r="G17" s="10">
        <f t="shared" si="0"/>
        <v>1703</v>
      </c>
      <c r="H17" s="16">
        <f t="shared" si="1"/>
        <v>2.0099999999999998</v>
      </c>
      <c r="I17" s="15">
        <f t="shared" si="2"/>
        <v>5.0000000000000001E-3</v>
      </c>
      <c r="J17" s="15"/>
    </row>
    <row r="18" spans="1:10" x14ac:dyDescent="0.25">
      <c r="A18" s="1" t="s">
        <v>16</v>
      </c>
      <c r="B18" s="1" t="s">
        <v>26</v>
      </c>
      <c r="C18" s="10">
        <v>43110</v>
      </c>
      <c r="D18" s="10"/>
      <c r="E18" s="10"/>
      <c r="F18" s="10"/>
      <c r="G18" s="10">
        <f t="shared" si="0"/>
        <v>43110</v>
      </c>
      <c r="H18" s="16">
        <f t="shared" si="1"/>
        <v>50.96</v>
      </c>
      <c r="I18" s="15">
        <f t="shared" si="2"/>
        <v>0.12</v>
      </c>
      <c r="J18" s="15">
        <f>ROUND(G18/39780-1,2)</f>
        <v>0.08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208</v>
      </c>
      <c r="F19" s="10"/>
      <c r="G19" s="10">
        <f t="shared" si="0"/>
        <v>208</v>
      </c>
      <c r="H19" s="16">
        <f t="shared" si="1"/>
        <v>0.25</v>
      </c>
      <c r="I19" s="15">
        <f t="shared" si="2"/>
        <v>1E-3</v>
      </c>
      <c r="J19" s="15"/>
    </row>
    <row r="20" spans="1:10" x14ac:dyDescent="0.25">
      <c r="A20" s="1" t="s">
        <v>16</v>
      </c>
      <c r="B20" s="1" t="s">
        <v>28</v>
      </c>
      <c r="C20" s="10"/>
      <c r="D20" s="10"/>
      <c r="E20" s="10">
        <v>91</v>
      </c>
      <c r="F20" s="10"/>
      <c r="G20" s="10">
        <f t="shared" si="0"/>
        <v>91</v>
      </c>
      <c r="H20" s="16">
        <f t="shared" si="1"/>
        <v>0.11</v>
      </c>
      <c r="I20" s="15">
        <f t="shared" si="2"/>
        <v>0</v>
      </c>
      <c r="J20" s="15"/>
    </row>
    <row r="21" spans="1:10" x14ac:dyDescent="0.25">
      <c r="A21" s="1" t="s">
        <v>16</v>
      </c>
      <c r="B21" s="1" t="s">
        <v>29</v>
      </c>
      <c r="C21" s="10"/>
      <c r="D21" s="10"/>
      <c r="E21" s="10">
        <v>431</v>
      </c>
      <c r="F21" s="10"/>
      <c r="G21" s="10">
        <f t="shared" si="0"/>
        <v>431</v>
      </c>
      <c r="H21" s="16">
        <f t="shared" si="1"/>
        <v>0.51</v>
      </c>
      <c r="I21" s="15">
        <f t="shared" si="2"/>
        <v>1E-3</v>
      </c>
      <c r="J21" s="15">
        <f>ROUND(G21/859.52-1,2)</f>
        <v>-0.5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358</v>
      </c>
      <c r="F22" s="10"/>
      <c r="G22" s="10">
        <f t="shared" si="0"/>
        <v>358</v>
      </c>
      <c r="H22" s="16">
        <f t="shared" si="1"/>
        <v>0.42</v>
      </c>
      <c r="I22" s="15">
        <f t="shared" si="2"/>
        <v>1E-3</v>
      </c>
      <c r="J22" s="15">
        <f>ROUND(G22/192.07-1,2)</f>
        <v>0.86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128</v>
      </c>
      <c r="F23" s="10"/>
      <c r="G23" s="10">
        <f t="shared" si="0"/>
        <v>128</v>
      </c>
      <c r="H23" s="16">
        <f t="shared" si="1"/>
        <v>0.15</v>
      </c>
      <c r="I23" s="15">
        <f t="shared" si="2"/>
        <v>0</v>
      </c>
      <c r="J23" s="15">
        <f>ROUND(G23/27.47-1,2)</f>
        <v>3.66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423</v>
      </c>
      <c r="F24" s="10"/>
      <c r="G24" s="10">
        <f t="shared" si="0"/>
        <v>423</v>
      </c>
      <c r="H24" s="16">
        <f t="shared" si="1"/>
        <v>0.5</v>
      </c>
      <c r="I24" s="15">
        <f t="shared" si="2"/>
        <v>1E-3</v>
      </c>
      <c r="J24" s="15">
        <f>ROUND(G24/159.37-1,2)</f>
        <v>1.65</v>
      </c>
    </row>
    <row r="25" spans="1:10" x14ac:dyDescent="0.25">
      <c r="A25" s="1" t="s">
        <v>16</v>
      </c>
      <c r="B25" s="1" t="s">
        <v>33</v>
      </c>
      <c r="C25" s="10"/>
      <c r="D25" s="10"/>
      <c r="E25" s="10">
        <v>120</v>
      </c>
      <c r="F25" s="10"/>
      <c r="G25" s="10">
        <f t="shared" si="0"/>
        <v>120</v>
      </c>
      <c r="H25" s="16">
        <f t="shared" si="1"/>
        <v>0.14000000000000001</v>
      </c>
      <c r="I25" s="15">
        <f t="shared" si="2"/>
        <v>0</v>
      </c>
      <c r="J25" s="15"/>
    </row>
    <row r="26" spans="1:10" x14ac:dyDescent="0.25">
      <c r="A26" s="1" t="s">
        <v>16</v>
      </c>
      <c r="B26" s="1" t="s">
        <v>34</v>
      </c>
      <c r="C26" s="10"/>
      <c r="D26" s="10"/>
      <c r="E26" s="10">
        <v>445</v>
      </c>
      <c r="F26" s="10"/>
      <c r="G26" s="10">
        <f t="shared" si="0"/>
        <v>445</v>
      </c>
      <c r="H26" s="16">
        <f t="shared" si="1"/>
        <v>0.53</v>
      </c>
      <c r="I26" s="15">
        <f t="shared" si="2"/>
        <v>1E-3</v>
      </c>
      <c r="J26" s="15"/>
    </row>
    <row r="27" spans="1:10" x14ac:dyDescent="0.25">
      <c r="A27" s="1" t="s">
        <v>16</v>
      </c>
      <c r="B27" s="1" t="s">
        <v>35</v>
      </c>
      <c r="C27" s="10"/>
      <c r="D27" s="10"/>
      <c r="E27" s="10">
        <v>169</v>
      </c>
      <c r="F27" s="10"/>
      <c r="G27" s="10">
        <f t="shared" si="0"/>
        <v>169</v>
      </c>
      <c r="H27" s="16">
        <f t="shared" si="1"/>
        <v>0.2</v>
      </c>
      <c r="I27" s="15">
        <f t="shared" si="2"/>
        <v>0</v>
      </c>
      <c r="J27" s="15">
        <f>ROUND(G27/41.33-1,2)</f>
        <v>3.09</v>
      </c>
    </row>
    <row r="28" spans="1:10" x14ac:dyDescent="0.25">
      <c r="A28" s="1" t="s">
        <v>16</v>
      </c>
      <c r="B28" s="1" t="s">
        <v>36</v>
      </c>
      <c r="C28" s="10"/>
      <c r="D28" s="10"/>
      <c r="E28" s="10">
        <v>95</v>
      </c>
      <c r="F28" s="10"/>
      <c r="G28" s="10">
        <f t="shared" si="0"/>
        <v>95</v>
      </c>
      <c r="H28" s="16">
        <f t="shared" si="1"/>
        <v>0.11</v>
      </c>
      <c r="I28" s="15">
        <f t="shared" si="2"/>
        <v>0</v>
      </c>
      <c r="J28" s="15">
        <f>ROUND(G28/178.68-1,2)</f>
        <v>-0.47</v>
      </c>
    </row>
    <row r="29" spans="1:10" x14ac:dyDescent="0.25">
      <c r="A29" s="1" t="s">
        <v>16</v>
      </c>
      <c r="B29" s="1" t="s">
        <v>38</v>
      </c>
      <c r="C29" s="10"/>
      <c r="D29" s="10"/>
      <c r="E29" s="10">
        <v>29426</v>
      </c>
      <c r="F29" s="10"/>
      <c r="G29" s="10">
        <f t="shared" si="0"/>
        <v>29426</v>
      </c>
      <c r="H29" s="16">
        <f t="shared" si="1"/>
        <v>34.78</v>
      </c>
      <c r="I29" s="15">
        <f t="shared" si="2"/>
        <v>8.2000000000000003E-2</v>
      </c>
      <c r="J29" s="15">
        <f>ROUND(G29/9793.4-1,2)</f>
        <v>2</v>
      </c>
    </row>
    <row r="30" spans="1:10" x14ac:dyDescent="0.25">
      <c r="A30" s="1" t="s">
        <v>16</v>
      </c>
      <c r="B30" s="1" t="s">
        <v>39</v>
      </c>
      <c r="C30" s="10"/>
      <c r="D30" s="10"/>
      <c r="E30" s="10">
        <v>2472</v>
      </c>
      <c r="F30" s="10"/>
      <c r="G30" s="10">
        <f t="shared" si="0"/>
        <v>2472</v>
      </c>
      <c r="H30" s="16">
        <f t="shared" si="1"/>
        <v>2.92</v>
      </c>
      <c r="I30" s="15">
        <f t="shared" si="2"/>
        <v>7.0000000000000001E-3</v>
      </c>
      <c r="J30" s="15">
        <f>ROUND(G30/1159.17-1,2)</f>
        <v>1.1299999999999999</v>
      </c>
    </row>
    <row r="31" spans="1:10" x14ac:dyDescent="0.25">
      <c r="A31" s="1" t="s">
        <v>16</v>
      </c>
      <c r="B31" s="1" t="s">
        <v>40</v>
      </c>
      <c r="C31" s="10"/>
      <c r="D31" s="10"/>
      <c r="E31" s="10">
        <v>9789</v>
      </c>
      <c r="F31" s="10"/>
      <c r="G31" s="10">
        <f t="shared" si="0"/>
        <v>9789</v>
      </c>
      <c r="H31" s="16">
        <f t="shared" si="1"/>
        <v>11.57</v>
      </c>
      <c r="I31" s="15">
        <f t="shared" si="2"/>
        <v>2.7E-2</v>
      </c>
      <c r="J31" s="15">
        <f>ROUND(G31/5100.66-1,2)</f>
        <v>0.92</v>
      </c>
    </row>
    <row r="32" spans="1:10" x14ac:dyDescent="0.25">
      <c r="A32" s="1" t="s">
        <v>16</v>
      </c>
      <c r="B32" s="1" t="s">
        <v>41</v>
      </c>
      <c r="C32" s="10"/>
      <c r="D32" s="10"/>
      <c r="E32" s="10">
        <v>19713</v>
      </c>
      <c r="F32" s="10"/>
      <c r="G32" s="10">
        <f t="shared" si="0"/>
        <v>19713</v>
      </c>
      <c r="H32" s="16">
        <f t="shared" si="1"/>
        <v>23.3</v>
      </c>
      <c r="I32" s="15">
        <f t="shared" si="2"/>
        <v>5.5E-2</v>
      </c>
      <c r="J32" s="15">
        <f>ROUND(G32/3112.9-1,2)</f>
        <v>5.33</v>
      </c>
    </row>
    <row r="33" spans="1:10" x14ac:dyDescent="0.25">
      <c r="A33" s="1" t="s">
        <v>16</v>
      </c>
      <c r="B33" s="1" t="s">
        <v>42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ROUND(G33/22.79-1,2)</f>
        <v>-1</v>
      </c>
    </row>
    <row r="34" spans="1:10" x14ac:dyDescent="0.25">
      <c r="A34" s="1" t="s">
        <v>16</v>
      </c>
      <c r="B34" s="1" t="s">
        <v>37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>
        <f>ROUND(G34/1204.68-1,2)</f>
        <v>-1</v>
      </c>
    </row>
    <row r="35" spans="1:10" x14ac:dyDescent="0.25">
      <c r="A35" s="1" t="s">
        <v>44</v>
      </c>
      <c r="B35" s="1" t="s">
        <v>45</v>
      </c>
      <c r="C35" s="10">
        <v>78450</v>
      </c>
      <c r="D35" s="10"/>
      <c r="E35" s="10"/>
      <c r="F35" s="10"/>
      <c r="G35" s="10">
        <f t="shared" si="0"/>
        <v>78450</v>
      </c>
      <c r="H35" s="16">
        <f t="shared" si="1"/>
        <v>92.73</v>
      </c>
      <c r="I35" s="15">
        <f t="shared" si="2"/>
        <v>0.218</v>
      </c>
      <c r="J35" s="15">
        <f>ROUND(G35/72240-1,2)</f>
        <v>0.09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21318</v>
      </c>
      <c r="F36" s="10"/>
      <c r="G36" s="10">
        <f t="shared" si="0"/>
        <v>21318</v>
      </c>
      <c r="H36" s="16">
        <f t="shared" si="1"/>
        <v>25.2</v>
      </c>
      <c r="I36" s="15">
        <f t="shared" si="2"/>
        <v>5.8999999999999997E-2</v>
      </c>
      <c r="J36" s="15">
        <f>ROUND(G36/9159.01-1,2)</f>
        <v>1.33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48</v>
      </c>
      <c r="B38" s="1" t="s">
        <v>51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ROUND(G38/2-1,2)</f>
        <v>-1</v>
      </c>
    </row>
    <row r="39" spans="1:10" x14ac:dyDescent="0.25">
      <c r="A39" s="1" t="s">
        <v>48</v>
      </c>
      <c r="B39" s="1" t="s">
        <v>86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27" t="s">
        <v>12</v>
      </c>
      <c r="B40" s="27"/>
      <c r="C40" s="11">
        <f t="shared" ref="C40:H40" si="3">SUM(C8:C39)</f>
        <v>221765</v>
      </c>
      <c r="D40" s="11">
        <f t="shared" si="3"/>
        <v>0</v>
      </c>
      <c r="E40" s="11">
        <f t="shared" si="3"/>
        <v>137948</v>
      </c>
      <c r="F40" s="11">
        <f t="shared" si="3"/>
        <v>0</v>
      </c>
      <c r="G40" s="11">
        <f t="shared" si="3"/>
        <v>359713</v>
      </c>
      <c r="H40" s="14">
        <f t="shared" si="3"/>
        <v>425.17</v>
      </c>
      <c r="I40" s="17"/>
      <c r="J40" s="17"/>
    </row>
    <row r="41" spans="1:10" x14ac:dyDescent="0.25">
      <c r="A41" s="27" t="s">
        <v>14</v>
      </c>
      <c r="B41" s="27"/>
      <c r="C41" s="12">
        <f>ROUND(C40/G40,2)</f>
        <v>0.62</v>
      </c>
      <c r="D41" s="12">
        <f>ROUND(D40/G40,2)</f>
        <v>0</v>
      </c>
      <c r="E41" s="12">
        <f>ROUND(E40/G40,2)</f>
        <v>0.38</v>
      </c>
      <c r="F41" s="12">
        <f>ROUND(F40/G40,2)</f>
        <v>0</v>
      </c>
      <c r="G41" s="13"/>
      <c r="H41" s="13"/>
      <c r="I41" s="17"/>
      <c r="J41" s="17"/>
    </row>
    <row r="42" spans="1:10" x14ac:dyDescent="0.25">
      <c r="A42" s="2" t="s">
        <v>52</v>
      </c>
      <c r="B42" s="2"/>
      <c r="C42" s="13"/>
      <c r="D42" s="13"/>
      <c r="E42" s="13"/>
      <c r="F42" s="13"/>
      <c r="G42" s="13"/>
      <c r="H42" s="13"/>
      <c r="I42" s="17"/>
      <c r="J42" s="17"/>
    </row>
    <row r="43" spans="1:10" x14ac:dyDescent="0.25">
      <c r="C43" s="8"/>
      <c r="D43" s="8"/>
      <c r="E43" s="8"/>
      <c r="F43" s="8"/>
      <c r="G43" s="8"/>
      <c r="H43" s="8"/>
      <c r="I43" s="9"/>
      <c r="J43" s="9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A46" s="27" t="s">
        <v>53</v>
      </c>
      <c r="B46" s="27"/>
      <c r="C46" s="11" t="s">
        <v>8</v>
      </c>
      <c r="D46" s="11" t="s">
        <v>9</v>
      </c>
      <c r="E46" s="11" t="s">
        <v>10</v>
      </c>
      <c r="F46" s="11" t="s">
        <v>11</v>
      </c>
      <c r="G46" s="11" t="s">
        <v>12</v>
      </c>
      <c r="H46" s="14" t="s">
        <v>13</v>
      </c>
      <c r="I46" s="17"/>
      <c r="J46" s="17"/>
    </row>
    <row r="47" spans="1:10" x14ac:dyDescent="0.25">
      <c r="A47" s="22" t="s">
        <v>54</v>
      </c>
      <c r="B47" s="22"/>
      <c r="C47" s="10">
        <v>143315</v>
      </c>
      <c r="D47" s="10">
        <v>0</v>
      </c>
      <c r="E47" s="10">
        <v>116630</v>
      </c>
      <c r="F47" s="10">
        <v>0</v>
      </c>
      <c r="G47" s="10">
        <f>SUM(C47:F47)</f>
        <v>259945</v>
      </c>
      <c r="H47" s="16">
        <f>ROUND(G47/846,2)</f>
        <v>307.26</v>
      </c>
      <c r="I47" s="9"/>
      <c r="J47" s="9"/>
    </row>
    <row r="48" spans="1:10" x14ac:dyDescent="0.25">
      <c r="A48" s="22" t="s">
        <v>55</v>
      </c>
      <c r="B48" s="22"/>
      <c r="C48" s="10">
        <v>78450</v>
      </c>
      <c r="D48" s="10">
        <v>0</v>
      </c>
      <c r="E48" s="10">
        <v>21318</v>
      </c>
      <c r="F48" s="10">
        <v>0</v>
      </c>
      <c r="G48" s="10">
        <f>SUM(C48:F48)</f>
        <v>99768</v>
      </c>
      <c r="H48" s="16">
        <f>ROUND(G48/846,2)</f>
        <v>117.93</v>
      </c>
      <c r="I48" s="9"/>
      <c r="J48" s="9"/>
    </row>
    <row r="49" spans="1:10" x14ac:dyDescent="0.25">
      <c r="A49" s="22" t="s">
        <v>56</v>
      </c>
      <c r="B49" s="22"/>
      <c r="C49" s="10">
        <v>0</v>
      </c>
      <c r="D49" s="10">
        <v>0</v>
      </c>
      <c r="E49" s="10">
        <v>0</v>
      </c>
      <c r="F49" s="10">
        <v>0</v>
      </c>
      <c r="G49" s="10">
        <f>SUM(C49:F49)</f>
        <v>0</v>
      </c>
      <c r="H49" s="16">
        <f>ROUND(G49/846,2)</f>
        <v>0</v>
      </c>
      <c r="I49" s="9"/>
      <c r="J49" s="9"/>
    </row>
    <row r="50" spans="1:10" x14ac:dyDescent="0.25">
      <c r="C50" s="8"/>
      <c r="D50" s="8"/>
      <c r="E50" s="8"/>
      <c r="F50" s="8"/>
      <c r="G50" s="8"/>
      <c r="H50" s="8"/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A54" s="27" t="s">
        <v>57</v>
      </c>
      <c r="B54" s="27"/>
      <c r="C54" s="14" t="s">
        <v>2</v>
      </c>
      <c r="D54" s="14">
        <v>2023</v>
      </c>
      <c r="E54" s="14" t="s">
        <v>59</v>
      </c>
      <c r="F54" s="13"/>
      <c r="G54" s="14" t="s">
        <v>60</v>
      </c>
      <c r="H54" s="14" t="s">
        <v>2</v>
      </c>
      <c r="I54" s="12" t="s">
        <v>61</v>
      </c>
      <c r="J54" s="12" t="s">
        <v>59</v>
      </c>
    </row>
    <row r="55" spans="1:10" x14ac:dyDescent="0.25">
      <c r="A55" s="22" t="s">
        <v>58</v>
      </c>
      <c r="B55" s="22"/>
      <c r="C55" s="15">
        <f>ROUND(0.7581, 4)</f>
        <v>0.7581</v>
      </c>
      <c r="D55" s="15">
        <f>ROUND(0.6935, 4)</f>
        <v>0.69350000000000001</v>
      </c>
      <c r="E55" s="15">
        <f>ROUND(0.777, 4)</f>
        <v>0.77700000000000002</v>
      </c>
      <c r="F55" s="8"/>
      <c r="G55" s="14" t="s">
        <v>62</v>
      </c>
      <c r="H55" s="28" t="s">
        <v>63</v>
      </c>
      <c r="I55" s="25" t="s">
        <v>64</v>
      </c>
      <c r="J55" s="25" t="s">
        <v>65</v>
      </c>
    </row>
    <row r="56" spans="1:10" x14ac:dyDescent="0.25">
      <c r="A56" s="22" t="s">
        <v>66</v>
      </c>
      <c r="B56" s="22"/>
      <c r="C56" s="15">
        <f>ROUND(0.7185, 4)</f>
        <v>0.71850000000000003</v>
      </c>
      <c r="D56" s="15">
        <f>ROUND(0.6485, 4)</f>
        <v>0.64849999999999997</v>
      </c>
      <c r="E56" s="15">
        <f>ROUND(0.7608, 4)</f>
        <v>0.76080000000000003</v>
      </c>
      <c r="F56" s="8"/>
      <c r="G56" s="14" t="s">
        <v>67</v>
      </c>
      <c r="H56" s="29"/>
      <c r="I56" s="26"/>
      <c r="J56" s="26"/>
    </row>
    <row r="57" spans="1:10" x14ac:dyDescent="0.25">
      <c r="C57" s="8"/>
      <c r="D57" s="8"/>
      <c r="E57" s="8"/>
      <c r="F57" s="8"/>
      <c r="G57" s="8"/>
      <c r="H57" s="8"/>
      <c r="I57" s="9"/>
      <c r="J57" s="9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A60" s="27" t="s">
        <v>68</v>
      </c>
      <c r="B60" s="27"/>
      <c r="C60" s="14" t="s">
        <v>2</v>
      </c>
      <c r="D60" s="14" t="s">
        <v>348</v>
      </c>
      <c r="E60" s="14" t="s">
        <v>70</v>
      </c>
      <c r="F60" s="14" t="s">
        <v>71</v>
      </c>
      <c r="G60" s="14" t="s">
        <v>72</v>
      </c>
      <c r="H60" s="13"/>
      <c r="I60" s="17"/>
      <c r="J60" s="17"/>
    </row>
    <row r="61" spans="1:10" x14ac:dyDescent="0.25">
      <c r="A61" s="22" t="s">
        <v>73</v>
      </c>
      <c r="B61" s="22"/>
      <c r="C61" s="16">
        <v>92.73</v>
      </c>
      <c r="D61" s="16">
        <v>89.26</v>
      </c>
      <c r="E61" s="16">
        <v>92.53</v>
      </c>
      <c r="F61" s="16">
        <v>56.06</v>
      </c>
      <c r="G61" s="16">
        <f>12/11*C61</f>
        <v>101.16</v>
      </c>
      <c r="H61" s="8"/>
      <c r="I61" s="9"/>
      <c r="J61" s="9"/>
    </row>
    <row r="62" spans="1:10" x14ac:dyDescent="0.25">
      <c r="A62" s="22" t="s">
        <v>74</v>
      </c>
      <c r="B62" s="22"/>
      <c r="C62" s="16">
        <v>50.96</v>
      </c>
      <c r="D62" s="16">
        <v>47.44</v>
      </c>
      <c r="E62" s="16">
        <v>61.98</v>
      </c>
      <c r="F62" s="16">
        <v>64.09</v>
      </c>
      <c r="G62" s="16">
        <f>12/11*C62</f>
        <v>55.592727272727267</v>
      </c>
      <c r="H62" s="8"/>
      <c r="I62" s="9"/>
      <c r="J62" s="9"/>
    </row>
    <row r="63" spans="1:10" x14ac:dyDescent="0.25">
      <c r="A63" s="22" t="s">
        <v>75</v>
      </c>
      <c r="B63" s="22"/>
      <c r="C63" s="16">
        <v>307.26</v>
      </c>
      <c r="D63" s="16">
        <v>263.27999999999997</v>
      </c>
      <c r="E63" s="16">
        <v>291.51</v>
      </c>
      <c r="F63" s="16">
        <v>284.45</v>
      </c>
      <c r="G63" s="16">
        <f>12/11*C63</f>
        <v>335.19272727272721</v>
      </c>
      <c r="H63" s="8"/>
      <c r="I63" s="9"/>
      <c r="J63" s="9"/>
    </row>
    <row r="64" spans="1:10" x14ac:dyDescent="0.25">
      <c r="A64" s="22" t="s">
        <v>76</v>
      </c>
      <c r="B64" s="22"/>
      <c r="C64" s="16">
        <v>117.93</v>
      </c>
      <c r="D64" s="16">
        <v>110.06</v>
      </c>
      <c r="E64" s="16">
        <v>116.46</v>
      </c>
      <c r="F64" s="16">
        <v>79.959999999999994</v>
      </c>
      <c r="G64" s="16">
        <f>12/11*C64</f>
        <v>128.6509090909091</v>
      </c>
      <c r="H64" s="8"/>
      <c r="I64" s="9"/>
      <c r="J64" s="9"/>
    </row>
    <row r="65" spans="1:10" x14ac:dyDescent="0.25">
      <c r="C65" s="8"/>
      <c r="D65" s="8"/>
      <c r="E65" s="8"/>
      <c r="F65" s="8"/>
      <c r="G65" s="8"/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23" t="s">
        <v>60</v>
      </c>
      <c r="B67" s="24"/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3" t="s">
        <v>77</v>
      </c>
      <c r="B68" s="1" t="s">
        <v>349</v>
      </c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3" t="s">
        <v>70</v>
      </c>
      <c r="B69" s="1" t="s">
        <v>79</v>
      </c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71</v>
      </c>
      <c r="B70" s="1" t="s">
        <v>80</v>
      </c>
      <c r="C70" s="8"/>
      <c r="D70" s="8"/>
      <c r="E70" s="8"/>
      <c r="F70" s="8"/>
      <c r="G70" s="8"/>
      <c r="H70" s="8"/>
      <c r="I70" s="9"/>
      <c r="J70" s="9"/>
    </row>
    <row r="71" spans="1:10" x14ac:dyDescent="0.25">
      <c r="A71" s="3" t="s">
        <v>72</v>
      </c>
      <c r="B71" s="1" t="s">
        <v>81</v>
      </c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</sheetData>
  <mergeCells count="19">
    <mergeCell ref="C7:G7"/>
    <mergeCell ref="A40:B40"/>
    <mergeCell ref="A41:B41"/>
    <mergeCell ref="A46:B46"/>
    <mergeCell ref="A47:B47"/>
    <mergeCell ref="J55:J56"/>
    <mergeCell ref="A56:B56"/>
    <mergeCell ref="A60:B60"/>
    <mergeCell ref="A61:B61"/>
    <mergeCell ref="A48:B48"/>
    <mergeCell ref="A49:B49"/>
    <mergeCell ref="A54:B54"/>
    <mergeCell ref="A55:B55"/>
    <mergeCell ref="H55:H56"/>
    <mergeCell ref="A62:B62"/>
    <mergeCell ref="A63:B63"/>
    <mergeCell ref="A64:B64"/>
    <mergeCell ref="A67:B67"/>
    <mergeCell ref="I55:I56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2:J73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7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350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2127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46</v>
      </c>
      <c r="F9" s="10"/>
      <c r="G9" s="10">
        <f t="shared" ref="G9:G41" si="0">SUM(C9:F9)</f>
        <v>46</v>
      </c>
      <c r="H9" s="16">
        <f t="shared" ref="H9:H41" si="1">ROUND(G9/2127,2)</f>
        <v>0.02</v>
      </c>
      <c r="I9" s="15">
        <f t="shared" ref="I9:I41" si="2">ROUND(G9/$G$42,3)</f>
        <v>0</v>
      </c>
      <c r="J9" s="15">
        <f>ROUND(G9/155-1,2)</f>
        <v>-0.7</v>
      </c>
    </row>
    <row r="10" spans="1:10" x14ac:dyDescent="0.25">
      <c r="A10" s="1" t="s">
        <v>16</v>
      </c>
      <c r="B10" s="1" t="s">
        <v>19</v>
      </c>
      <c r="C10" s="10">
        <v>67530</v>
      </c>
      <c r="D10" s="10"/>
      <c r="E10" s="10">
        <v>8506</v>
      </c>
      <c r="F10" s="10">
        <v>380</v>
      </c>
      <c r="G10" s="10">
        <f t="shared" si="0"/>
        <v>76416</v>
      </c>
      <c r="H10" s="16">
        <f t="shared" si="1"/>
        <v>35.93</v>
      </c>
      <c r="I10" s="15">
        <f t="shared" si="2"/>
        <v>9.5000000000000001E-2</v>
      </c>
      <c r="J10" s="15">
        <f>ROUND(G10/94488.08-1,2)</f>
        <v>-0.19</v>
      </c>
    </row>
    <row r="11" spans="1:10" x14ac:dyDescent="0.25">
      <c r="A11" s="1" t="s">
        <v>16</v>
      </c>
      <c r="B11" s="1" t="s">
        <v>20</v>
      </c>
      <c r="C11" s="10">
        <v>87960</v>
      </c>
      <c r="D11" s="10"/>
      <c r="E11" s="10">
        <v>1202</v>
      </c>
      <c r="F11" s="10"/>
      <c r="G11" s="10">
        <f t="shared" si="0"/>
        <v>89162</v>
      </c>
      <c r="H11" s="16">
        <f t="shared" si="1"/>
        <v>41.92</v>
      </c>
      <c r="I11" s="15">
        <f t="shared" si="2"/>
        <v>0.111</v>
      </c>
      <c r="J11" s="15">
        <f>ROUND(G11/89395-1,2)</f>
        <v>0</v>
      </c>
    </row>
    <row r="12" spans="1:10" x14ac:dyDescent="0.25">
      <c r="A12" s="1" t="s">
        <v>16</v>
      </c>
      <c r="B12" s="1" t="s">
        <v>21</v>
      </c>
      <c r="C12" s="10"/>
      <c r="D12" s="10"/>
      <c r="E12" s="10">
        <v>190</v>
      </c>
      <c r="F12" s="10"/>
      <c r="G12" s="10">
        <f t="shared" si="0"/>
        <v>190</v>
      </c>
      <c r="H12" s="16">
        <f t="shared" si="1"/>
        <v>0.09</v>
      </c>
      <c r="I12" s="15">
        <f t="shared" si="2"/>
        <v>0</v>
      </c>
      <c r="J12" s="15">
        <f>ROUND(G12/695-1,2)</f>
        <v>-0.73</v>
      </c>
    </row>
    <row r="13" spans="1:10" x14ac:dyDescent="0.25">
      <c r="A13" s="1" t="s">
        <v>16</v>
      </c>
      <c r="B13" s="1" t="s">
        <v>22</v>
      </c>
      <c r="C13" s="10"/>
      <c r="D13" s="10"/>
      <c r="E13" s="10">
        <v>2356</v>
      </c>
      <c r="F13" s="10"/>
      <c r="G13" s="10">
        <f t="shared" si="0"/>
        <v>2356</v>
      </c>
      <c r="H13" s="16">
        <f t="shared" si="1"/>
        <v>1.1100000000000001</v>
      </c>
      <c r="I13" s="15">
        <f t="shared" si="2"/>
        <v>3.0000000000000001E-3</v>
      </c>
      <c r="J13" s="15">
        <f>ROUND(G13/3900-1,2)</f>
        <v>-0.4</v>
      </c>
    </row>
    <row r="14" spans="1:10" x14ac:dyDescent="0.25">
      <c r="A14" s="1" t="s">
        <v>16</v>
      </c>
      <c r="B14" s="1" t="s">
        <v>23</v>
      </c>
      <c r="C14" s="10"/>
      <c r="D14" s="10"/>
      <c r="E14" s="10">
        <v>59939</v>
      </c>
      <c r="F14" s="10"/>
      <c r="G14" s="10">
        <f t="shared" si="0"/>
        <v>59939</v>
      </c>
      <c r="H14" s="16">
        <f t="shared" si="1"/>
        <v>28.18</v>
      </c>
      <c r="I14" s="15">
        <f t="shared" si="2"/>
        <v>7.4999999999999997E-2</v>
      </c>
      <c r="J14" s="15">
        <f>ROUND(G14/117360.36-1,2)</f>
        <v>-0.49</v>
      </c>
    </row>
    <row r="15" spans="1:10" x14ac:dyDescent="0.25">
      <c r="A15" s="1" t="s">
        <v>16</v>
      </c>
      <c r="B15" s="1" t="s">
        <v>24</v>
      </c>
      <c r="C15" s="10">
        <v>75920</v>
      </c>
      <c r="D15" s="10"/>
      <c r="E15" s="10">
        <v>22098</v>
      </c>
      <c r="F15" s="10">
        <v>520</v>
      </c>
      <c r="G15" s="10">
        <f t="shared" si="0"/>
        <v>98538</v>
      </c>
      <c r="H15" s="16">
        <f t="shared" si="1"/>
        <v>46.33</v>
      </c>
      <c r="I15" s="15">
        <f t="shared" si="2"/>
        <v>0.123</v>
      </c>
      <c r="J15" s="15">
        <f>ROUND(G15/126572.45-1,2)</f>
        <v>-0.22</v>
      </c>
    </row>
    <row r="16" spans="1:10" x14ac:dyDescent="0.25">
      <c r="A16" s="1" t="s">
        <v>16</v>
      </c>
      <c r="B16" s="1" t="s">
        <v>25</v>
      </c>
      <c r="C16" s="10"/>
      <c r="D16" s="10"/>
      <c r="E16" s="10">
        <v>3445</v>
      </c>
      <c r="F16" s="10"/>
      <c r="G16" s="10">
        <f t="shared" si="0"/>
        <v>3445</v>
      </c>
      <c r="H16" s="16">
        <f t="shared" si="1"/>
        <v>1.62</v>
      </c>
      <c r="I16" s="15">
        <f t="shared" si="2"/>
        <v>4.0000000000000001E-3</v>
      </c>
      <c r="J16" s="15">
        <f>ROUND(G16/11190-1,2)</f>
        <v>-0.69</v>
      </c>
    </row>
    <row r="17" spans="1:10" x14ac:dyDescent="0.25">
      <c r="A17" s="1" t="s">
        <v>16</v>
      </c>
      <c r="B17" s="1" t="s">
        <v>26</v>
      </c>
      <c r="C17" s="10">
        <v>135780</v>
      </c>
      <c r="D17" s="10"/>
      <c r="E17" s="10"/>
      <c r="F17" s="10">
        <v>80</v>
      </c>
      <c r="G17" s="10">
        <f t="shared" si="0"/>
        <v>135860</v>
      </c>
      <c r="H17" s="16">
        <f t="shared" si="1"/>
        <v>63.87</v>
      </c>
      <c r="I17" s="15">
        <f t="shared" si="2"/>
        <v>0.16900000000000001</v>
      </c>
      <c r="J17" s="15">
        <f>ROUND(G17/115030-1,2)</f>
        <v>0.18</v>
      </c>
    </row>
    <row r="18" spans="1:10" x14ac:dyDescent="0.25">
      <c r="A18" s="1" t="s">
        <v>16</v>
      </c>
      <c r="B18" s="1" t="s">
        <v>27</v>
      </c>
      <c r="C18" s="10"/>
      <c r="D18" s="10"/>
      <c r="E18" s="10">
        <v>708</v>
      </c>
      <c r="F18" s="10"/>
      <c r="G18" s="10">
        <f t="shared" si="0"/>
        <v>708</v>
      </c>
      <c r="H18" s="16">
        <f t="shared" si="1"/>
        <v>0.33</v>
      </c>
      <c r="I18" s="15">
        <f t="shared" si="2"/>
        <v>1E-3</v>
      </c>
      <c r="J18" s="15">
        <f>ROUND(G18/1575-1,2)</f>
        <v>-0.55000000000000004</v>
      </c>
    </row>
    <row r="19" spans="1:10" x14ac:dyDescent="0.25">
      <c r="A19" s="1" t="s">
        <v>16</v>
      </c>
      <c r="B19" s="1" t="s">
        <v>28</v>
      </c>
      <c r="C19" s="10"/>
      <c r="D19" s="10"/>
      <c r="E19" s="10">
        <v>459</v>
      </c>
      <c r="F19" s="10"/>
      <c r="G19" s="10">
        <f t="shared" si="0"/>
        <v>459</v>
      </c>
      <c r="H19" s="16">
        <f t="shared" si="1"/>
        <v>0.22</v>
      </c>
      <c r="I19" s="15">
        <f t="shared" si="2"/>
        <v>1E-3</v>
      </c>
      <c r="J19" s="15">
        <f>ROUND(G19/912-1,2)</f>
        <v>-0.5</v>
      </c>
    </row>
    <row r="20" spans="1:10" x14ac:dyDescent="0.25">
      <c r="A20" s="1" t="s">
        <v>16</v>
      </c>
      <c r="B20" s="1" t="s">
        <v>42</v>
      </c>
      <c r="C20" s="10"/>
      <c r="D20" s="10"/>
      <c r="E20" s="10">
        <v>70</v>
      </c>
      <c r="F20" s="10"/>
      <c r="G20" s="10">
        <f t="shared" si="0"/>
        <v>70</v>
      </c>
      <c r="H20" s="16">
        <f t="shared" si="1"/>
        <v>0.03</v>
      </c>
      <c r="I20" s="15">
        <f t="shared" si="2"/>
        <v>0</v>
      </c>
      <c r="J20" s="15">
        <f>ROUND(G20/298.31-1,2)</f>
        <v>-0.77</v>
      </c>
    </row>
    <row r="21" spans="1:10" x14ac:dyDescent="0.25">
      <c r="A21" s="1" t="s">
        <v>16</v>
      </c>
      <c r="B21" s="1" t="s">
        <v>29</v>
      </c>
      <c r="C21" s="10"/>
      <c r="D21" s="10"/>
      <c r="E21" s="10">
        <v>1624</v>
      </c>
      <c r="F21" s="10"/>
      <c r="G21" s="10">
        <f t="shared" si="0"/>
        <v>1624</v>
      </c>
      <c r="H21" s="16">
        <f t="shared" si="1"/>
        <v>0.76</v>
      </c>
      <c r="I21" s="15">
        <f t="shared" si="2"/>
        <v>2E-3</v>
      </c>
      <c r="J21" s="15">
        <f>ROUND(G21/8321.61-1,2)</f>
        <v>-0.8</v>
      </c>
    </row>
    <row r="22" spans="1:10" x14ac:dyDescent="0.25">
      <c r="A22" s="1" t="s">
        <v>16</v>
      </c>
      <c r="B22" s="1" t="s">
        <v>30</v>
      </c>
      <c r="C22" s="10"/>
      <c r="D22" s="10"/>
      <c r="E22" s="10">
        <v>500</v>
      </c>
      <c r="F22" s="10"/>
      <c r="G22" s="10">
        <f t="shared" si="0"/>
        <v>500</v>
      </c>
      <c r="H22" s="16">
        <f t="shared" si="1"/>
        <v>0.24</v>
      </c>
      <c r="I22" s="15">
        <f t="shared" si="2"/>
        <v>1E-3</v>
      </c>
      <c r="J22" s="15">
        <f>ROUND(G22/1139-1,2)</f>
        <v>-0.56000000000000005</v>
      </c>
    </row>
    <row r="23" spans="1:10" x14ac:dyDescent="0.25">
      <c r="A23" s="1" t="s">
        <v>16</v>
      </c>
      <c r="B23" s="1" t="s">
        <v>31</v>
      </c>
      <c r="C23" s="10"/>
      <c r="D23" s="10"/>
      <c r="E23" s="10">
        <v>447</v>
      </c>
      <c r="F23" s="10"/>
      <c r="G23" s="10">
        <f t="shared" si="0"/>
        <v>447</v>
      </c>
      <c r="H23" s="16">
        <f t="shared" si="1"/>
        <v>0.21</v>
      </c>
      <c r="I23" s="15">
        <f t="shared" si="2"/>
        <v>1E-3</v>
      </c>
      <c r="J23" s="15">
        <f>ROUND(G23/387.14-1,2)</f>
        <v>0.15</v>
      </c>
    </row>
    <row r="24" spans="1:10" x14ac:dyDescent="0.25">
      <c r="A24" s="1" t="s">
        <v>16</v>
      </c>
      <c r="B24" s="1" t="s">
        <v>32</v>
      </c>
      <c r="C24" s="10"/>
      <c r="D24" s="10"/>
      <c r="E24" s="10">
        <v>1284</v>
      </c>
      <c r="F24" s="10"/>
      <c r="G24" s="10">
        <f t="shared" si="0"/>
        <v>1284</v>
      </c>
      <c r="H24" s="16">
        <f t="shared" si="1"/>
        <v>0.6</v>
      </c>
      <c r="I24" s="15">
        <f t="shared" si="2"/>
        <v>2E-3</v>
      </c>
      <c r="J24" s="15">
        <f>ROUND(G24/2340-1,2)</f>
        <v>-0.45</v>
      </c>
    </row>
    <row r="25" spans="1:10" x14ac:dyDescent="0.25">
      <c r="A25" s="1" t="s">
        <v>16</v>
      </c>
      <c r="B25" s="1" t="s">
        <v>33</v>
      </c>
      <c r="C25" s="10"/>
      <c r="D25" s="10"/>
      <c r="E25" s="10">
        <v>179</v>
      </c>
      <c r="F25" s="10"/>
      <c r="G25" s="10">
        <f t="shared" si="0"/>
        <v>179</v>
      </c>
      <c r="H25" s="16">
        <f t="shared" si="1"/>
        <v>0.08</v>
      </c>
      <c r="I25" s="15">
        <f t="shared" si="2"/>
        <v>0</v>
      </c>
      <c r="J25" s="15">
        <f>ROUND(G25/986-1,2)</f>
        <v>-0.82</v>
      </c>
    </row>
    <row r="26" spans="1:10" x14ac:dyDescent="0.25">
      <c r="A26" s="1" t="s">
        <v>16</v>
      </c>
      <c r="B26" s="1" t="s">
        <v>37</v>
      </c>
      <c r="C26" s="10"/>
      <c r="D26" s="10"/>
      <c r="E26" s="10">
        <v>2920</v>
      </c>
      <c r="F26" s="10"/>
      <c r="G26" s="10">
        <f t="shared" si="0"/>
        <v>2920</v>
      </c>
      <c r="H26" s="16">
        <f t="shared" si="1"/>
        <v>1.37</v>
      </c>
      <c r="I26" s="15">
        <f t="shared" si="2"/>
        <v>4.0000000000000001E-3</v>
      </c>
      <c r="J26" s="15">
        <f>ROUND(G26/12791.43-1,2)</f>
        <v>-0.77</v>
      </c>
    </row>
    <row r="27" spans="1:10" x14ac:dyDescent="0.25">
      <c r="A27" s="1" t="s">
        <v>16</v>
      </c>
      <c r="B27" s="1" t="s">
        <v>43</v>
      </c>
      <c r="C27" s="10"/>
      <c r="D27" s="10"/>
      <c r="E27" s="10">
        <v>2884</v>
      </c>
      <c r="F27" s="10"/>
      <c r="G27" s="10">
        <f t="shared" si="0"/>
        <v>2884</v>
      </c>
      <c r="H27" s="16">
        <f t="shared" si="1"/>
        <v>1.36</v>
      </c>
      <c r="I27" s="15">
        <f t="shared" si="2"/>
        <v>4.0000000000000001E-3</v>
      </c>
      <c r="J27" s="15">
        <f>ROUND(G27/18400-1,2)</f>
        <v>-0.84</v>
      </c>
    </row>
    <row r="28" spans="1:10" x14ac:dyDescent="0.25">
      <c r="A28" s="1" t="s">
        <v>16</v>
      </c>
      <c r="B28" s="1" t="s">
        <v>38</v>
      </c>
      <c r="C28" s="10"/>
      <c r="D28" s="10"/>
      <c r="E28" s="10">
        <v>57531</v>
      </c>
      <c r="F28" s="10"/>
      <c r="G28" s="10">
        <f t="shared" si="0"/>
        <v>57531</v>
      </c>
      <c r="H28" s="16">
        <f t="shared" si="1"/>
        <v>27.05</v>
      </c>
      <c r="I28" s="15">
        <f t="shared" si="2"/>
        <v>7.1999999999999995E-2</v>
      </c>
      <c r="J28" s="15">
        <f>ROUND(G28/100393.87-1,2)</f>
        <v>-0.43</v>
      </c>
    </row>
    <row r="29" spans="1:10" x14ac:dyDescent="0.25">
      <c r="A29" s="1" t="s">
        <v>16</v>
      </c>
      <c r="B29" s="1" t="s">
        <v>40</v>
      </c>
      <c r="C29" s="10"/>
      <c r="D29" s="10"/>
      <c r="E29" s="10">
        <v>20672</v>
      </c>
      <c r="F29" s="10"/>
      <c r="G29" s="10">
        <f t="shared" si="0"/>
        <v>20672</v>
      </c>
      <c r="H29" s="16">
        <f t="shared" si="1"/>
        <v>9.7200000000000006</v>
      </c>
      <c r="I29" s="15">
        <f t="shared" si="2"/>
        <v>2.5999999999999999E-2</v>
      </c>
      <c r="J29" s="15">
        <f>ROUND(G29/38455.63-1,2)</f>
        <v>-0.46</v>
      </c>
    </row>
    <row r="30" spans="1:10" x14ac:dyDescent="0.25">
      <c r="A30" s="1" t="s">
        <v>16</v>
      </c>
      <c r="B30" s="1" t="s">
        <v>41</v>
      </c>
      <c r="C30" s="10"/>
      <c r="D30" s="10"/>
      <c r="E30" s="10">
        <v>38889</v>
      </c>
      <c r="F30" s="10"/>
      <c r="G30" s="10">
        <f t="shared" si="0"/>
        <v>38889</v>
      </c>
      <c r="H30" s="16">
        <f t="shared" si="1"/>
        <v>18.28</v>
      </c>
      <c r="I30" s="15">
        <f t="shared" si="2"/>
        <v>4.8000000000000001E-2</v>
      </c>
      <c r="J30" s="15">
        <f>ROUND(G30/80643.85-1,2)</f>
        <v>-0.52</v>
      </c>
    </row>
    <row r="31" spans="1:10" x14ac:dyDescent="0.25">
      <c r="A31" s="1" t="s">
        <v>16</v>
      </c>
      <c r="B31" s="1" t="s">
        <v>36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>
        <f>ROUND(G31/4399.51-1,2)</f>
        <v>-1</v>
      </c>
    </row>
    <row r="32" spans="1:10" x14ac:dyDescent="0.25">
      <c r="A32" s="1" t="s">
        <v>16</v>
      </c>
      <c r="B32" s="1" t="s">
        <v>34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16</v>
      </c>
      <c r="B33" s="1" t="s">
        <v>35</v>
      </c>
      <c r="C33" s="10"/>
      <c r="D33" s="10"/>
      <c r="E33" s="10"/>
      <c r="F33" s="10"/>
      <c r="G33" s="10">
        <f t="shared" si="0"/>
        <v>0</v>
      </c>
      <c r="H33" s="16">
        <f t="shared" si="1"/>
        <v>0</v>
      </c>
      <c r="I33" s="15">
        <f t="shared" si="2"/>
        <v>0</v>
      </c>
      <c r="J33" s="15">
        <f>ROUND(G33/1165-1,2)</f>
        <v>-1</v>
      </c>
    </row>
    <row r="34" spans="1:10" x14ac:dyDescent="0.25">
      <c r="A34" s="1" t="s">
        <v>16</v>
      </c>
      <c r="B34" s="1" t="s">
        <v>39</v>
      </c>
      <c r="C34" s="10"/>
      <c r="D34" s="10"/>
      <c r="E34" s="10"/>
      <c r="F34" s="10"/>
      <c r="G34" s="10">
        <f t="shared" si="0"/>
        <v>0</v>
      </c>
      <c r="H34" s="16">
        <f t="shared" si="1"/>
        <v>0</v>
      </c>
      <c r="I34" s="15">
        <f t="shared" si="2"/>
        <v>0</v>
      </c>
      <c r="J34" s="15"/>
    </row>
    <row r="35" spans="1:10" x14ac:dyDescent="0.25">
      <c r="A35" s="1" t="s">
        <v>44</v>
      </c>
      <c r="B35" s="1" t="s">
        <v>45</v>
      </c>
      <c r="C35" s="10">
        <v>173320</v>
      </c>
      <c r="D35" s="10"/>
      <c r="E35" s="10"/>
      <c r="F35" s="10">
        <v>1680</v>
      </c>
      <c r="G35" s="10">
        <f t="shared" si="0"/>
        <v>175000</v>
      </c>
      <c r="H35" s="16">
        <f t="shared" si="1"/>
        <v>82.28</v>
      </c>
      <c r="I35" s="15">
        <f t="shared" si="2"/>
        <v>0.218</v>
      </c>
      <c r="J35" s="15">
        <f>ROUND(G35/166280-1,2)</f>
        <v>0.05</v>
      </c>
    </row>
    <row r="36" spans="1:10" x14ac:dyDescent="0.25">
      <c r="A36" s="1" t="s">
        <v>44</v>
      </c>
      <c r="B36" s="1" t="s">
        <v>46</v>
      </c>
      <c r="C36" s="10"/>
      <c r="D36" s="10"/>
      <c r="E36" s="10">
        <v>34056</v>
      </c>
      <c r="F36" s="10"/>
      <c r="G36" s="10">
        <f t="shared" si="0"/>
        <v>34056</v>
      </c>
      <c r="H36" s="16">
        <f t="shared" si="1"/>
        <v>16.010000000000002</v>
      </c>
      <c r="I36" s="15">
        <f t="shared" si="2"/>
        <v>4.2000000000000003E-2</v>
      </c>
      <c r="J36" s="15">
        <f>ROUND(G36/62862.44-1,2)</f>
        <v>-0.46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/>
      <c r="G37" s="10">
        <f t="shared" si="0"/>
        <v>0</v>
      </c>
      <c r="H37" s="16">
        <f t="shared" si="1"/>
        <v>0</v>
      </c>
      <c r="I37" s="15">
        <f t="shared" si="2"/>
        <v>0</v>
      </c>
      <c r="J37" s="15"/>
    </row>
    <row r="38" spans="1:10" x14ac:dyDescent="0.25">
      <c r="A38" s="1" t="s">
        <v>48</v>
      </c>
      <c r="B38" s="1" t="s">
        <v>49</v>
      </c>
      <c r="C38" s="10"/>
      <c r="D38" s="10"/>
      <c r="E38" s="10"/>
      <c r="F38" s="10"/>
      <c r="G38" s="10">
        <f t="shared" si="0"/>
        <v>0</v>
      </c>
      <c r="H38" s="16">
        <f t="shared" si="1"/>
        <v>0</v>
      </c>
      <c r="I38" s="15">
        <f t="shared" si="2"/>
        <v>0</v>
      </c>
      <c r="J38" s="15">
        <f>ROUND(G38/100-1,2)</f>
        <v>-1</v>
      </c>
    </row>
    <row r="39" spans="1:10" x14ac:dyDescent="0.25">
      <c r="A39" s="1" t="s">
        <v>48</v>
      </c>
      <c r="B39" s="1" t="s">
        <v>86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>
        <f>ROUND(G39/343-1,2)</f>
        <v>-1</v>
      </c>
    </row>
    <row r="40" spans="1:10" x14ac:dyDescent="0.25">
      <c r="A40" s="1" t="s">
        <v>48</v>
      </c>
      <c r="B40" s="1" t="s">
        <v>50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>
        <f>ROUND(G40/64-1,2)</f>
        <v>-1</v>
      </c>
    </row>
    <row r="41" spans="1:10" x14ac:dyDescent="0.25">
      <c r="A41" s="1" t="s">
        <v>48</v>
      </c>
      <c r="B41" s="1" t="s">
        <v>51</v>
      </c>
      <c r="C41" s="10"/>
      <c r="D41" s="10"/>
      <c r="E41" s="10"/>
      <c r="F41" s="10"/>
      <c r="G41" s="10">
        <f t="shared" si="0"/>
        <v>0</v>
      </c>
      <c r="H41" s="16">
        <f t="shared" si="1"/>
        <v>0</v>
      </c>
      <c r="I41" s="15">
        <f t="shared" si="2"/>
        <v>0</v>
      </c>
      <c r="J41" s="15"/>
    </row>
    <row r="42" spans="1:10" x14ac:dyDescent="0.25">
      <c r="A42" s="27" t="s">
        <v>12</v>
      </c>
      <c r="B42" s="27"/>
      <c r="C42" s="11">
        <f t="shared" ref="C42:H42" si="3">SUM(C8:C41)</f>
        <v>540510</v>
      </c>
      <c r="D42" s="11">
        <f t="shared" si="3"/>
        <v>0</v>
      </c>
      <c r="E42" s="11">
        <f t="shared" si="3"/>
        <v>260005</v>
      </c>
      <c r="F42" s="11">
        <f t="shared" si="3"/>
        <v>2660</v>
      </c>
      <c r="G42" s="11">
        <f t="shared" si="3"/>
        <v>803175</v>
      </c>
      <c r="H42" s="14">
        <f t="shared" si="3"/>
        <v>377.61</v>
      </c>
      <c r="I42" s="17"/>
      <c r="J42" s="17"/>
    </row>
    <row r="43" spans="1:10" x14ac:dyDescent="0.25">
      <c r="A43" s="27" t="s">
        <v>14</v>
      </c>
      <c r="B43" s="27"/>
      <c r="C43" s="12">
        <f>ROUND(C42/G42,2)</f>
        <v>0.67</v>
      </c>
      <c r="D43" s="12">
        <f>ROUND(D42/G42,2)</f>
        <v>0</v>
      </c>
      <c r="E43" s="12">
        <f>ROUND(E42/G42,2)</f>
        <v>0.32</v>
      </c>
      <c r="F43" s="12">
        <f>ROUND(F42/G42,2)</f>
        <v>0</v>
      </c>
      <c r="G43" s="13"/>
      <c r="H43" s="13"/>
      <c r="I43" s="17"/>
      <c r="J43" s="17"/>
    </row>
    <row r="44" spans="1:10" x14ac:dyDescent="0.25">
      <c r="A44" s="2" t="s">
        <v>52</v>
      </c>
      <c r="B44" s="2"/>
      <c r="C44" s="13"/>
      <c r="D44" s="13"/>
      <c r="E44" s="13"/>
      <c r="F44" s="13"/>
      <c r="G44" s="13"/>
      <c r="H44" s="13"/>
      <c r="I44" s="17"/>
      <c r="J44" s="17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A48" s="27" t="s">
        <v>53</v>
      </c>
      <c r="B48" s="27"/>
      <c r="C48" s="11" t="s">
        <v>8</v>
      </c>
      <c r="D48" s="11" t="s">
        <v>9</v>
      </c>
      <c r="E48" s="11" t="s">
        <v>10</v>
      </c>
      <c r="F48" s="11" t="s">
        <v>11</v>
      </c>
      <c r="G48" s="11" t="s">
        <v>12</v>
      </c>
      <c r="H48" s="14" t="s">
        <v>13</v>
      </c>
      <c r="I48" s="17"/>
      <c r="J48" s="17"/>
    </row>
    <row r="49" spans="1:10" x14ac:dyDescent="0.25">
      <c r="A49" s="22" t="s">
        <v>54</v>
      </c>
      <c r="B49" s="22"/>
      <c r="C49" s="10">
        <v>367190</v>
      </c>
      <c r="D49" s="10">
        <v>0</v>
      </c>
      <c r="E49" s="10">
        <v>225949</v>
      </c>
      <c r="F49" s="10">
        <v>980</v>
      </c>
      <c r="G49" s="10">
        <f>SUM(C49:F49)</f>
        <v>594119</v>
      </c>
      <c r="H49" s="16">
        <f>ROUND(G49/2127,2)</f>
        <v>279.32</v>
      </c>
      <c r="I49" s="9"/>
      <c r="J49" s="9"/>
    </row>
    <row r="50" spans="1:10" x14ac:dyDescent="0.25">
      <c r="A50" s="22" t="s">
        <v>55</v>
      </c>
      <c r="B50" s="22"/>
      <c r="C50" s="10">
        <v>173320</v>
      </c>
      <c r="D50" s="10">
        <v>0</v>
      </c>
      <c r="E50" s="10">
        <v>34056</v>
      </c>
      <c r="F50" s="10">
        <v>1680</v>
      </c>
      <c r="G50" s="10">
        <f>SUM(C50:F50)</f>
        <v>209056</v>
      </c>
      <c r="H50" s="16">
        <f>ROUND(G50/2127,2)</f>
        <v>98.29</v>
      </c>
      <c r="I50" s="9"/>
      <c r="J50" s="9"/>
    </row>
    <row r="51" spans="1:10" x14ac:dyDescent="0.25">
      <c r="A51" s="22" t="s">
        <v>56</v>
      </c>
      <c r="B51" s="22"/>
      <c r="C51" s="10">
        <v>0</v>
      </c>
      <c r="D51" s="10">
        <v>0</v>
      </c>
      <c r="E51" s="10">
        <v>0</v>
      </c>
      <c r="F51" s="10">
        <v>0</v>
      </c>
      <c r="G51" s="10">
        <f>SUM(C51:F51)</f>
        <v>0</v>
      </c>
      <c r="H51" s="16">
        <f>ROUND(G51/2127,2)</f>
        <v>0</v>
      </c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A56" s="27" t="s">
        <v>57</v>
      </c>
      <c r="B56" s="27"/>
      <c r="C56" s="14" t="s">
        <v>2</v>
      </c>
      <c r="D56" s="14">
        <v>2023</v>
      </c>
      <c r="E56" s="14" t="s">
        <v>59</v>
      </c>
      <c r="F56" s="13"/>
      <c r="G56" s="14" t="s">
        <v>60</v>
      </c>
      <c r="H56" s="14" t="s">
        <v>2</v>
      </c>
      <c r="I56" s="12" t="s">
        <v>61</v>
      </c>
      <c r="J56" s="12" t="s">
        <v>59</v>
      </c>
    </row>
    <row r="57" spans="1:10" x14ac:dyDescent="0.25">
      <c r="A57" s="22" t="s">
        <v>58</v>
      </c>
      <c r="B57" s="22"/>
      <c r="C57" s="15">
        <f>ROUND(0.7608, 4)</f>
        <v>0.76080000000000003</v>
      </c>
      <c r="D57" s="15">
        <f>ROUND(0.8087, 4)</f>
        <v>0.80869999999999997</v>
      </c>
      <c r="E57" s="15">
        <f>ROUND(0.777, 4)</f>
        <v>0.77700000000000002</v>
      </c>
      <c r="F57" s="8"/>
      <c r="G57" s="14" t="s">
        <v>62</v>
      </c>
      <c r="H57" s="28" t="s">
        <v>63</v>
      </c>
      <c r="I57" s="25" t="s">
        <v>64</v>
      </c>
      <c r="J57" s="25" t="s">
        <v>65</v>
      </c>
    </row>
    <row r="58" spans="1:10" x14ac:dyDescent="0.25">
      <c r="A58" s="22" t="s">
        <v>66</v>
      </c>
      <c r="B58" s="22"/>
      <c r="C58" s="15">
        <f>ROUND(0.7225, 4)</f>
        <v>0.72250000000000003</v>
      </c>
      <c r="D58" s="15">
        <f>ROUND(0.772, 4)</f>
        <v>0.77200000000000002</v>
      </c>
      <c r="E58" s="15">
        <f>ROUND(0.7608, 4)</f>
        <v>0.76080000000000003</v>
      </c>
      <c r="F58" s="8"/>
      <c r="G58" s="14" t="s">
        <v>67</v>
      </c>
      <c r="H58" s="29"/>
      <c r="I58" s="26"/>
      <c r="J58" s="26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A62" s="27" t="s">
        <v>68</v>
      </c>
      <c r="B62" s="27"/>
      <c r="C62" s="14" t="s">
        <v>2</v>
      </c>
      <c r="D62" s="14" t="s">
        <v>351</v>
      </c>
      <c r="E62" s="14" t="s">
        <v>70</v>
      </c>
      <c r="F62" s="14" t="s">
        <v>71</v>
      </c>
      <c r="G62" s="14" t="s">
        <v>72</v>
      </c>
      <c r="H62" s="13"/>
      <c r="I62" s="17"/>
      <c r="J62" s="17"/>
    </row>
    <row r="63" spans="1:10" x14ac:dyDescent="0.25">
      <c r="A63" s="22" t="s">
        <v>73</v>
      </c>
      <c r="B63" s="22"/>
      <c r="C63" s="16">
        <v>82.28</v>
      </c>
      <c r="D63" s="16">
        <v>100.33</v>
      </c>
      <c r="E63" s="16">
        <v>92.53</v>
      </c>
      <c r="F63" s="16">
        <v>56.06</v>
      </c>
      <c r="G63" s="16">
        <f>12/11*C63</f>
        <v>89.759999999999991</v>
      </c>
      <c r="H63" s="8"/>
      <c r="I63" s="9"/>
      <c r="J63" s="9"/>
    </row>
    <row r="64" spans="1:10" x14ac:dyDescent="0.25">
      <c r="A64" s="22" t="s">
        <v>74</v>
      </c>
      <c r="B64" s="22"/>
      <c r="C64" s="16">
        <v>63.87</v>
      </c>
      <c r="D64" s="16">
        <v>62.96</v>
      </c>
      <c r="E64" s="16">
        <v>61.98</v>
      </c>
      <c r="F64" s="16">
        <v>64.09</v>
      </c>
      <c r="G64" s="16">
        <f>12/11*C64</f>
        <v>69.676363636363632</v>
      </c>
      <c r="H64" s="8"/>
      <c r="I64" s="9"/>
      <c r="J64" s="9"/>
    </row>
    <row r="65" spans="1:10" x14ac:dyDescent="0.25">
      <c r="A65" s="22" t="s">
        <v>75</v>
      </c>
      <c r="B65" s="22"/>
      <c r="C65" s="16">
        <v>279.32</v>
      </c>
      <c r="D65" s="16">
        <v>352.15</v>
      </c>
      <c r="E65" s="16">
        <v>291.51</v>
      </c>
      <c r="F65" s="16">
        <v>284.45</v>
      </c>
      <c r="G65" s="16">
        <f>12/11*C65</f>
        <v>304.71272727272725</v>
      </c>
      <c r="H65" s="8"/>
      <c r="I65" s="9"/>
      <c r="J65" s="9"/>
    </row>
    <row r="66" spans="1:10" x14ac:dyDescent="0.25">
      <c r="A66" s="22" t="s">
        <v>76</v>
      </c>
      <c r="B66" s="22"/>
      <c r="C66" s="16">
        <v>98.29</v>
      </c>
      <c r="D66" s="16">
        <v>127.36</v>
      </c>
      <c r="E66" s="16">
        <v>116.46</v>
      </c>
      <c r="F66" s="16">
        <v>79.959999999999994</v>
      </c>
      <c r="G66" s="16">
        <f>12/11*C66</f>
        <v>107.22545454545454</v>
      </c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A69" s="23" t="s">
        <v>60</v>
      </c>
      <c r="B69" s="24"/>
      <c r="C69" s="8"/>
      <c r="D69" s="8"/>
      <c r="E69" s="8"/>
      <c r="F69" s="8"/>
      <c r="G69" s="8"/>
      <c r="H69" s="8"/>
      <c r="I69" s="9"/>
      <c r="J69" s="9"/>
    </row>
    <row r="70" spans="1:10" x14ac:dyDescent="0.25">
      <c r="A70" s="3" t="s">
        <v>77</v>
      </c>
      <c r="B70" s="1" t="s">
        <v>352</v>
      </c>
    </row>
    <row r="71" spans="1:10" x14ac:dyDescent="0.25">
      <c r="A71" s="3" t="s">
        <v>70</v>
      </c>
      <c r="B71" s="1" t="s">
        <v>79</v>
      </c>
    </row>
    <row r="72" spans="1:10" x14ac:dyDescent="0.25">
      <c r="A72" s="3" t="s">
        <v>71</v>
      </c>
      <c r="B72" s="1" t="s">
        <v>80</v>
      </c>
    </row>
    <row r="73" spans="1:10" x14ac:dyDescent="0.25">
      <c r="A73" s="3" t="s">
        <v>72</v>
      </c>
      <c r="B73" s="1" t="s">
        <v>81</v>
      </c>
    </row>
  </sheetData>
  <mergeCells count="19">
    <mergeCell ref="C7:G7"/>
    <mergeCell ref="A42:B42"/>
    <mergeCell ref="A43:B43"/>
    <mergeCell ref="A48:B48"/>
    <mergeCell ref="A49:B49"/>
    <mergeCell ref="J57:J58"/>
    <mergeCell ref="A58:B58"/>
    <mergeCell ref="A62:B62"/>
    <mergeCell ref="A63:B63"/>
    <mergeCell ref="A50:B50"/>
    <mergeCell ref="A51:B51"/>
    <mergeCell ref="A56:B56"/>
    <mergeCell ref="A57:B57"/>
    <mergeCell ref="H57:H58"/>
    <mergeCell ref="A64:B64"/>
    <mergeCell ref="A65:B65"/>
    <mergeCell ref="A66:B66"/>
    <mergeCell ref="A69:B69"/>
    <mergeCell ref="I57:I5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72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2.14062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108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3926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159</v>
      </c>
      <c r="F9" s="10"/>
      <c r="G9" s="10">
        <f t="shared" ref="G9:G40" si="0">SUM(C9:F9)</f>
        <v>159</v>
      </c>
      <c r="H9" s="16">
        <f t="shared" ref="H9:H40" si="1">ROUND(G9/3926,2)</f>
        <v>0.04</v>
      </c>
      <c r="I9" s="15">
        <f t="shared" ref="I9:I40" si="2">ROUND(G9/$G$41,3)</f>
        <v>0</v>
      </c>
      <c r="J9" s="15">
        <f>ROUND(G9/75-1,2)</f>
        <v>1.1200000000000001</v>
      </c>
    </row>
    <row r="10" spans="1:10" x14ac:dyDescent="0.25">
      <c r="A10" s="1" t="s">
        <v>16</v>
      </c>
      <c r="B10" s="1" t="s">
        <v>19</v>
      </c>
      <c r="C10" s="10">
        <v>135785</v>
      </c>
      <c r="D10" s="10"/>
      <c r="E10" s="10">
        <v>25410</v>
      </c>
      <c r="F10" s="10"/>
      <c r="G10" s="10">
        <f t="shared" si="0"/>
        <v>161195</v>
      </c>
      <c r="H10" s="16">
        <f t="shared" si="1"/>
        <v>41.06</v>
      </c>
      <c r="I10" s="15">
        <f t="shared" si="2"/>
        <v>0.1</v>
      </c>
      <c r="J10" s="15">
        <f>ROUND(G10/154675-1,2)</f>
        <v>0.04</v>
      </c>
    </row>
    <row r="11" spans="1:10" x14ac:dyDescent="0.25">
      <c r="A11" s="1" t="s">
        <v>16</v>
      </c>
      <c r="B11" s="1" t="s">
        <v>20</v>
      </c>
      <c r="C11" s="10">
        <v>162520</v>
      </c>
      <c r="D11" s="10"/>
      <c r="E11" s="10"/>
      <c r="F11" s="10"/>
      <c r="G11" s="10">
        <f t="shared" si="0"/>
        <v>162520</v>
      </c>
      <c r="H11" s="16">
        <f t="shared" si="1"/>
        <v>41.4</v>
      </c>
      <c r="I11" s="15">
        <f t="shared" si="2"/>
        <v>0.10100000000000001</v>
      </c>
      <c r="J11" s="15">
        <f>ROUND(G11/181540-1,2)</f>
        <v>-0.1</v>
      </c>
    </row>
    <row r="12" spans="1:10" x14ac:dyDescent="0.25">
      <c r="A12" s="1" t="s">
        <v>16</v>
      </c>
      <c r="B12" s="1" t="s">
        <v>95</v>
      </c>
      <c r="C12" s="10"/>
      <c r="D12" s="10"/>
      <c r="E12" s="10">
        <v>330</v>
      </c>
      <c r="F12" s="10"/>
      <c r="G12" s="10">
        <f t="shared" si="0"/>
        <v>330</v>
      </c>
      <c r="H12" s="16">
        <f t="shared" si="1"/>
        <v>0.08</v>
      </c>
      <c r="I12" s="15">
        <f t="shared" si="2"/>
        <v>0</v>
      </c>
      <c r="J12" s="15">
        <f>ROUND(G12/394-1,2)</f>
        <v>-0.16</v>
      </c>
    </row>
    <row r="13" spans="1:10" x14ac:dyDescent="0.25">
      <c r="A13" s="1" t="s">
        <v>16</v>
      </c>
      <c r="B13" s="1" t="s">
        <v>21</v>
      </c>
      <c r="C13" s="10"/>
      <c r="D13" s="10"/>
      <c r="E13" s="10">
        <v>350</v>
      </c>
      <c r="F13" s="10"/>
      <c r="G13" s="10">
        <f t="shared" si="0"/>
        <v>350</v>
      </c>
      <c r="H13" s="16">
        <f t="shared" si="1"/>
        <v>0.09</v>
      </c>
      <c r="I13" s="15">
        <f t="shared" si="2"/>
        <v>0</v>
      </c>
      <c r="J13" s="15">
        <f>ROUND(G13/418-1,2)</f>
        <v>-0.16</v>
      </c>
    </row>
    <row r="14" spans="1:10" x14ac:dyDescent="0.25">
      <c r="A14" s="1" t="s">
        <v>16</v>
      </c>
      <c r="B14" s="1" t="s">
        <v>22</v>
      </c>
      <c r="C14" s="10"/>
      <c r="D14" s="10"/>
      <c r="E14" s="10">
        <v>1760</v>
      </c>
      <c r="F14" s="10"/>
      <c r="G14" s="10">
        <f t="shared" si="0"/>
        <v>1760</v>
      </c>
      <c r="H14" s="16">
        <f t="shared" si="1"/>
        <v>0.45</v>
      </c>
      <c r="I14" s="15">
        <f t="shared" si="2"/>
        <v>1E-3</v>
      </c>
      <c r="J14" s="15">
        <f>ROUND(G14/5000-1,2)</f>
        <v>-0.65</v>
      </c>
    </row>
    <row r="15" spans="1:10" x14ac:dyDescent="0.25">
      <c r="A15" s="1" t="s">
        <v>16</v>
      </c>
      <c r="B15" s="1" t="s">
        <v>23</v>
      </c>
      <c r="C15" s="10"/>
      <c r="D15" s="10"/>
      <c r="E15" s="10">
        <v>43260</v>
      </c>
      <c r="F15" s="10"/>
      <c r="G15" s="10">
        <f t="shared" si="0"/>
        <v>43260</v>
      </c>
      <c r="H15" s="16">
        <f t="shared" si="1"/>
        <v>11.02</v>
      </c>
      <c r="I15" s="15">
        <f t="shared" si="2"/>
        <v>2.7E-2</v>
      </c>
      <c r="J15" s="15">
        <f>ROUND(G15/95460-1,2)</f>
        <v>-0.55000000000000004</v>
      </c>
    </row>
    <row r="16" spans="1:10" x14ac:dyDescent="0.25">
      <c r="A16" s="1" t="s">
        <v>16</v>
      </c>
      <c r="B16" s="1" t="s">
        <v>24</v>
      </c>
      <c r="C16" s="10">
        <v>202690</v>
      </c>
      <c r="D16" s="10"/>
      <c r="E16" s="10">
        <v>41475</v>
      </c>
      <c r="F16" s="10"/>
      <c r="G16" s="10">
        <f t="shared" si="0"/>
        <v>244165</v>
      </c>
      <c r="H16" s="16">
        <f t="shared" si="1"/>
        <v>62.19</v>
      </c>
      <c r="I16" s="15">
        <f t="shared" si="2"/>
        <v>0.151</v>
      </c>
      <c r="J16" s="15">
        <f>ROUND(G16/252250-1,2)</f>
        <v>-0.03</v>
      </c>
    </row>
    <row r="17" spans="1:10" x14ac:dyDescent="0.25">
      <c r="A17" s="1" t="s">
        <v>16</v>
      </c>
      <c r="B17" s="1" t="s">
        <v>25</v>
      </c>
      <c r="C17" s="10"/>
      <c r="D17" s="10"/>
      <c r="E17" s="10">
        <v>8720</v>
      </c>
      <c r="F17" s="10"/>
      <c r="G17" s="10">
        <f t="shared" si="0"/>
        <v>8720</v>
      </c>
      <c r="H17" s="16">
        <f t="shared" si="1"/>
        <v>2.2200000000000002</v>
      </c>
      <c r="I17" s="15">
        <f t="shared" si="2"/>
        <v>5.0000000000000001E-3</v>
      </c>
      <c r="J17" s="15">
        <f>ROUND(G17/6740-1,2)</f>
        <v>0.28999999999999998</v>
      </c>
    </row>
    <row r="18" spans="1:10" x14ac:dyDescent="0.25">
      <c r="A18" s="1" t="s">
        <v>16</v>
      </c>
      <c r="B18" s="1" t="s">
        <v>26</v>
      </c>
      <c r="C18" s="10">
        <v>331580</v>
      </c>
      <c r="D18" s="10"/>
      <c r="E18" s="10"/>
      <c r="F18" s="10">
        <v>1240</v>
      </c>
      <c r="G18" s="10">
        <f t="shared" si="0"/>
        <v>332820</v>
      </c>
      <c r="H18" s="16">
        <f t="shared" si="1"/>
        <v>84.77</v>
      </c>
      <c r="I18" s="15">
        <f t="shared" si="2"/>
        <v>0.20599999999999999</v>
      </c>
      <c r="J18" s="15">
        <f>ROUND(G18/334220-1,2)</f>
        <v>0</v>
      </c>
    </row>
    <row r="19" spans="1:10" x14ac:dyDescent="0.25">
      <c r="A19" s="1" t="s">
        <v>16</v>
      </c>
      <c r="B19" s="1" t="s">
        <v>27</v>
      </c>
      <c r="C19" s="10"/>
      <c r="D19" s="10"/>
      <c r="E19" s="10">
        <v>793</v>
      </c>
      <c r="F19" s="10"/>
      <c r="G19" s="10">
        <f t="shared" si="0"/>
        <v>793</v>
      </c>
      <c r="H19" s="16">
        <f t="shared" si="1"/>
        <v>0.2</v>
      </c>
      <c r="I19" s="15">
        <f t="shared" si="2"/>
        <v>0</v>
      </c>
      <c r="J19" s="15">
        <f>ROUND(G19/939-1,2)</f>
        <v>-0.16</v>
      </c>
    </row>
    <row r="20" spans="1:10" x14ac:dyDescent="0.25">
      <c r="A20" s="1" t="s">
        <v>16</v>
      </c>
      <c r="B20" s="1" t="s">
        <v>28</v>
      </c>
      <c r="C20" s="10"/>
      <c r="D20" s="10"/>
      <c r="E20" s="10">
        <v>359</v>
      </c>
      <c r="F20" s="10"/>
      <c r="G20" s="10">
        <f t="shared" si="0"/>
        <v>359</v>
      </c>
      <c r="H20" s="16">
        <f t="shared" si="1"/>
        <v>0.09</v>
      </c>
      <c r="I20" s="15">
        <f t="shared" si="2"/>
        <v>0</v>
      </c>
      <c r="J20" s="15">
        <f>ROUND(G20/577-1,2)</f>
        <v>-0.38</v>
      </c>
    </row>
    <row r="21" spans="1:10" x14ac:dyDescent="0.25">
      <c r="A21" s="1" t="s">
        <v>16</v>
      </c>
      <c r="B21" s="1" t="s">
        <v>42</v>
      </c>
      <c r="C21" s="10"/>
      <c r="D21" s="10"/>
      <c r="E21" s="10">
        <v>239</v>
      </c>
      <c r="F21" s="10"/>
      <c r="G21" s="10">
        <f t="shared" si="0"/>
        <v>239</v>
      </c>
      <c r="H21" s="16">
        <f t="shared" si="1"/>
        <v>0.06</v>
      </c>
      <c r="I21" s="15">
        <f t="shared" si="2"/>
        <v>0</v>
      </c>
      <c r="J21" s="15">
        <f>ROUND(G21/142-1,2)</f>
        <v>0.68</v>
      </c>
    </row>
    <row r="22" spans="1:10" x14ac:dyDescent="0.25">
      <c r="A22" s="1" t="s">
        <v>16</v>
      </c>
      <c r="B22" s="1" t="s">
        <v>29</v>
      </c>
      <c r="C22" s="10"/>
      <c r="D22" s="10"/>
      <c r="E22" s="10">
        <v>1600</v>
      </c>
      <c r="F22" s="10"/>
      <c r="G22" s="10">
        <f t="shared" si="0"/>
        <v>1600</v>
      </c>
      <c r="H22" s="16">
        <f t="shared" si="1"/>
        <v>0.41</v>
      </c>
      <c r="I22" s="15">
        <f t="shared" si="2"/>
        <v>1E-3</v>
      </c>
      <c r="J22" s="15">
        <f>ROUND(G22/3408-1,2)</f>
        <v>-0.53</v>
      </c>
    </row>
    <row r="23" spans="1:10" x14ac:dyDescent="0.25">
      <c r="A23" s="1" t="s">
        <v>16</v>
      </c>
      <c r="B23" s="1" t="s">
        <v>30</v>
      </c>
      <c r="C23" s="10"/>
      <c r="D23" s="10"/>
      <c r="E23" s="10">
        <v>980</v>
      </c>
      <c r="F23" s="10"/>
      <c r="G23" s="10">
        <f t="shared" si="0"/>
        <v>980</v>
      </c>
      <c r="H23" s="16">
        <f t="shared" si="1"/>
        <v>0.25</v>
      </c>
      <c r="I23" s="15">
        <f t="shared" si="2"/>
        <v>1E-3</v>
      </c>
      <c r="J23" s="15">
        <f>ROUND(G23/1430-1,2)</f>
        <v>-0.31</v>
      </c>
    </row>
    <row r="24" spans="1:10" x14ac:dyDescent="0.25">
      <c r="A24" s="1" t="s">
        <v>16</v>
      </c>
      <c r="B24" s="1" t="s">
        <v>31</v>
      </c>
      <c r="C24" s="10"/>
      <c r="D24" s="10"/>
      <c r="E24" s="10">
        <v>750</v>
      </c>
      <c r="F24" s="10"/>
      <c r="G24" s="10">
        <f t="shared" si="0"/>
        <v>750</v>
      </c>
      <c r="H24" s="16">
        <f t="shared" si="1"/>
        <v>0.19</v>
      </c>
      <c r="I24" s="15">
        <f t="shared" si="2"/>
        <v>0</v>
      </c>
      <c r="J24" s="15">
        <f>ROUND(G24/1300-1,2)</f>
        <v>-0.42</v>
      </c>
    </row>
    <row r="25" spans="1:10" x14ac:dyDescent="0.25">
      <c r="A25" s="1" t="s">
        <v>16</v>
      </c>
      <c r="B25" s="1" t="s">
        <v>32</v>
      </c>
      <c r="C25" s="10"/>
      <c r="D25" s="10"/>
      <c r="E25" s="10">
        <v>2125</v>
      </c>
      <c r="F25" s="10"/>
      <c r="G25" s="10">
        <f t="shared" si="0"/>
        <v>2125</v>
      </c>
      <c r="H25" s="16">
        <f t="shared" si="1"/>
        <v>0.54</v>
      </c>
      <c r="I25" s="15">
        <f t="shared" si="2"/>
        <v>1E-3</v>
      </c>
      <c r="J25" s="15">
        <f>ROUND(G25/2550-1,2)</f>
        <v>-0.17</v>
      </c>
    </row>
    <row r="26" spans="1:10" x14ac:dyDescent="0.25">
      <c r="A26" s="1" t="s">
        <v>16</v>
      </c>
      <c r="B26" s="1" t="s">
        <v>33</v>
      </c>
      <c r="C26" s="10"/>
      <c r="D26" s="10">
        <v>267</v>
      </c>
      <c r="E26" s="10">
        <v>106</v>
      </c>
      <c r="F26" s="10"/>
      <c r="G26" s="10">
        <f t="shared" si="0"/>
        <v>373</v>
      </c>
      <c r="H26" s="16">
        <f t="shared" si="1"/>
        <v>0.1</v>
      </c>
      <c r="I26" s="15">
        <f t="shared" si="2"/>
        <v>0</v>
      </c>
      <c r="J26" s="15">
        <f>ROUND(G26/329-1,2)</f>
        <v>0.13</v>
      </c>
    </row>
    <row r="27" spans="1:10" x14ac:dyDescent="0.25">
      <c r="A27" s="1" t="s">
        <v>16</v>
      </c>
      <c r="B27" s="1" t="s">
        <v>35</v>
      </c>
      <c r="C27" s="10"/>
      <c r="D27" s="10"/>
      <c r="E27" s="10">
        <v>600</v>
      </c>
      <c r="F27" s="10"/>
      <c r="G27" s="10">
        <f t="shared" si="0"/>
        <v>600</v>
      </c>
      <c r="H27" s="16">
        <f t="shared" si="1"/>
        <v>0.15</v>
      </c>
      <c r="I27" s="15">
        <f t="shared" si="2"/>
        <v>0</v>
      </c>
      <c r="J27" s="15">
        <f>ROUND(G27/220-1,2)</f>
        <v>1.73</v>
      </c>
    </row>
    <row r="28" spans="1:10" x14ac:dyDescent="0.25">
      <c r="A28" s="1" t="s">
        <v>16</v>
      </c>
      <c r="B28" s="1" t="s">
        <v>34</v>
      </c>
      <c r="C28" s="10"/>
      <c r="D28" s="10"/>
      <c r="E28" s="10">
        <v>1290</v>
      </c>
      <c r="F28" s="10"/>
      <c r="G28" s="10">
        <f t="shared" si="0"/>
        <v>1290</v>
      </c>
      <c r="H28" s="16">
        <f t="shared" si="1"/>
        <v>0.33</v>
      </c>
      <c r="I28" s="15">
        <f t="shared" si="2"/>
        <v>1E-3</v>
      </c>
      <c r="J28" s="15">
        <f>ROUND(G28/100-1,2)</f>
        <v>11.9</v>
      </c>
    </row>
    <row r="29" spans="1:10" x14ac:dyDescent="0.25">
      <c r="A29" s="1" t="s">
        <v>16</v>
      </c>
      <c r="B29" s="1" t="s">
        <v>37</v>
      </c>
      <c r="C29" s="10"/>
      <c r="D29" s="10"/>
      <c r="E29" s="10">
        <v>4405</v>
      </c>
      <c r="F29" s="10"/>
      <c r="G29" s="10">
        <f t="shared" si="0"/>
        <v>4405</v>
      </c>
      <c r="H29" s="16">
        <f t="shared" si="1"/>
        <v>1.1200000000000001</v>
      </c>
      <c r="I29" s="15">
        <f t="shared" si="2"/>
        <v>3.0000000000000001E-3</v>
      </c>
      <c r="J29" s="15">
        <f>ROUND(G29/10276-1,2)</f>
        <v>-0.56999999999999995</v>
      </c>
    </row>
    <row r="30" spans="1:10" x14ac:dyDescent="0.25">
      <c r="A30" s="1" t="s">
        <v>16</v>
      </c>
      <c r="B30" s="1" t="s">
        <v>43</v>
      </c>
      <c r="C30" s="10"/>
      <c r="D30" s="10"/>
      <c r="E30" s="10">
        <v>4660</v>
      </c>
      <c r="F30" s="10"/>
      <c r="G30" s="10">
        <f t="shared" si="0"/>
        <v>4660</v>
      </c>
      <c r="H30" s="16">
        <f t="shared" si="1"/>
        <v>1.19</v>
      </c>
      <c r="I30" s="15">
        <f t="shared" si="2"/>
        <v>3.0000000000000001E-3</v>
      </c>
      <c r="J30" s="15">
        <f>ROUND(G30/6837-1,2)</f>
        <v>-0.32</v>
      </c>
    </row>
    <row r="31" spans="1:10" x14ac:dyDescent="0.25">
      <c r="A31" s="1" t="s">
        <v>16</v>
      </c>
      <c r="B31" s="1" t="s">
        <v>38</v>
      </c>
      <c r="C31" s="10"/>
      <c r="D31" s="10"/>
      <c r="E31" s="10">
        <v>97860</v>
      </c>
      <c r="F31" s="10"/>
      <c r="G31" s="10">
        <f t="shared" si="0"/>
        <v>97860</v>
      </c>
      <c r="H31" s="16">
        <f t="shared" si="1"/>
        <v>24.93</v>
      </c>
      <c r="I31" s="15">
        <f t="shared" si="2"/>
        <v>6.0999999999999999E-2</v>
      </c>
      <c r="J31" s="15">
        <f>ROUND(G31/82740-1,2)</f>
        <v>0.18</v>
      </c>
    </row>
    <row r="32" spans="1:10" x14ac:dyDescent="0.25">
      <c r="A32" s="1" t="s">
        <v>16</v>
      </c>
      <c r="B32" s="1" t="s">
        <v>39</v>
      </c>
      <c r="C32" s="10"/>
      <c r="D32" s="10"/>
      <c r="E32" s="10">
        <v>7685</v>
      </c>
      <c r="F32" s="10"/>
      <c r="G32" s="10">
        <f t="shared" si="0"/>
        <v>7685</v>
      </c>
      <c r="H32" s="16">
        <f t="shared" si="1"/>
        <v>1.96</v>
      </c>
      <c r="I32" s="15">
        <f t="shared" si="2"/>
        <v>5.0000000000000001E-3</v>
      </c>
      <c r="J32" s="15">
        <f>ROUND(G32/6550-1,2)</f>
        <v>0.17</v>
      </c>
    </row>
    <row r="33" spans="1:10" x14ac:dyDescent="0.25">
      <c r="A33" s="1" t="s">
        <v>16</v>
      </c>
      <c r="B33" s="1" t="s">
        <v>40</v>
      </c>
      <c r="C33" s="10"/>
      <c r="D33" s="10"/>
      <c r="E33" s="10">
        <v>32090</v>
      </c>
      <c r="F33" s="10"/>
      <c r="G33" s="10">
        <f t="shared" si="0"/>
        <v>32090</v>
      </c>
      <c r="H33" s="16">
        <f t="shared" si="1"/>
        <v>8.17</v>
      </c>
      <c r="I33" s="15">
        <f t="shared" si="2"/>
        <v>0.02</v>
      </c>
      <c r="J33" s="15">
        <f>ROUND(G33/25240-1,2)</f>
        <v>0.27</v>
      </c>
    </row>
    <row r="34" spans="1:10" x14ac:dyDescent="0.25">
      <c r="A34" s="1" t="s">
        <v>16</v>
      </c>
      <c r="B34" s="1" t="s">
        <v>41</v>
      </c>
      <c r="C34" s="10"/>
      <c r="D34" s="10"/>
      <c r="E34" s="10">
        <v>178440</v>
      </c>
      <c r="F34" s="10">
        <v>6400</v>
      </c>
      <c r="G34" s="10">
        <f t="shared" si="0"/>
        <v>184840</v>
      </c>
      <c r="H34" s="16">
        <f t="shared" si="1"/>
        <v>47.08</v>
      </c>
      <c r="I34" s="15">
        <f t="shared" si="2"/>
        <v>0.115</v>
      </c>
      <c r="J34" s="15">
        <f>ROUND(G34/155540-1,2)</f>
        <v>0.19</v>
      </c>
    </row>
    <row r="35" spans="1:10" x14ac:dyDescent="0.25">
      <c r="A35" s="1" t="s">
        <v>16</v>
      </c>
      <c r="B35" s="1" t="s">
        <v>36</v>
      </c>
      <c r="C35" s="10"/>
      <c r="D35" s="10"/>
      <c r="E35" s="10"/>
      <c r="F35" s="10"/>
      <c r="G35" s="10">
        <f t="shared" si="0"/>
        <v>0</v>
      </c>
      <c r="H35" s="16">
        <f t="shared" si="1"/>
        <v>0</v>
      </c>
      <c r="I35" s="15">
        <f t="shared" si="2"/>
        <v>0</v>
      </c>
      <c r="J35" s="15">
        <f>ROUND(G35/3107-1,2)</f>
        <v>-1</v>
      </c>
    </row>
    <row r="36" spans="1:10" x14ac:dyDescent="0.25">
      <c r="A36" s="1" t="s">
        <v>44</v>
      </c>
      <c r="B36" s="1" t="s">
        <v>45</v>
      </c>
      <c r="C36" s="10">
        <v>218620</v>
      </c>
      <c r="D36" s="10"/>
      <c r="E36" s="10"/>
      <c r="F36" s="10">
        <v>1960</v>
      </c>
      <c r="G36" s="10">
        <f t="shared" si="0"/>
        <v>220580</v>
      </c>
      <c r="H36" s="16">
        <f t="shared" si="1"/>
        <v>56.18</v>
      </c>
      <c r="I36" s="15">
        <f t="shared" si="2"/>
        <v>0.13700000000000001</v>
      </c>
      <c r="J36" s="15">
        <f>ROUND(G36/207890-1,2)</f>
        <v>0.06</v>
      </c>
    </row>
    <row r="37" spans="1:10" x14ac:dyDescent="0.25">
      <c r="A37" s="1" t="s">
        <v>44</v>
      </c>
      <c r="B37" s="1" t="s">
        <v>47</v>
      </c>
      <c r="C37" s="10"/>
      <c r="D37" s="10"/>
      <c r="E37" s="10"/>
      <c r="F37" s="10">
        <v>44580</v>
      </c>
      <c r="G37" s="10">
        <f t="shared" si="0"/>
        <v>44580</v>
      </c>
      <c r="H37" s="16">
        <f t="shared" si="1"/>
        <v>11.36</v>
      </c>
      <c r="I37" s="15">
        <f t="shared" si="2"/>
        <v>2.8000000000000001E-2</v>
      </c>
      <c r="J37" s="15">
        <f>ROUND(G37/37160-1,2)</f>
        <v>0.2</v>
      </c>
    </row>
    <row r="38" spans="1:10" x14ac:dyDescent="0.25">
      <c r="A38" s="1" t="s">
        <v>44</v>
      </c>
      <c r="B38" s="1" t="s">
        <v>46</v>
      </c>
      <c r="C38" s="10"/>
      <c r="D38" s="10"/>
      <c r="E38" s="10">
        <v>52905</v>
      </c>
      <c r="F38" s="10"/>
      <c r="G38" s="10">
        <f t="shared" si="0"/>
        <v>52905</v>
      </c>
      <c r="H38" s="16">
        <f t="shared" si="1"/>
        <v>13.48</v>
      </c>
      <c r="I38" s="15">
        <f t="shared" si="2"/>
        <v>3.3000000000000002E-2</v>
      </c>
      <c r="J38" s="15">
        <f>ROUND(G38/41410-1,2)</f>
        <v>0.28000000000000003</v>
      </c>
    </row>
    <row r="39" spans="1:10" x14ac:dyDescent="0.25">
      <c r="A39" s="1" t="s">
        <v>48</v>
      </c>
      <c r="B39" s="1" t="s">
        <v>51</v>
      </c>
      <c r="C39" s="10"/>
      <c r="D39" s="10"/>
      <c r="E39" s="10"/>
      <c r="F39" s="10"/>
      <c r="G39" s="10">
        <f t="shared" si="0"/>
        <v>0</v>
      </c>
      <c r="H39" s="16">
        <f t="shared" si="1"/>
        <v>0</v>
      </c>
      <c r="I39" s="15">
        <f t="shared" si="2"/>
        <v>0</v>
      </c>
      <c r="J39" s="15"/>
    </row>
    <row r="40" spans="1:10" x14ac:dyDescent="0.25">
      <c r="A40" s="1" t="s">
        <v>48</v>
      </c>
      <c r="B40" s="1" t="s">
        <v>86</v>
      </c>
      <c r="C40" s="10"/>
      <c r="D40" s="10"/>
      <c r="E40" s="10"/>
      <c r="F40" s="10"/>
      <c r="G40" s="10">
        <f t="shared" si="0"/>
        <v>0</v>
      </c>
      <c r="H40" s="16">
        <f t="shared" si="1"/>
        <v>0</v>
      </c>
      <c r="I40" s="15">
        <f t="shared" si="2"/>
        <v>0</v>
      </c>
      <c r="J40" s="15"/>
    </row>
    <row r="41" spans="1:10" x14ac:dyDescent="0.25">
      <c r="A41" s="27" t="s">
        <v>12</v>
      </c>
      <c r="B41" s="27"/>
      <c r="C41" s="11">
        <f t="shared" ref="C41:H41" si="3">SUM(C8:C40)</f>
        <v>1051195</v>
      </c>
      <c r="D41" s="11">
        <f t="shared" si="3"/>
        <v>267</v>
      </c>
      <c r="E41" s="11">
        <f t="shared" si="3"/>
        <v>508351</v>
      </c>
      <c r="F41" s="11">
        <f t="shared" si="3"/>
        <v>54180</v>
      </c>
      <c r="G41" s="11">
        <f t="shared" si="3"/>
        <v>1613993</v>
      </c>
      <c r="H41" s="14">
        <f t="shared" si="3"/>
        <v>411.11</v>
      </c>
      <c r="I41" s="17"/>
      <c r="J41" s="17"/>
    </row>
    <row r="42" spans="1:10" x14ac:dyDescent="0.25">
      <c r="A42" s="27" t="s">
        <v>14</v>
      </c>
      <c r="B42" s="27"/>
      <c r="C42" s="12">
        <f>ROUND(C41/G41,2)</f>
        <v>0.65</v>
      </c>
      <c r="D42" s="12">
        <f>ROUND(D41/G41,2)</f>
        <v>0</v>
      </c>
      <c r="E42" s="12">
        <f>ROUND(E41/G41,2)</f>
        <v>0.31</v>
      </c>
      <c r="F42" s="12">
        <f>ROUND(F41/G41,2)</f>
        <v>0.03</v>
      </c>
      <c r="G42" s="13"/>
      <c r="H42" s="13"/>
      <c r="I42" s="17"/>
      <c r="J42" s="17"/>
    </row>
    <row r="43" spans="1:10" x14ac:dyDescent="0.25">
      <c r="A43" s="2" t="s">
        <v>52</v>
      </c>
      <c r="B43" s="2"/>
      <c r="C43" s="13"/>
      <c r="D43" s="13"/>
      <c r="E43" s="13"/>
      <c r="F43" s="13"/>
      <c r="G43" s="13"/>
      <c r="H43" s="13"/>
      <c r="I43" s="17"/>
      <c r="J43" s="17"/>
    </row>
    <row r="44" spans="1:10" x14ac:dyDescent="0.25">
      <c r="C44" s="8"/>
      <c r="D44" s="8"/>
      <c r="E44" s="8"/>
      <c r="F44" s="8"/>
      <c r="G44" s="8"/>
      <c r="H44" s="8"/>
      <c r="I44" s="9"/>
      <c r="J44" s="9"/>
    </row>
    <row r="45" spans="1:10" x14ac:dyDescent="0.25">
      <c r="C45" s="8"/>
      <c r="D45" s="8"/>
      <c r="E45" s="8"/>
      <c r="F45" s="8"/>
      <c r="G45" s="8"/>
      <c r="H45" s="8"/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A47" s="27" t="s">
        <v>53</v>
      </c>
      <c r="B47" s="27"/>
      <c r="C47" s="11" t="s">
        <v>8</v>
      </c>
      <c r="D47" s="11" t="s">
        <v>9</v>
      </c>
      <c r="E47" s="11" t="s">
        <v>10</v>
      </c>
      <c r="F47" s="11" t="s">
        <v>11</v>
      </c>
      <c r="G47" s="11" t="s">
        <v>12</v>
      </c>
      <c r="H47" s="14" t="s">
        <v>13</v>
      </c>
      <c r="I47" s="17"/>
      <c r="J47" s="17"/>
    </row>
    <row r="48" spans="1:10" x14ac:dyDescent="0.25">
      <c r="A48" s="22" t="s">
        <v>54</v>
      </c>
      <c r="B48" s="22"/>
      <c r="C48" s="10">
        <v>832575</v>
      </c>
      <c r="D48" s="10">
        <v>267</v>
      </c>
      <c r="E48" s="10">
        <v>455446</v>
      </c>
      <c r="F48" s="10">
        <v>7640</v>
      </c>
      <c r="G48" s="10">
        <f>SUM(C48:F48)</f>
        <v>1295928</v>
      </c>
      <c r="H48" s="16">
        <f>ROUND(G48/3926,2)</f>
        <v>330.09</v>
      </c>
      <c r="I48" s="9"/>
      <c r="J48" s="9"/>
    </row>
    <row r="49" spans="1:10" x14ac:dyDescent="0.25">
      <c r="A49" s="22" t="s">
        <v>55</v>
      </c>
      <c r="B49" s="22"/>
      <c r="C49" s="10">
        <v>218620</v>
      </c>
      <c r="D49" s="10">
        <v>0</v>
      </c>
      <c r="E49" s="10">
        <v>52905</v>
      </c>
      <c r="F49" s="10">
        <v>46540</v>
      </c>
      <c r="G49" s="10">
        <f>SUM(C49:F49)</f>
        <v>318065</v>
      </c>
      <c r="H49" s="16">
        <f>ROUND(G49/3926,2)</f>
        <v>81.02</v>
      </c>
      <c r="I49" s="9"/>
      <c r="J49" s="9"/>
    </row>
    <row r="50" spans="1:10" x14ac:dyDescent="0.25">
      <c r="A50" s="22" t="s">
        <v>56</v>
      </c>
      <c r="B50" s="22"/>
      <c r="C50" s="10">
        <v>0</v>
      </c>
      <c r="D50" s="10">
        <v>0</v>
      </c>
      <c r="E50" s="10">
        <v>0</v>
      </c>
      <c r="F50" s="10">
        <v>0</v>
      </c>
      <c r="G50" s="10">
        <f>SUM(C50:F50)</f>
        <v>0</v>
      </c>
      <c r="H50" s="16">
        <f>ROUND(G50/3926,2)</f>
        <v>0</v>
      </c>
      <c r="I50" s="9"/>
      <c r="J50" s="9"/>
    </row>
    <row r="51" spans="1:10" x14ac:dyDescent="0.25">
      <c r="C51" s="8"/>
      <c r="D51" s="8"/>
      <c r="E51" s="8"/>
      <c r="F51" s="8"/>
      <c r="G51" s="8"/>
      <c r="H51" s="8"/>
      <c r="I51" s="9"/>
      <c r="J51" s="9"/>
    </row>
    <row r="52" spans="1:10" x14ac:dyDescent="0.25">
      <c r="C52" s="8"/>
      <c r="D52" s="8"/>
      <c r="E52" s="8"/>
      <c r="F52" s="8"/>
      <c r="G52" s="8"/>
      <c r="H52" s="8"/>
      <c r="I52" s="9"/>
      <c r="J52" s="9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A55" s="27" t="s">
        <v>57</v>
      </c>
      <c r="B55" s="27"/>
      <c r="C55" s="14" t="s">
        <v>2</v>
      </c>
      <c r="D55" s="14">
        <v>2023</v>
      </c>
      <c r="E55" s="14" t="s">
        <v>59</v>
      </c>
      <c r="F55" s="13"/>
      <c r="G55" s="14" t="s">
        <v>60</v>
      </c>
      <c r="H55" s="14" t="s">
        <v>2</v>
      </c>
      <c r="I55" s="12" t="s">
        <v>61</v>
      </c>
      <c r="J55" s="12" t="s">
        <v>59</v>
      </c>
    </row>
    <row r="56" spans="1:10" x14ac:dyDescent="0.25">
      <c r="A56" s="22" t="s">
        <v>58</v>
      </c>
      <c r="B56" s="22"/>
      <c r="C56" s="15">
        <f>ROUND(0.8519, 4)</f>
        <v>0.85189999999999999</v>
      </c>
      <c r="D56" s="15">
        <f>ROUND(0.8544, 4)</f>
        <v>0.85440000000000005</v>
      </c>
      <c r="E56" s="15">
        <f>ROUND(0.777, 4)</f>
        <v>0.77700000000000002</v>
      </c>
      <c r="F56" s="8"/>
      <c r="G56" s="14" t="s">
        <v>62</v>
      </c>
      <c r="H56" s="28" t="s">
        <v>63</v>
      </c>
      <c r="I56" s="25" t="s">
        <v>64</v>
      </c>
      <c r="J56" s="25" t="s">
        <v>65</v>
      </c>
    </row>
    <row r="57" spans="1:10" x14ac:dyDescent="0.25">
      <c r="A57" s="22" t="s">
        <v>66</v>
      </c>
      <c r="B57" s="22"/>
      <c r="C57" s="15">
        <f>ROUND(0.8387, 4)</f>
        <v>0.8387</v>
      </c>
      <c r="D57" s="15">
        <f>ROUND(0.8414, 4)</f>
        <v>0.84140000000000004</v>
      </c>
      <c r="E57" s="15">
        <f>ROUND(0.7608, 4)</f>
        <v>0.76080000000000003</v>
      </c>
      <c r="F57" s="8"/>
      <c r="G57" s="14" t="s">
        <v>67</v>
      </c>
      <c r="H57" s="29"/>
      <c r="I57" s="26"/>
      <c r="J57" s="26"/>
    </row>
    <row r="58" spans="1:10" x14ac:dyDescent="0.25">
      <c r="C58" s="8"/>
      <c r="D58" s="8"/>
      <c r="E58" s="8"/>
      <c r="F58" s="8"/>
      <c r="G58" s="8"/>
      <c r="H58" s="8"/>
      <c r="I58" s="9"/>
      <c r="J58" s="9"/>
    </row>
    <row r="59" spans="1:10" x14ac:dyDescent="0.25">
      <c r="C59" s="8"/>
      <c r="D59" s="8"/>
      <c r="E59" s="8"/>
      <c r="F59" s="8"/>
      <c r="G59" s="8"/>
      <c r="H59" s="8"/>
      <c r="I59" s="9"/>
      <c r="J59" s="9"/>
    </row>
    <row r="60" spans="1:10" x14ac:dyDescent="0.25">
      <c r="C60" s="8"/>
      <c r="D60" s="8"/>
      <c r="E60" s="8"/>
      <c r="F60" s="8"/>
      <c r="G60" s="8"/>
      <c r="H60" s="8"/>
      <c r="I60" s="9"/>
      <c r="J60" s="9"/>
    </row>
    <row r="61" spans="1:10" x14ac:dyDescent="0.25">
      <c r="A61" s="27" t="s">
        <v>68</v>
      </c>
      <c r="B61" s="27"/>
      <c r="C61" s="14" t="s">
        <v>2</v>
      </c>
      <c r="D61" s="14" t="s">
        <v>109</v>
      </c>
      <c r="E61" s="14" t="s">
        <v>70</v>
      </c>
      <c r="F61" s="14" t="s">
        <v>71</v>
      </c>
      <c r="G61" s="14" t="s">
        <v>72</v>
      </c>
      <c r="H61" s="13"/>
      <c r="I61" s="17"/>
      <c r="J61" s="17"/>
    </row>
    <row r="62" spans="1:10" x14ac:dyDescent="0.25">
      <c r="A62" s="22" t="s">
        <v>73</v>
      </c>
      <c r="B62" s="22"/>
      <c r="C62" s="16">
        <v>56.18</v>
      </c>
      <c r="D62" s="16">
        <v>60.23</v>
      </c>
      <c r="E62" s="16">
        <v>92.53</v>
      </c>
      <c r="F62" s="16">
        <v>56.06</v>
      </c>
      <c r="G62" s="16">
        <f>12/11*C62</f>
        <v>61.287272727272722</v>
      </c>
      <c r="H62" s="8"/>
      <c r="I62" s="9"/>
      <c r="J62" s="9"/>
    </row>
    <row r="63" spans="1:10" x14ac:dyDescent="0.25">
      <c r="A63" s="22" t="s">
        <v>74</v>
      </c>
      <c r="B63" s="22"/>
      <c r="C63" s="16">
        <v>84.77</v>
      </c>
      <c r="D63" s="16">
        <v>83.28</v>
      </c>
      <c r="E63" s="16">
        <v>61.98</v>
      </c>
      <c r="F63" s="16">
        <v>64.09</v>
      </c>
      <c r="G63" s="16">
        <f>12/11*C63</f>
        <v>92.476363636363629</v>
      </c>
      <c r="H63" s="8"/>
      <c r="I63" s="9"/>
      <c r="J63" s="9"/>
    </row>
    <row r="64" spans="1:10" x14ac:dyDescent="0.25">
      <c r="A64" s="22" t="s">
        <v>75</v>
      </c>
      <c r="B64" s="22"/>
      <c r="C64" s="16">
        <v>330.09</v>
      </c>
      <c r="D64" s="16">
        <v>347.74</v>
      </c>
      <c r="E64" s="16">
        <v>291.51</v>
      </c>
      <c r="F64" s="16">
        <v>284.45</v>
      </c>
      <c r="G64" s="16">
        <f>12/11*C64</f>
        <v>360.09818181818179</v>
      </c>
      <c r="H64" s="8"/>
      <c r="I64" s="9"/>
      <c r="J64" s="9"/>
    </row>
    <row r="65" spans="1:10" x14ac:dyDescent="0.25">
      <c r="A65" s="22" t="s">
        <v>76</v>
      </c>
      <c r="B65" s="22"/>
      <c r="C65" s="16">
        <v>81.02</v>
      </c>
      <c r="D65" s="16">
        <v>84.99</v>
      </c>
      <c r="E65" s="16">
        <v>116.46</v>
      </c>
      <c r="F65" s="16">
        <v>79.959999999999994</v>
      </c>
      <c r="G65" s="16">
        <f>12/11*C65</f>
        <v>88.385454545454536</v>
      </c>
      <c r="H65" s="8"/>
      <c r="I65" s="9"/>
      <c r="J65" s="9"/>
    </row>
    <row r="66" spans="1:10" x14ac:dyDescent="0.25">
      <c r="C66" s="8"/>
      <c r="D66" s="8"/>
      <c r="E66" s="8"/>
      <c r="F66" s="8"/>
      <c r="G66" s="8"/>
      <c r="H66" s="8"/>
      <c r="I66" s="9"/>
      <c r="J66" s="9"/>
    </row>
    <row r="67" spans="1:10" x14ac:dyDescent="0.25">
      <c r="C67" s="8"/>
      <c r="D67" s="8"/>
      <c r="E67" s="8"/>
      <c r="F67" s="8"/>
      <c r="G67" s="8"/>
      <c r="H67" s="8"/>
      <c r="I67" s="9"/>
      <c r="J67" s="9"/>
    </row>
    <row r="68" spans="1:10" x14ac:dyDescent="0.25">
      <c r="A68" s="23" t="s">
        <v>60</v>
      </c>
      <c r="B68" s="24"/>
    </row>
    <row r="69" spans="1:10" x14ac:dyDescent="0.25">
      <c r="A69" s="3" t="s">
        <v>77</v>
      </c>
      <c r="B69" s="1" t="s">
        <v>110</v>
      </c>
    </row>
    <row r="70" spans="1:10" x14ac:dyDescent="0.25">
      <c r="A70" s="3" t="s">
        <v>70</v>
      </c>
      <c r="B70" s="1" t="s">
        <v>79</v>
      </c>
    </row>
    <row r="71" spans="1:10" x14ac:dyDescent="0.25">
      <c r="A71" s="3" t="s">
        <v>71</v>
      </c>
      <c r="B71" s="1" t="s">
        <v>80</v>
      </c>
    </row>
    <row r="72" spans="1:10" x14ac:dyDescent="0.25">
      <c r="A72" s="3" t="s">
        <v>72</v>
      </c>
      <c r="B72" s="1" t="s">
        <v>81</v>
      </c>
    </row>
  </sheetData>
  <mergeCells count="19">
    <mergeCell ref="C7:G7"/>
    <mergeCell ref="A41:B41"/>
    <mergeCell ref="A42:B42"/>
    <mergeCell ref="A47:B47"/>
    <mergeCell ref="A48:B48"/>
    <mergeCell ref="J56:J57"/>
    <mergeCell ref="A57:B57"/>
    <mergeCell ref="A61:B61"/>
    <mergeCell ref="A62:B62"/>
    <mergeCell ref="A49:B49"/>
    <mergeCell ref="A50:B50"/>
    <mergeCell ref="A55:B55"/>
    <mergeCell ref="A56:B56"/>
    <mergeCell ref="H56:H57"/>
    <mergeCell ref="A63:B63"/>
    <mergeCell ref="A64:B64"/>
    <mergeCell ref="A65:B65"/>
    <mergeCell ref="A68:B68"/>
    <mergeCell ref="I56:I5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J69"/>
  <sheetViews>
    <sheetView workbookViewId="0"/>
  </sheetViews>
  <sheetFormatPr defaultRowHeight="15" x14ac:dyDescent="0.25"/>
  <cols>
    <col min="1" max="1" width="28.42578125" bestFit="1" customWidth="1"/>
    <col min="2" max="2" width="59.5703125" bestFit="1" customWidth="1"/>
    <col min="3" max="3" width="12.7109375" bestFit="1" customWidth="1"/>
    <col min="4" max="4" width="21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353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535</v>
      </c>
    </row>
    <row r="7" spans="1:10" s="2" customFormat="1" x14ac:dyDescent="0.25">
      <c r="C7" s="30" t="s">
        <v>5</v>
      </c>
      <c r="D7" s="31"/>
      <c r="E7" s="31"/>
      <c r="F7" s="31"/>
      <c r="G7" s="31"/>
    </row>
    <row r="8" spans="1:10" s="2" customFormat="1" x14ac:dyDescent="0.25">
      <c r="A8" s="3" t="s">
        <v>6</v>
      </c>
      <c r="B8" s="3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3" t="s">
        <v>13</v>
      </c>
      <c r="I8" s="3" t="s">
        <v>14</v>
      </c>
      <c r="J8" s="3" t="s">
        <v>15</v>
      </c>
    </row>
    <row r="9" spans="1:10" x14ac:dyDescent="0.25">
      <c r="A9" s="1" t="s">
        <v>16</v>
      </c>
      <c r="B9" s="1" t="s">
        <v>17</v>
      </c>
      <c r="C9" s="4"/>
      <c r="D9" s="4"/>
      <c r="E9" s="4">
        <v>23</v>
      </c>
      <c r="F9" s="4"/>
      <c r="G9" s="4">
        <f t="shared" ref="G9:G37" si="0">SUM(C9:F9)</f>
        <v>23</v>
      </c>
      <c r="H9" s="1">
        <f t="shared" ref="H9:H37" si="1">ROUND(G9/535,2)</f>
        <v>0.04</v>
      </c>
      <c r="I9" s="1">
        <f t="shared" ref="I9:I37" si="2">ROUND(G9/$G$38,3)</f>
        <v>0</v>
      </c>
      <c r="J9" s="1"/>
    </row>
    <row r="10" spans="1:10" x14ac:dyDescent="0.25">
      <c r="A10" s="1" t="s">
        <v>16</v>
      </c>
      <c r="B10" s="1" t="s">
        <v>19</v>
      </c>
      <c r="C10" s="4">
        <v>20050</v>
      </c>
      <c r="D10" s="4"/>
      <c r="E10" s="4">
        <v>3162</v>
      </c>
      <c r="F10" s="4"/>
      <c r="G10" s="4">
        <f t="shared" si="0"/>
        <v>23212</v>
      </c>
      <c r="H10" s="1">
        <f t="shared" si="1"/>
        <v>43.39</v>
      </c>
      <c r="I10" s="1">
        <f t="shared" si="2"/>
        <v>0.109</v>
      </c>
      <c r="J10" s="1">
        <f>ROUND(G10/19139.33-1,2)</f>
        <v>0.21</v>
      </c>
    </row>
    <row r="11" spans="1:10" x14ac:dyDescent="0.25">
      <c r="A11" s="1" t="s">
        <v>16</v>
      </c>
      <c r="B11" s="1" t="s">
        <v>20</v>
      </c>
      <c r="C11" s="4">
        <v>22915</v>
      </c>
      <c r="D11" s="4"/>
      <c r="E11" s="4">
        <v>608</v>
      </c>
      <c r="F11" s="4"/>
      <c r="G11" s="4">
        <f t="shared" si="0"/>
        <v>23523</v>
      </c>
      <c r="H11" s="1">
        <f t="shared" si="1"/>
        <v>43.97</v>
      </c>
      <c r="I11" s="1">
        <f t="shared" si="2"/>
        <v>0.111</v>
      </c>
      <c r="J11" s="1">
        <f>ROUND(G11/22670-1,2)</f>
        <v>0.04</v>
      </c>
    </row>
    <row r="12" spans="1:10" x14ac:dyDescent="0.25">
      <c r="A12" s="1" t="s">
        <v>16</v>
      </c>
      <c r="B12" s="1" t="s">
        <v>21</v>
      </c>
      <c r="C12" s="4"/>
      <c r="D12" s="4"/>
      <c r="E12" s="4">
        <v>53</v>
      </c>
      <c r="F12" s="4"/>
      <c r="G12" s="4">
        <f t="shared" si="0"/>
        <v>53</v>
      </c>
      <c r="H12" s="1">
        <f t="shared" si="1"/>
        <v>0.1</v>
      </c>
      <c r="I12" s="1">
        <f t="shared" si="2"/>
        <v>0</v>
      </c>
      <c r="J12" s="1">
        <f>ROUND(G12/18.34-1,2)</f>
        <v>1.89</v>
      </c>
    </row>
    <row r="13" spans="1:10" x14ac:dyDescent="0.25">
      <c r="A13" s="1" t="s">
        <v>16</v>
      </c>
      <c r="B13" s="1" t="s">
        <v>22</v>
      </c>
      <c r="C13" s="4"/>
      <c r="D13" s="4"/>
      <c r="E13" s="4">
        <v>499</v>
      </c>
      <c r="F13" s="4"/>
      <c r="G13" s="4">
        <f t="shared" si="0"/>
        <v>499</v>
      </c>
      <c r="H13" s="1">
        <f t="shared" si="1"/>
        <v>0.93</v>
      </c>
      <c r="I13" s="1">
        <f t="shared" si="2"/>
        <v>2E-3</v>
      </c>
      <c r="J13" s="1">
        <f>ROUND(G13/62.5-1,2)</f>
        <v>6.98</v>
      </c>
    </row>
    <row r="14" spans="1:10" x14ac:dyDescent="0.25">
      <c r="A14" s="1" t="s">
        <v>16</v>
      </c>
      <c r="B14" s="1" t="s">
        <v>23</v>
      </c>
      <c r="C14" s="4"/>
      <c r="D14" s="4"/>
      <c r="E14" s="4">
        <v>19703</v>
      </c>
      <c r="F14" s="4"/>
      <c r="G14" s="4">
        <f t="shared" si="0"/>
        <v>19703</v>
      </c>
      <c r="H14" s="1">
        <f t="shared" si="1"/>
        <v>36.83</v>
      </c>
      <c r="I14" s="1">
        <f t="shared" si="2"/>
        <v>9.2999999999999999E-2</v>
      </c>
      <c r="J14" s="1">
        <f>ROUND(G14/9355.52-1,2)</f>
        <v>1.1100000000000001</v>
      </c>
    </row>
    <row r="15" spans="1:10" x14ac:dyDescent="0.25">
      <c r="A15" s="1" t="s">
        <v>16</v>
      </c>
      <c r="B15" s="1" t="s">
        <v>24</v>
      </c>
      <c r="C15" s="4">
        <v>21410</v>
      </c>
      <c r="D15" s="4"/>
      <c r="E15" s="4">
        <v>5303</v>
      </c>
      <c r="F15" s="4"/>
      <c r="G15" s="4">
        <f t="shared" si="0"/>
        <v>26713</v>
      </c>
      <c r="H15" s="1">
        <f t="shared" si="1"/>
        <v>49.93</v>
      </c>
      <c r="I15" s="1">
        <f t="shared" si="2"/>
        <v>0.126</v>
      </c>
      <c r="J15" s="1">
        <f>ROUND(G15/21077.98-1,2)</f>
        <v>0.27</v>
      </c>
    </row>
    <row r="16" spans="1:10" x14ac:dyDescent="0.25">
      <c r="A16" s="1" t="s">
        <v>16</v>
      </c>
      <c r="B16" s="1" t="s">
        <v>25</v>
      </c>
      <c r="C16" s="4"/>
      <c r="D16" s="4"/>
      <c r="E16" s="4">
        <v>1300</v>
      </c>
      <c r="F16" s="4"/>
      <c r="G16" s="4">
        <f t="shared" si="0"/>
        <v>1300</v>
      </c>
      <c r="H16" s="1">
        <f t="shared" si="1"/>
        <v>2.4300000000000002</v>
      </c>
      <c r="I16" s="1">
        <f t="shared" si="2"/>
        <v>6.0000000000000001E-3</v>
      </c>
      <c r="J16" s="1"/>
    </row>
    <row r="17" spans="1:10" x14ac:dyDescent="0.25">
      <c r="A17" s="1" t="s">
        <v>16</v>
      </c>
      <c r="B17" s="1" t="s">
        <v>26</v>
      </c>
      <c r="C17" s="4">
        <v>16700</v>
      </c>
      <c r="D17" s="4"/>
      <c r="E17" s="4"/>
      <c r="F17" s="4"/>
      <c r="G17" s="4">
        <f t="shared" si="0"/>
        <v>16700</v>
      </c>
      <c r="H17" s="1">
        <f t="shared" si="1"/>
        <v>31.21</v>
      </c>
      <c r="I17" s="1">
        <f t="shared" si="2"/>
        <v>7.9000000000000001E-2</v>
      </c>
      <c r="J17" s="1">
        <f>ROUND(G17/19110-1,2)</f>
        <v>-0.13</v>
      </c>
    </row>
    <row r="18" spans="1:10" x14ac:dyDescent="0.25">
      <c r="A18" s="1" t="s">
        <v>16</v>
      </c>
      <c r="B18" s="1" t="s">
        <v>27</v>
      </c>
      <c r="C18" s="4"/>
      <c r="D18" s="4"/>
      <c r="E18" s="4">
        <v>163</v>
      </c>
      <c r="F18" s="4"/>
      <c r="G18" s="4">
        <f t="shared" si="0"/>
        <v>163</v>
      </c>
      <c r="H18" s="1">
        <f t="shared" si="1"/>
        <v>0.3</v>
      </c>
      <c r="I18" s="1">
        <f t="shared" si="2"/>
        <v>1E-3</v>
      </c>
      <c r="J18" s="1"/>
    </row>
    <row r="19" spans="1:10" x14ac:dyDescent="0.25">
      <c r="A19" s="1" t="s">
        <v>16</v>
      </c>
      <c r="B19" s="1" t="s">
        <v>28</v>
      </c>
      <c r="C19" s="4"/>
      <c r="D19" s="4"/>
      <c r="E19" s="4">
        <v>105</v>
      </c>
      <c r="F19" s="4"/>
      <c r="G19" s="4">
        <f t="shared" si="0"/>
        <v>105</v>
      </c>
      <c r="H19" s="1">
        <f t="shared" si="1"/>
        <v>0.2</v>
      </c>
      <c r="I19" s="1">
        <f t="shared" si="2"/>
        <v>0</v>
      </c>
      <c r="J19" s="1"/>
    </row>
    <row r="20" spans="1:10" x14ac:dyDescent="0.25">
      <c r="A20" s="1" t="s">
        <v>16</v>
      </c>
      <c r="B20" s="1" t="s">
        <v>29</v>
      </c>
      <c r="C20" s="4"/>
      <c r="D20" s="4"/>
      <c r="E20" s="4">
        <v>146</v>
      </c>
      <c r="F20" s="4"/>
      <c r="G20" s="4">
        <f t="shared" si="0"/>
        <v>146</v>
      </c>
      <c r="H20" s="1">
        <f t="shared" si="1"/>
        <v>0.27</v>
      </c>
      <c r="I20" s="1">
        <f t="shared" si="2"/>
        <v>1E-3</v>
      </c>
      <c r="J20" s="1">
        <f>ROUND(G20/95.45-1,2)</f>
        <v>0.53</v>
      </c>
    </row>
    <row r="21" spans="1:10" x14ac:dyDescent="0.25">
      <c r="A21" s="1" t="s">
        <v>16</v>
      </c>
      <c r="B21" s="1" t="s">
        <v>30</v>
      </c>
      <c r="C21" s="4"/>
      <c r="D21" s="4"/>
      <c r="E21" s="4">
        <v>273</v>
      </c>
      <c r="F21" s="4"/>
      <c r="G21" s="4">
        <f t="shared" si="0"/>
        <v>273</v>
      </c>
      <c r="H21" s="1">
        <f t="shared" si="1"/>
        <v>0.51</v>
      </c>
      <c r="I21" s="1">
        <f t="shared" si="2"/>
        <v>1E-3</v>
      </c>
      <c r="J21" s="1">
        <f>ROUND(G21/89.36-1,2)</f>
        <v>2.06</v>
      </c>
    </row>
    <row r="22" spans="1:10" x14ac:dyDescent="0.25">
      <c r="A22" s="1" t="s">
        <v>16</v>
      </c>
      <c r="B22" s="1" t="s">
        <v>32</v>
      </c>
      <c r="C22" s="4"/>
      <c r="D22" s="4"/>
      <c r="E22" s="4">
        <v>370</v>
      </c>
      <c r="F22" s="4"/>
      <c r="G22" s="4">
        <f t="shared" si="0"/>
        <v>370</v>
      </c>
      <c r="H22" s="1">
        <f t="shared" si="1"/>
        <v>0.69</v>
      </c>
      <c r="I22" s="1">
        <f t="shared" si="2"/>
        <v>2E-3</v>
      </c>
      <c r="J22" s="1">
        <f>ROUND(G22/42.03-1,2)</f>
        <v>7.8</v>
      </c>
    </row>
    <row r="23" spans="1:10" x14ac:dyDescent="0.25">
      <c r="A23" s="1" t="s">
        <v>16</v>
      </c>
      <c r="B23" s="1" t="s">
        <v>33</v>
      </c>
      <c r="C23" s="4"/>
      <c r="D23" s="4"/>
      <c r="E23" s="4">
        <v>27</v>
      </c>
      <c r="F23" s="4"/>
      <c r="G23" s="4">
        <f t="shared" si="0"/>
        <v>27</v>
      </c>
      <c r="H23" s="1">
        <f t="shared" si="1"/>
        <v>0.05</v>
      </c>
      <c r="I23" s="1">
        <f t="shared" si="2"/>
        <v>0</v>
      </c>
      <c r="J23" s="1"/>
    </row>
    <row r="24" spans="1:10" x14ac:dyDescent="0.25">
      <c r="A24" s="1" t="s">
        <v>16</v>
      </c>
      <c r="B24" s="1" t="s">
        <v>35</v>
      </c>
      <c r="C24" s="4"/>
      <c r="D24" s="4"/>
      <c r="E24" s="4">
        <v>246</v>
      </c>
      <c r="F24" s="4"/>
      <c r="G24" s="4">
        <f t="shared" si="0"/>
        <v>246</v>
      </c>
      <c r="H24" s="1">
        <f t="shared" si="1"/>
        <v>0.46</v>
      </c>
      <c r="I24" s="1">
        <f t="shared" si="2"/>
        <v>1E-3</v>
      </c>
      <c r="J24" s="1">
        <f>ROUND(G24/73.75-1,2)</f>
        <v>2.34</v>
      </c>
    </row>
    <row r="25" spans="1:10" x14ac:dyDescent="0.25">
      <c r="A25" s="1" t="s">
        <v>16</v>
      </c>
      <c r="B25" s="1" t="s">
        <v>34</v>
      </c>
      <c r="C25" s="4"/>
      <c r="D25" s="4"/>
      <c r="E25" s="4">
        <v>12</v>
      </c>
      <c r="F25" s="4"/>
      <c r="G25" s="4">
        <f t="shared" si="0"/>
        <v>12</v>
      </c>
      <c r="H25" s="1">
        <f t="shared" si="1"/>
        <v>0.02</v>
      </c>
      <c r="I25" s="1">
        <f t="shared" si="2"/>
        <v>0</v>
      </c>
      <c r="J25" s="1"/>
    </row>
    <row r="26" spans="1:10" x14ac:dyDescent="0.25">
      <c r="A26" s="1" t="s">
        <v>16</v>
      </c>
      <c r="B26" s="1" t="s">
        <v>37</v>
      </c>
      <c r="C26" s="4"/>
      <c r="D26" s="4"/>
      <c r="E26" s="4">
        <v>651</v>
      </c>
      <c r="F26" s="4"/>
      <c r="G26" s="4">
        <f t="shared" si="0"/>
        <v>651</v>
      </c>
      <c r="H26" s="1">
        <f t="shared" si="1"/>
        <v>1.22</v>
      </c>
      <c r="I26" s="1">
        <f t="shared" si="2"/>
        <v>3.0000000000000001E-3</v>
      </c>
      <c r="J26" s="1">
        <f>ROUND(G26/50.31-1,2)</f>
        <v>11.94</v>
      </c>
    </row>
    <row r="27" spans="1:10" x14ac:dyDescent="0.25">
      <c r="A27" s="1" t="s">
        <v>16</v>
      </c>
      <c r="B27" s="1" t="s">
        <v>38</v>
      </c>
      <c r="C27" s="4"/>
      <c r="D27" s="4"/>
      <c r="E27" s="4">
        <v>15714</v>
      </c>
      <c r="F27" s="4"/>
      <c r="G27" s="4">
        <f t="shared" si="0"/>
        <v>15714</v>
      </c>
      <c r="H27" s="1">
        <f t="shared" si="1"/>
        <v>29.37</v>
      </c>
      <c r="I27" s="1">
        <f t="shared" si="2"/>
        <v>7.3999999999999996E-2</v>
      </c>
      <c r="J27" s="1">
        <f>ROUND(G27/6093.66-1,2)</f>
        <v>1.58</v>
      </c>
    </row>
    <row r="28" spans="1:10" x14ac:dyDescent="0.25">
      <c r="A28" s="1" t="s">
        <v>16</v>
      </c>
      <c r="B28" s="1" t="s">
        <v>40</v>
      </c>
      <c r="C28" s="4"/>
      <c r="D28" s="4"/>
      <c r="E28" s="4">
        <v>5237</v>
      </c>
      <c r="F28" s="4"/>
      <c r="G28" s="4">
        <f t="shared" si="0"/>
        <v>5237</v>
      </c>
      <c r="H28" s="1">
        <f t="shared" si="1"/>
        <v>9.7899999999999991</v>
      </c>
      <c r="I28" s="1">
        <f t="shared" si="2"/>
        <v>2.5000000000000001E-2</v>
      </c>
      <c r="J28" s="1">
        <f>ROUND(G28/2099.21-1,2)</f>
        <v>1.49</v>
      </c>
    </row>
    <row r="29" spans="1:10" x14ac:dyDescent="0.25">
      <c r="A29" s="1" t="s">
        <v>16</v>
      </c>
      <c r="B29" s="1" t="s">
        <v>41</v>
      </c>
      <c r="C29" s="4"/>
      <c r="D29" s="4"/>
      <c r="E29" s="4">
        <v>5685</v>
      </c>
      <c r="F29" s="4"/>
      <c r="G29" s="4">
        <f t="shared" si="0"/>
        <v>5685</v>
      </c>
      <c r="H29" s="1">
        <f t="shared" si="1"/>
        <v>10.63</v>
      </c>
      <c r="I29" s="1">
        <f t="shared" si="2"/>
        <v>2.7E-2</v>
      </c>
      <c r="J29" s="1">
        <f>ROUND(G29/2502.05-1,2)</f>
        <v>1.27</v>
      </c>
    </row>
    <row r="30" spans="1:10" x14ac:dyDescent="0.25">
      <c r="A30" s="1" t="s">
        <v>16</v>
      </c>
      <c r="B30" s="1" t="s">
        <v>42</v>
      </c>
      <c r="C30" s="4"/>
      <c r="D30" s="4"/>
      <c r="E30" s="4"/>
      <c r="F30" s="4"/>
      <c r="G30" s="4">
        <f t="shared" si="0"/>
        <v>0</v>
      </c>
      <c r="H30" s="1">
        <f t="shared" si="1"/>
        <v>0</v>
      </c>
      <c r="I30" s="1">
        <f t="shared" si="2"/>
        <v>0</v>
      </c>
      <c r="J30" s="1">
        <f>ROUND(G30/22.77-1,2)</f>
        <v>-1</v>
      </c>
    </row>
    <row r="31" spans="1:10" x14ac:dyDescent="0.25">
      <c r="A31" s="1" t="s">
        <v>16</v>
      </c>
      <c r="B31" s="1" t="s">
        <v>36</v>
      </c>
      <c r="C31" s="4"/>
      <c r="D31" s="4"/>
      <c r="E31" s="4"/>
      <c r="F31" s="4"/>
      <c r="G31" s="4">
        <f t="shared" si="0"/>
        <v>0</v>
      </c>
      <c r="H31" s="1">
        <f t="shared" si="1"/>
        <v>0</v>
      </c>
      <c r="I31" s="1">
        <f t="shared" si="2"/>
        <v>0</v>
      </c>
      <c r="J31" s="1">
        <f>ROUND(G31/316.8-1,2)</f>
        <v>-1</v>
      </c>
    </row>
    <row r="32" spans="1:10" x14ac:dyDescent="0.25">
      <c r="A32" s="1" t="s">
        <v>16</v>
      </c>
      <c r="B32" s="1" t="s">
        <v>31</v>
      </c>
      <c r="C32" s="4"/>
      <c r="D32" s="4"/>
      <c r="E32" s="4"/>
      <c r="F32" s="4"/>
      <c r="G32" s="4">
        <f t="shared" si="0"/>
        <v>0</v>
      </c>
      <c r="H32" s="1">
        <f t="shared" si="1"/>
        <v>0</v>
      </c>
      <c r="I32" s="1">
        <f t="shared" si="2"/>
        <v>0</v>
      </c>
      <c r="J32" s="1"/>
    </row>
    <row r="33" spans="1:10" x14ac:dyDescent="0.25">
      <c r="A33" s="1" t="s">
        <v>16</v>
      </c>
      <c r="B33" s="1" t="s">
        <v>39</v>
      </c>
      <c r="C33" s="4"/>
      <c r="D33" s="4"/>
      <c r="E33" s="4"/>
      <c r="F33" s="4"/>
      <c r="G33" s="4">
        <f t="shared" si="0"/>
        <v>0</v>
      </c>
      <c r="H33" s="1">
        <f t="shared" si="1"/>
        <v>0</v>
      </c>
      <c r="I33" s="1">
        <f t="shared" si="2"/>
        <v>0</v>
      </c>
      <c r="J33" s="1"/>
    </row>
    <row r="34" spans="1:10" x14ac:dyDescent="0.25">
      <c r="A34" s="1" t="s">
        <v>44</v>
      </c>
      <c r="B34" s="1" t="s">
        <v>45</v>
      </c>
      <c r="C34" s="4">
        <v>60740</v>
      </c>
      <c r="D34" s="4"/>
      <c r="E34" s="4"/>
      <c r="F34" s="4"/>
      <c r="G34" s="4">
        <f t="shared" si="0"/>
        <v>60740</v>
      </c>
      <c r="H34" s="1">
        <f t="shared" si="1"/>
        <v>113.53</v>
      </c>
      <c r="I34" s="1">
        <f t="shared" si="2"/>
        <v>0.28699999999999998</v>
      </c>
      <c r="J34" s="1">
        <f>ROUND(G34/54370-1,2)</f>
        <v>0.12</v>
      </c>
    </row>
    <row r="35" spans="1:10" x14ac:dyDescent="0.25">
      <c r="A35" s="1" t="s">
        <v>44</v>
      </c>
      <c r="B35" s="1" t="s">
        <v>46</v>
      </c>
      <c r="C35" s="4"/>
      <c r="D35" s="4"/>
      <c r="E35" s="4">
        <v>10903</v>
      </c>
      <c r="F35" s="4"/>
      <c r="G35" s="4">
        <f t="shared" si="0"/>
        <v>10903</v>
      </c>
      <c r="H35" s="1">
        <f t="shared" si="1"/>
        <v>20.38</v>
      </c>
      <c r="I35" s="1">
        <f t="shared" si="2"/>
        <v>5.0999999999999997E-2</v>
      </c>
      <c r="J35" s="1">
        <f>ROUND(G35/3386.31-1,2)</f>
        <v>2.2200000000000002</v>
      </c>
    </row>
    <row r="36" spans="1:10" x14ac:dyDescent="0.25">
      <c r="A36" s="1" t="s">
        <v>44</v>
      </c>
      <c r="B36" s="1" t="s">
        <v>47</v>
      </c>
      <c r="C36" s="4"/>
      <c r="D36" s="4"/>
      <c r="E36" s="4"/>
      <c r="F36" s="4"/>
      <c r="G36" s="4">
        <f t="shared" si="0"/>
        <v>0</v>
      </c>
      <c r="H36" s="1">
        <f t="shared" si="1"/>
        <v>0</v>
      </c>
      <c r="I36" s="1">
        <f t="shared" si="2"/>
        <v>0</v>
      </c>
      <c r="J36" s="1"/>
    </row>
    <row r="37" spans="1:10" x14ac:dyDescent="0.25">
      <c r="A37" s="1" t="s">
        <v>48</v>
      </c>
      <c r="B37" s="1" t="s">
        <v>51</v>
      </c>
      <c r="C37" s="4"/>
      <c r="D37" s="4"/>
      <c r="E37" s="4"/>
      <c r="F37" s="4"/>
      <c r="G37" s="4">
        <f t="shared" si="0"/>
        <v>0</v>
      </c>
      <c r="H37" s="1">
        <f t="shared" si="1"/>
        <v>0</v>
      </c>
      <c r="I37" s="1">
        <f t="shared" si="2"/>
        <v>0</v>
      </c>
      <c r="J37" s="1"/>
    </row>
    <row r="38" spans="1:10" x14ac:dyDescent="0.25">
      <c r="A38" s="27" t="s">
        <v>12</v>
      </c>
      <c r="B38" s="27"/>
      <c r="C38" s="5">
        <f t="shared" ref="C38:H38" si="3">SUM(C8:C37)</f>
        <v>141815</v>
      </c>
      <c r="D38" s="5">
        <f t="shared" si="3"/>
        <v>0</v>
      </c>
      <c r="E38" s="5">
        <f t="shared" si="3"/>
        <v>70183</v>
      </c>
      <c r="F38" s="5">
        <f t="shared" si="3"/>
        <v>0</v>
      </c>
      <c r="G38" s="5">
        <f t="shared" si="3"/>
        <v>211998</v>
      </c>
      <c r="H38" s="3">
        <f t="shared" si="3"/>
        <v>396.25</v>
      </c>
      <c r="I38" s="2"/>
      <c r="J38" s="2"/>
    </row>
    <row r="39" spans="1:10" x14ac:dyDescent="0.25">
      <c r="A39" s="27" t="s">
        <v>14</v>
      </c>
      <c r="B39" s="27"/>
      <c r="C39" s="6">
        <f>ROUND(C38/G38,2)</f>
        <v>0.67</v>
      </c>
      <c r="D39" s="6">
        <f>ROUND(D38/G38,2)</f>
        <v>0</v>
      </c>
      <c r="E39" s="6">
        <f>ROUND(E38/G38,2)</f>
        <v>0.33</v>
      </c>
      <c r="F39" s="6">
        <f>ROUND(F38/G38,2)</f>
        <v>0</v>
      </c>
      <c r="G39" s="2"/>
      <c r="H39" s="2"/>
      <c r="I39" s="2"/>
      <c r="J39" s="2"/>
    </row>
    <row r="40" spans="1:10" x14ac:dyDescent="0.25">
      <c r="A40" s="2" t="s">
        <v>52</v>
      </c>
      <c r="B40" s="2"/>
      <c r="C40" s="2"/>
      <c r="D40" s="2"/>
      <c r="E40" s="2"/>
      <c r="F40" s="2"/>
      <c r="G40" s="2"/>
      <c r="H40" s="2"/>
      <c r="I40" s="2"/>
      <c r="J40" s="2"/>
    </row>
    <row r="44" spans="1:10" x14ac:dyDescent="0.25">
      <c r="A44" s="27" t="s">
        <v>53</v>
      </c>
      <c r="B44" s="27"/>
      <c r="C44" s="5" t="s">
        <v>8</v>
      </c>
      <c r="D44" s="5" t="s">
        <v>9</v>
      </c>
      <c r="E44" s="5" t="s">
        <v>10</v>
      </c>
      <c r="F44" s="5" t="s">
        <v>11</v>
      </c>
      <c r="G44" s="5" t="s">
        <v>12</v>
      </c>
      <c r="H44" s="3" t="s">
        <v>13</v>
      </c>
      <c r="I44" s="2"/>
      <c r="J44" s="2"/>
    </row>
    <row r="45" spans="1:10" x14ac:dyDescent="0.25">
      <c r="A45" s="22" t="s">
        <v>54</v>
      </c>
      <c r="B45" s="22"/>
      <c r="C45" s="4">
        <v>81075</v>
      </c>
      <c r="D45" s="4">
        <v>0</v>
      </c>
      <c r="E45" s="4">
        <v>59280</v>
      </c>
      <c r="F45" s="4">
        <v>0</v>
      </c>
      <c r="G45" s="4">
        <f>SUM(C45:F45)</f>
        <v>140355</v>
      </c>
      <c r="H45" s="1">
        <f>ROUND(G45/535,2)</f>
        <v>262.35000000000002</v>
      </c>
    </row>
    <row r="46" spans="1:10" x14ac:dyDescent="0.25">
      <c r="A46" s="22" t="s">
        <v>55</v>
      </c>
      <c r="B46" s="22"/>
      <c r="C46" s="4">
        <v>60740</v>
      </c>
      <c r="D46" s="4">
        <v>0</v>
      </c>
      <c r="E46" s="4">
        <v>10903</v>
      </c>
      <c r="F46" s="4">
        <v>0</v>
      </c>
      <c r="G46" s="4">
        <f>SUM(C46:F46)</f>
        <v>71643</v>
      </c>
      <c r="H46" s="1">
        <f>ROUND(G46/535,2)</f>
        <v>133.91</v>
      </c>
    </row>
    <row r="47" spans="1:10" x14ac:dyDescent="0.25">
      <c r="A47" s="22" t="s">
        <v>56</v>
      </c>
      <c r="B47" s="22"/>
      <c r="C47" s="4">
        <v>0</v>
      </c>
      <c r="D47" s="4">
        <v>0</v>
      </c>
      <c r="E47" s="4">
        <v>0</v>
      </c>
      <c r="F47" s="4">
        <v>0</v>
      </c>
      <c r="G47" s="4">
        <f>SUM(C47:F47)</f>
        <v>0</v>
      </c>
      <c r="H47" s="1">
        <f>ROUND(G47/535,2)</f>
        <v>0</v>
      </c>
    </row>
    <row r="52" spans="1:10" x14ac:dyDescent="0.25">
      <c r="A52" s="27" t="s">
        <v>57</v>
      </c>
      <c r="B52" s="27"/>
      <c r="C52" s="3" t="s">
        <v>2</v>
      </c>
      <c r="D52" s="3">
        <v>2023</v>
      </c>
      <c r="E52" s="3" t="s">
        <v>59</v>
      </c>
      <c r="F52" s="2"/>
      <c r="G52" s="3" t="s">
        <v>60</v>
      </c>
      <c r="H52" s="3" t="s">
        <v>2</v>
      </c>
      <c r="I52" s="3" t="s">
        <v>61</v>
      </c>
      <c r="J52" s="3" t="s">
        <v>59</v>
      </c>
    </row>
    <row r="53" spans="1:10" x14ac:dyDescent="0.25">
      <c r="A53" s="22" t="s">
        <v>58</v>
      </c>
      <c r="B53" s="22"/>
      <c r="C53" s="7">
        <f>ROUND(0.6817, 4)</f>
        <v>0.68169999999999997</v>
      </c>
      <c r="D53" s="7">
        <f>ROUND(0.629, 4)</f>
        <v>0.629</v>
      </c>
      <c r="E53" s="7">
        <f>ROUND(0.777, 4)</f>
        <v>0.77700000000000002</v>
      </c>
      <c r="G53" s="3" t="s">
        <v>62</v>
      </c>
      <c r="H53" s="32" t="s">
        <v>63</v>
      </c>
      <c r="I53" s="32" t="s">
        <v>64</v>
      </c>
      <c r="J53" s="32" t="s">
        <v>65</v>
      </c>
    </row>
    <row r="54" spans="1:10" x14ac:dyDescent="0.25">
      <c r="A54" s="22" t="s">
        <v>66</v>
      </c>
      <c r="B54" s="22"/>
      <c r="C54" s="7">
        <f>ROUND(0.6367, 4)</f>
        <v>0.63670000000000004</v>
      </c>
      <c r="D54" s="7">
        <f>ROUND(0.5814, 4)</f>
        <v>0.58140000000000003</v>
      </c>
      <c r="E54" s="7">
        <f>ROUND(0.7608, 4)</f>
        <v>0.76080000000000003</v>
      </c>
      <c r="G54" s="3" t="s">
        <v>67</v>
      </c>
      <c r="H54" s="22"/>
      <c r="I54" s="22"/>
      <c r="J54" s="22"/>
    </row>
    <row r="58" spans="1:10" x14ac:dyDescent="0.25">
      <c r="A58" s="27" t="s">
        <v>68</v>
      </c>
      <c r="B58" s="27"/>
      <c r="C58" s="3" t="s">
        <v>2</v>
      </c>
      <c r="D58" s="3" t="s">
        <v>354</v>
      </c>
      <c r="E58" s="3" t="s">
        <v>70</v>
      </c>
      <c r="F58" s="3" t="s">
        <v>71</v>
      </c>
      <c r="G58" s="3" t="s">
        <v>72</v>
      </c>
      <c r="H58" s="2"/>
      <c r="I58" s="2"/>
      <c r="J58" s="2"/>
    </row>
    <row r="59" spans="1:10" x14ac:dyDescent="0.25">
      <c r="A59" s="22" t="s">
        <v>73</v>
      </c>
      <c r="B59" s="22"/>
      <c r="C59" s="1">
        <v>113.53</v>
      </c>
      <c r="D59" s="1">
        <v>94.71</v>
      </c>
      <c r="E59" s="1">
        <v>92.53</v>
      </c>
      <c r="F59" s="1">
        <v>56.06</v>
      </c>
      <c r="G59" s="1">
        <f>12/11*C59</f>
        <v>123.85090909090908</v>
      </c>
    </row>
    <row r="60" spans="1:10" x14ac:dyDescent="0.25">
      <c r="A60" s="22" t="s">
        <v>74</v>
      </c>
      <c r="B60" s="22"/>
      <c r="C60" s="1">
        <v>31.21</v>
      </c>
      <c r="D60" s="1">
        <v>46.66</v>
      </c>
      <c r="E60" s="1">
        <v>61.98</v>
      </c>
      <c r="F60" s="1">
        <v>64.09</v>
      </c>
      <c r="G60" s="1">
        <f>12/11*C60</f>
        <v>34.047272727272727</v>
      </c>
    </row>
    <row r="61" spans="1:10" x14ac:dyDescent="0.25">
      <c r="A61" s="22" t="s">
        <v>75</v>
      </c>
      <c r="B61" s="22"/>
      <c r="C61" s="1">
        <v>262.35000000000002</v>
      </c>
      <c r="D61" s="1">
        <v>260.83999999999997</v>
      </c>
      <c r="E61" s="1">
        <v>291.51</v>
      </c>
      <c r="F61" s="1">
        <v>284.45</v>
      </c>
      <c r="G61" s="1">
        <f>12/11*C61</f>
        <v>286.2</v>
      </c>
    </row>
    <row r="62" spans="1:10" x14ac:dyDescent="0.25">
      <c r="A62" s="22" t="s">
        <v>76</v>
      </c>
      <c r="B62" s="22"/>
      <c r="C62" s="1">
        <v>133.91</v>
      </c>
      <c r="D62" s="1">
        <v>115.1</v>
      </c>
      <c r="E62" s="1">
        <v>116.46</v>
      </c>
      <c r="F62" s="1">
        <v>79.959999999999994</v>
      </c>
      <c r="G62" s="1">
        <f>12/11*C62</f>
        <v>146.08363636363634</v>
      </c>
    </row>
    <row r="65" spans="1:2" x14ac:dyDescent="0.25">
      <c r="A65" s="23" t="s">
        <v>60</v>
      </c>
      <c r="B65" s="24"/>
    </row>
    <row r="66" spans="1:2" x14ac:dyDescent="0.25">
      <c r="A66" s="3" t="s">
        <v>77</v>
      </c>
      <c r="B66" s="1" t="s">
        <v>355</v>
      </c>
    </row>
    <row r="67" spans="1:2" x14ac:dyDescent="0.25">
      <c r="A67" s="3" t="s">
        <v>70</v>
      </c>
      <c r="B67" s="1" t="s">
        <v>79</v>
      </c>
    </row>
    <row r="68" spans="1:2" x14ac:dyDescent="0.25">
      <c r="A68" s="3" t="s">
        <v>71</v>
      </c>
      <c r="B68" s="1" t="s">
        <v>80</v>
      </c>
    </row>
    <row r="69" spans="1:2" x14ac:dyDescent="0.25">
      <c r="A69" s="3" t="s">
        <v>72</v>
      </c>
      <c r="B69" s="1" t="s">
        <v>81</v>
      </c>
    </row>
  </sheetData>
  <mergeCells count="19">
    <mergeCell ref="C7:G7"/>
    <mergeCell ref="A38:B38"/>
    <mergeCell ref="A39:B39"/>
    <mergeCell ref="A44:B44"/>
    <mergeCell ref="A45:B45"/>
    <mergeCell ref="J53:J54"/>
    <mergeCell ref="A54:B54"/>
    <mergeCell ref="A58:B58"/>
    <mergeCell ref="A59:B59"/>
    <mergeCell ref="A46:B46"/>
    <mergeCell ref="A47:B47"/>
    <mergeCell ref="A52:B52"/>
    <mergeCell ref="A53:B53"/>
    <mergeCell ref="H53:H54"/>
    <mergeCell ref="A60:B60"/>
    <mergeCell ref="A61:B61"/>
    <mergeCell ref="A62:B62"/>
    <mergeCell ref="A65:B65"/>
    <mergeCell ref="I53:I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78"/>
  <sheetViews>
    <sheetView workbookViewId="0"/>
  </sheetViews>
  <sheetFormatPr defaultRowHeight="15" x14ac:dyDescent="0.25"/>
  <cols>
    <col min="1" max="1" width="28.42578125" bestFit="1" customWidth="1"/>
    <col min="2" max="2" width="61.28515625" bestFit="1" customWidth="1"/>
    <col min="3" max="3" width="12.7109375" bestFit="1" customWidth="1"/>
    <col min="4" max="4" width="38.85546875" bestFit="1" customWidth="1"/>
    <col min="5" max="5" width="13.85546875" bestFit="1" customWidth="1"/>
    <col min="6" max="6" width="8.5703125" bestFit="1" customWidth="1"/>
    <col min="7" max="7" width="47.7109375" bestFit="1" customWidth="1"/>
    <col min="8" max="9" width="16.7109375" bestFit="1" customWidth="1"/>
    <col min="10" max="10" width="24.42578125" bestFit="1" customWidth="1"/>
  </cols>
  <sheetData>
    <row r="2" spans="1:10" ht="18.75" x14ac:dyDescent="0.3">
      <c r="A2" s="3" t="s">
        <v>0</v>
      </c>
      <c r="B2" s="18" t="s">
        <v>111</v>
      </c>
    </row>
    <row r="3" spans="1:10" x14ac:dyDescent="0.25">
      <c r="A3" s="3" t="s">
        <v>2</v>
      </c>
      <c r="B3" s="1" t="s">
        <v>3</v>
      </c>
    </row>
    <row r="4" spans="1:10" x14ac:dyDescent="0.25">
      <c r="A4" s="3" t="s">
        <v>4</v>
      </c>
      <c r="B4" s="19">
        <v>1533</v>
      </c>
    </row>
    <row r="7" spans="1:10" s="20" customFormat="1" x14ac:dyDescent="0.25">
      <c r="C7" s="30" t="s">
        <v>5</v>
      </c>
      <c r="D7" s="31"/>
      <c r="E7" s="31"/>
      <c r="F7" s="31"/>
      <c r="G7" s="31"/>
    </row>
    <row r="8" spans="1:10" s="20" customFormat="1" x14ac:dyDescent="0.25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</row>
    <row r="9" spans="1:10" x14ac:dyDescent="0.25">
      <c r="A9" s="1" t="s">
        <v>16</v>
      </c>
      <c r="B9" s="1" t="s">
        <v>17</v>
      </c>
      <c r="C9" s="10"/>
      <c r="D9" s="10"/>
      <c r="E9" s="10">
        <v>16</v>
      </c>
      <c r="F9" s="10"/>
      <c r="G9" s="10">
        <f t="shared" ref="G9:G35" si="0">SUM(C9:F9)</f>
        <v>16</v>
      </c>
      <c r="H9" s="16">
        <f t="shared" ref="H9:H35" si="1">ROUND(G9/1533,2)</f>
        <v>0.01</v>
      </c>
      <c r="I9" s="15">
        <f t="shared" ref="I9:I35" si="2">ROUND(G9/$G$36,3)</f>
        <v>0</v>
      </c>
      <c r="J9" s="15"/>
    </row>
    <row r="10" spans="1:10" x14ac:dyDescent="0.25">
      <c r="A10" s="1" t="s">
        <v>16</v>
      </c>
      <c r="B10" s="1" t="s">
        <v>19</v>
      </c>
      <c r="C10" s="10">
        <v>45260</v>
      </c>
      <c r="D10" s="10"/>
      <c r="E10" s="10"/>
      <c r="F10" s="10"/>
      <c r="G10" s="10">
        <f t="shared" si="0"/>
        <v>45260</v>
      </c>
      <c r="H10" s="16">
        <f t="shared" si="1"/>
        <v>29.52</v>
      </c>
      <c r="I10" s="15">
        <f t="shared" si="2"/>
        <v>7.6999999999999999E-2</v>
      </c>
      <c r="J10" s="15">
        <f>ROUND(G10/48660-1,2)</f>
        <v>-7.0000000000000007E-2</v>
      </c>
    </row>
    <row r="11" spans="1:10" x14ac:dyDescent="0.25">
      <c r="A11" s="1" t="s">
        <v>16</v>
      </c>
      <c r="B11" s="1" t="s">
        <v>20</v>
      </c>
      <c r="C11" s="10">
        <v>59890</v>
      </c>
      <c r="D11" s="10"/>
      <c r="E11" s="10"/>
      <c r="F11" s="10"/>
      <c r="G11" s="10">
        <f t="shared" si="0"/>
        <v>59890</v>
      </c>
      <c r="H11" s="16">
        <f t="shared" si="1"/>
        <v>39.07</v>
      </c>
      <c r="I11" s="15">
        <f t="shared" si="2"/>
        <v>0.10199999999999999</v>
      </c>
      <c r="J11" s="15">
        <f>ROUND(G11/58880-1,2)</f>
        <v>0.02</v>
      </c>
    </row>
    <row r="12" spans="1:10" x14ac:dyDescent="0.25">
      <c r="A12" s="1" t="s">
        <v>16</v>
      </c>
      <c r="B12" s="1" t="s">
        <v>22</v>
      </c>
      <c r="C12" s="10"/>
      <c r="D12" s="10"/>
      <c r="E12" s="10">
        <v>320</v>
      </c>
      <c r="F12" s="10"/>
      <c r="G12" s="10">
        <f t="shared" si="0"/>
        <v>320</v>
      </c>
      <c r="H12" s="16">
        <f t="shared" si="1"/>
        <v>0.21</v>
      </c>
      <c r="I12" s="15">
        <f t="shared" si="2"/>
        <v>1E-3</v>
      </c>
      <c r="J12" s="15"/>
    </row>
    <row r="13" spans="1:10" x14ac:dyDescent="0.25">
      <c r="A13" s="1" t="s">
        <v>16</v>
      </c>
      <c r="B13" s="1" t="s">
        <v>24</v>
      </c>
      <c r="C13" s="10">
        <v>62320</v>
      </c>
      <c r="D13" s="10"/>
      <c r="E13" s="10"/>
      <c r="F13" s="10"/>
      <c r="G13" s="10">
        <f t="shared" si="0"/>
        <v>62320</v>
      </c>
      <c r="H13" s="16">
        <f t="shared" si="1"/>
        <v>40.65</v>
      </c>
      <c r="I13" s="15">
        <f t="shared" si="2"/>
        <v>0.106</v>
      </c>
      <c r="J13" s="15">
        <f>ROUND(G13/61140-1,2)</f>
        <v>0.02</v>
      </c>
    </row>
    <row r="14" spans="1:10" x14ac:dyDescent="0.25">
      <c r="A14" s="1" t="s">
        <v>16</v>
      </c>
      <c r="B14" s="1" t="s">
        <v>25</v>
      </c>
      <c r="C14" s="10"/>
      <c r="D14" s="10"/>
      <c r="E14" s="10">
        <v>900</v>
      </c>
      <c r="F14" s="10"/>
      <c r="G14" s="10">
        <f t="shared" si="0"/>
        <v>900</v>
      </c>
      <c r="H14" s="16">
        <f t="shared" si="1"/>
        <v>0.59</v>
      </c>
      <c r="I14" s="15">
        <f t="shared" si="2"/>
        <v>2E-3</v>
      </c>
      <c r="J14" s="15">
        <f>ROUND(G14/805-1,2)</f>
        <v>0.12</v>
      </c>
    </row>
    <row r="15" spans="1:10" x14ac:dyDescent="0.25">
      <c r="A15" s="1" t="s">
        <v>16</v>
      </c>
      <c r="B15" s="1" t="s">
        <v>26</v>
      </c>
      <c r="C15" s="10">
        <v>127930</v>
      </c>
      <c r="D15" s="10"/>
      <c r="E15" s="10"/>
      <c r="F15" s="10">
        <v>280</v>
      </c>
      <c r="G15" s="10">
        <f t="shared" si="0"/>
        <v>128210</v>
      </c>
      <c r="H15" s="16">
        <f t="shared" si="1"/>
        <v>83.63</v>
      </c>
      <c r="I15" s="15">
        <f t="shared" si="2"/>
        <v>0.217</v>
      </c>
      <c r="J15" s="15">
        <f>ROUND(G15/129300-1,2)</f>
        <v>-0.01</v>
      </c>
    </row>
    <row r="16" spans="1:10" x14ac:dyDescent="0.25">
      <c r="A16" s="1" t="s">
        <v>16</v>
      </c>
      <c r="B16" s="1" t="s">
        <v>27</v>
      </c>
      <c r="C16" s="10"/>
      <c r="D16" s="10"/>
      <c r="E16" s="10">
        <v>605</v>
      </c>
      <c r="F16" s="10"/>
      <c r="G16" s="10">
        <f t="shared" si="0"/>
        <v>605</v>
      </c>
      <c r="H16" s="16">
        <f t="shared" si="1"/>
        <v>0.39</v>
      </c>
      <c r="I16" s="15">
        <f t="shared" si="2"/>
        <v>1E-3</v>
      </c>
      <c r="J16" s="15">
        <f>ROUND(G16/340-1,2)</f>
        <v>0.78</v>
      </c>
    </row>
    <row r="17" spans="1:10" x14ac:dyDescent="0.25">
      <c r="A17" s="1" t="s">
        <v>16</v>
      </c>
      <c r="B17" s="1" t="s">
        <v>28</v>
      </c>
      <c r="C17" s="10"/>
      <c r="D17" s="10"/>
      <c r="E17" s="10">
        <v>349</v>
      </c>
      <c r="F17" s="10"/>
      <c r="G17" s="10">
        <f t="shared" si="0"/>
        <v>349</v>
      </c>
      <c r="H17" s="16">
        <f t="shared" si="1"/>
        <v>0.23</v>
      </c>
      <c r="I17" s="15">
        <f t="shared" si="2"/>
        <v>1E-3</v>
      </c>
      <c r="J17" s="15">
        <f>ROUND(G17/100-1,2)</f>
        <v>2.4900000000000002</v>
      </c>
    </row>
    <row r="18" spans="1:10" x14ac:dyDescent="0.25">
      <c r="A18" s="1" t="s">
        <v>16</v>
      </c>
      <c r="B18" s="1" t="s">
        <v>29</v>
      </c>
      <c r="C18" s="10"/>
      <c r="D18" s="10"/>
      <c r="E18" s="10">
        <v>2060</v>
      </c>
      <c r="F18" s="10"/>
      <c r="G18" s="10">
        <f t="shared" si="0"/>
        <v>2060</v>
      </c>
      <c r="H18" s="16">
        <f t="shared" si="1"/>
        <v>1.34</v>
      </c>
      <c r="I18" s="15">
        <f t="shared" si="2"/>
        <v>3.0000000000000001E-3</v>
      </c>
      <c r="J18" s="15">
        <f>ROUND(G18/2200-1,2)</f>
        <v>-0.06</v>
      </c>
    </row>
    <row r="19" spans="1:10" x14ac:dyDescent="0.25">
      <c r="A19" s="1" t="s">
        <v>16</v>
      </c>
      <c r="B19" s="1" t="s">
        <v>30</v>
      </c>
      <c r="C19" s="10"/>
      <c r="D19" s="10"/>
      <c r="E19" s="10">
        <v>320</v>
      </c>
      <c r="F19" s="10"/>
      <c r="G19" s="10">
        <f t="shared" si="0"/>
        <v>320</v>
      </c>
      <c r="H19" s="16">
        <f t="shared" si="1"/>
        <v>0.21</v>
      </c>
      <c r="I19" s="15">
        <f t="shared" si="2"/>
        <v>1E-3</v>
      </c>
      <c r="J19" s="15">
        <f>ROUND(G19/880-1,2)</f>
        <v>-0.64</v>
      </c>
    </row>
    <row r="20" spans="1:10" x14ac:dyDescent="0.25">
      <c r="A20" s="1" t="s">
        <v>16</v>
      </c>
      <c r="B20" s="1" t="s">
        <v>33</v>
      </c>
      <c r="C20" s="10"/>
      <c r="D20" s="10">
        <v>190</v>
      </c>
      <c r="E20" s="10">
        <v>75</v>
      </c>
      <c r="F20" s="10"/>
      <c r="G20" s="10">
        <f t="shared" si="0"/>
        <v>265</v>
      </c>
      <c r="H20" s="16">
        <f t="shared" si="1"/>
        <v>0.17</v>
      </c>
      <c r="I20" s="15">
        <f t="shared" si="2"/>
        <v>0</v>
      </c>
      <c r="J20" s="15">
        <f>ROUND(G20/192-1,2)</f>
        <v>0.38</v>
      </c>
    </row>
    <row r="21" spans="1:10" x14ac:dyDescent="0.25">
      <c r="A21" s="1" t="s">
        <v>16</v>
      </c>
      <c r="B21" s="1" t="s">
        <v>35</v>
      </c>
      <c r="C21" s="10"/>
      <c r="D21" s="10"/>
      <c r="E21" s="10">
        <v>270</v>
      </c>
      <c r="F21" s="10"/>
      <c r="G21" s="10">
        <f t="shared" si="0"/>
        <v>270</v>
      </c>
      <c r="H21" s="16">
        <f t="shared" si="1"/>
        <v>0.18</v>
      </c>
      <c r="I21" s="15">
        <f t="shared" si="2"/>
        <v>0</v>
      </c>
      <c r="J21" s="15"/>
    </row>
    <row r="22" spans="1:10" x14ac:dyDescent="0.25">
      <c r="A22" s="1" t="s">
        <v>16</v>
      </c>
      <c r="B22" s="1" t="s">
        <v>34</v>
      </c>
      <c r="C22" s="10"/>
      <c r="D22" s="10"/>
      <c r="E22" s="10">
        <v>270</v>
      </c>
      <c r="F22" s="10"/>
      <c r="G22" s="10">
        <f t="shared" si="0"/>
        <v>270</v>
      </c>
      <c r="H22" s="16">
        <f t="shared" si="1"/>
        <v>0.18</v>
      </c>
      <c r="I22" s="15">
        <f t="shared" si="2"/>
        <v>0</v>
      </c>
      <c r="J22" s="15">
        <f>ROUND(G22/700-1,2)</f>
        <v>-0.61</v>
      </c>
    </row>
    <row r="23" spans="1:10" x14ac:dyDescent="0.25">
      <c r="A23" s="1" t="s">
        <v>16</v>
      </c>
      <c r="B23" s="1" t="s">
        <v>37</v>
      </c>
      <c r="C23" s="10"/>
      <c r="D23" s="10"/>
      <c r="E23" s="10">
        <v>730</v>
      </c>
      <c r="F23" s="10"/>
      <c r="G23" s="10">
        <f t="shared" si="0"/>
        <v>730</v>
      </c>
      <c r="H23" s="16">
        <f t="shared" si="1"/>
        <v>0.48</v>
      </c>
      <c r="I23" s="15">
        <f t="shared" si="2"/>
        <v>1E-3</v>
      </c>
      <c r="J23" s="15">
        <f>ROUND(G23/1800-1,2)</f>
        <v>-0.59</v>
      </c>
    </row>
    <row r="24" spans="1:10" x14ac:dyDescent="0.25">
      <c r="A24" s="1" t="s">
        <v>16</v>
      </c>
      <c r="B24" s="1" t="s">
        <v>38</v>
      </c>
      <c r="C24" s="10"/>
      <c r="D24" s="10"/>
      <c r="E24" s="10">
        <v>37910</v>
      </c>
      <c r="F24" s="10"/>
      <c r="G24" s="10">
        <f t="shared" si="0"/>
        <v>37910</v>
      </c>
      <c r="H24" s="16">
        <f t="shared" si="1"/>
        <v>24.73</v>
      </c>
      <c r="I24" s="15">
        <f t="shared" si="2"/>
        <v>6.4000000000000001E-2</v>
      </c>
      <c r="J24" s="15">
        <f>ROUND(G24/28430-1,2)</f>
        <v>0.33</v>
      </c>
    </row>
    <row r="25" spans="1:10" x14ac:dyDescent="0.25">
      <c r="A25" s="1" t="s">
        <v>16</v>
      </c>
      <c r="B25" s="1" t="s">
        <v>39</v>
      </c>
      <c r="C25" s="10"/>
      <c r="D25" s="10"/>
      <c r="E25" s="10">
        <v>2275</v>
      </c>
      <c r="F25" s="10"/>
      <c r="G25" s="10">
        <f t="shared" si="0"/>
        <v>2275</v>
      </c>
      <c r="H25" s="16">
        <f t="shared" si="1"/>
        <v>1.48</v>
      </c>
      <c r="I25" s="15">
        <f t="shared" si="2"/>
        <v>4.0000000000000001E-3</v>
      </c>
      <c r="J25" s="15">
        <f>ROUND(G25/2135-1,2)</f>
        <v>7.0000000000000007E-2</v>
      </c>
    </row>
    <row r="26" spans="1:10" x14ac:dyDescent="0.25">
      <c r="A26" s="1" t="s">
        <v>16</v>
      </c>
      <c r="B26" s="1" t="s">
        <v>40</v>
      </c>
      <c r="C26" s="10"/>
      <c r="D26" s="10"/>
      <c r="E26" s="10">
        <v>7140</v>
      </c>
      <c r="F26" s="10"/>
      <c r="G26" s="10">
        <f t="shared" si="0"/>
        <v>7140</v>
      </c>
      <c r="H26" s="16">
        <f t="shared" si="1"/>
        <v>4.66</v>
      </c>
      <c r="I26" s="15">
        <f t="shared" si="2"/>
        <v>1.2E-2</v>
      </c>
      <c r="J26" s="15">
        <f>ROUND(G26/7830-1,2)</f>
        <v>-0.09</v>
      </c>
    </row>
    <row r="27" spans="1:10" x14ac:dyDescent="0.25">
      <c r="A27" s="1" t="s">
        <v>16</v>
      </c>
      <c r="B27" s="1" t="s">
        <v>41</v>
      </c>
      <c r="C27" s="10"/>
      <c r="D27" s="10"/>
      <c r="E27" s="10">
        <v>53870</v>
      </c>
      <c r="F27" s="10">
        <v>1680</v>
      </c>
      <c r="G27" s="10">
        <f t="shared" si="0"/>
        <v>55550</v>
      </c>
      <c r="H27" s="16">
        <f t="shared" si="1"/>
        <v>36.24</v>
      </c>
      <c r="I27" s="15">
        <f t="shared" si="2"/>
        <v>9.4E-2</v>
      </c>
      <c r="J27" s="15">
        <f>ROUND(G27/33840-1,2)</f>
        <v>0.64</v>
      </c>
    </row>
    <row r="28" spans="1:10" x14ac:dyDescent="0.25">
      <c r="A28" s="1" t="s">
        <v>16</v>
      </c>
      <c r="B28" s="1" t="s">
        <v>42</v>
      </c>
      <c r="C28" s="10"/>
      <c r="D28" s="10"/>
      <c r="E28" s="10"/>
      <c r="F28" s="10"/>
      <c r="G28" s="10">
        <f t="shared" si="0"/>
        <v>0</v>
      </c>
      <c r="H28" s="16">
        <f t="shared" si="1"/>
        <v>0</v>
      </c>
      <c r="I28" s="15">
        <f t="shared" si="2"/>
        <v>0</v>
      </c>
      <c r="J28" s="15">
        <f>ROUND(G28/68-1,2)</f>
        <v>-1</v>
      </c>
    </row>
    <row r="29" spans="1:10" x14ac:dyDescent="0.25">
      <c r="A29" s="1" t="s">
        <v>16</v>
      </c>
      <c r="B29" s="1" t="s">
        <v>36</v>
      </c>
      <c r="C29" s="10"/>
      <c r="D29" s="10"/>
      <c r="E29" s="10"/>
      <c r="F29" s="10"/>
      <c r="G29" s="10">
        <f t="shared" si="0"/>
        <v>0</v>
      </c>
      <c r="H29" s="16">
        <f t="shared" si="1"/>
        <v>0</v>
      </c>
      <c r="I29" s="15">
        <f t="shared" si="2"/>
        <v>0</v>
      </c>
      <c r="J29" s="15">
        <f>ROUND(G29/1560-1,2)</f>
        <v>-1</v>
      </c>
    </row>
    <row r="30" spans="1:10" x14ac:dyDescent="0.25">
      <c r="A30" s="1" t="s">
        <v>16</v>
      </c>
      <c r="B30" s="1" t="s">
        <v>43</v>
      </c>
      <c r="C30" s="10"/>
      <c r="D30" s="10"/>
      <c r="E30" s="10"/>
      <c r="F30" s="10"/>
      <c r="G30" s="10">
        <f t="shared" si="0"/>
        <v>0</v>
      </c>
      <c r="H30" s="16">
        <f t="shared" si="1"/>
        <v>0</v>
      </c>
      <c r="I30" s="15">
        <f t="shared" si="2"/>
        <v>0</v>
      </c>
      <c r="J30" s="15">
        <f>ROUND(G30/3670-1,2)</f>
        <v>-1</v>
      </c>
    </row>
    <row r="31" spans="1:10" x14ac:dyDescent="0.25">
      <c r="A31" s="1" t="s">
        <v>16</v>
      </c>
      <c r="B31" s="1" t="s">
        <v>95</v>
      </c>
      <c r="C31" s="10"/>
      <c r="D31" s="10"/>
      <c r="E31" s="10"/>
      <c r="F31" s="10"/>
      <c r="G31" s="10">
        <f t="shared" si="0"/>
        <v>0</v>
      </c>
      <c r="H31" s="16">
        <f t="shared" si="1"/>
        <v>0</v>
      </c>
      <c r="I31" s="15">
        <f t="shared" si="2"/>
        <v>0</v>
      </c>
      <c r="J31" s="15"/>
    </row>
    <row r="32" spans="1:10" x14ac:dyDescent="0.25">
      <c r="A32" s="1" t="s">
        <v>16</v>
      </c>
      <c r="B32" s="1" t="s">
        <v>23</v>
      </c>
      <c r="C32" s="10"/>
      <c r="D32" s="10"/>
      <c r="E32" s="10"/>
      <c r="F32" s="10"/>
      <c r="G32" s="10">
        <f t="shared" si="0"/>
        <v>0</v>
      </c>
      <c r="H32" s="16">
        <f t="shared" si="1"/>
        <v>0</v>
      </c>
      <c r="I32" s="15">
        <f t="shared" si="2"/>
        <v>0</v>
      </c>
      <c r="J32" s="15"/>
    </row>
    <row r="33" spans="1:10" x14ac:dyDescent="0.25">
      <c r="A33" s="1" t="s">
        <v>44</v>
      </c>
      <c r="B33" s="1" t="s">
        <v>45</v>
      </c>
      <c r="C33" s="10">
        <v>140280</v>
      </c>
      <c r="D33" s="10"/>
      <c r="E33" s="10"/>
      <c r="F33" s="10"/>
      <c r="G33" s="10">
        <f t="shared" si="0"/>
        <v>140280</v>
      </c>
      <c r="H33" s="16">
        <f t="shared" si="1"/>
        <v>91.51</v>
      </c>
      <c r="I33" s="15">
        <f t="shared" si="2"/>
        <v>0.23799999999999999</v>
      </c>
      <c r="J33" s="15">
        <f>ROUND(G33/137630-1,2)</f>
        <v>0.02</v>
      </c>
    </row>
    <row r="34" spans="1:10" x14ac:dyDescent="0.25">
      <c r="A34" s="1" t="s">
        <v>44</v>
      </c>
      <c r="B34" s="1" t="s">
        <v>47</v>
      </c>
      <c r="C34" s="10"/>
      <c r="D34" s="10"/>
      <c r="E34" s="10"/>
      <c r="F34" s="10">
        <v>14560</v>
      </c>
      <c r="G34" s="10">
        <f t="shared" si="0"/>
        <v>14560</v>
      </c>
      <c r="H34" s="16">
        <f t="shared" si="1"/>
        <v>9.5</v>
      </c>
      <c r="I34" s="15">
        <f t="shared" si="2"/>
        <v>2.5000000000000001E-2</v>
      </c>
      <c r="J34" s="15">
        <f>ROUND(G34/25720-1,2)</f>
        <v>-0.43</v>
      </c>
    </row>
    <row r="35" spans="1:10" x14ac:dyDescent="0.25">
      <c r="A35" s="1" t="s">
        <v>44</v>
      </c>
      <c r="B35" s="1" t="s">
        <v>46</v>
      </c>
      <c r="C35" s="10"/>
      <c r="D35" s="10"/>
      <c r="E35" s="10">
        <v>30290</v>
      </c>
      <c r="F35" s="10"/>
      <c r="G35" s="10">
        <f t="shared" si="0"/>
        <v>30290</v>
      </c>
      <c r="H35" s="16">
        <f t="shared" si="1"/>
        <v>19.760000000000002</v>
      </c>
      <c r="I35" s="15">
        <f t="shared" si="2"/>
        <v>5.0999999999999997E-2</v>
      </c>
      <c r="J35" s="15">
        <f>ROUND(G35/18220-1,2)</f>
        <v>0.66</v>
      </c>
    </row>
    <row r="36" spans="1:10" x14ac:dyDescent="0.25">
      <c r="A36" s="27" t="s">
        <v>12</v>
      </c>
      <c r="B36" s="27"/>
      <c r="C36" s="11">
        <f t="shared" ref="C36:H36" si="3">SUM(C8:C35)</f>
        <v>435680</v>
      </c>
      <c r="D36" s="11">
        <f t="shared" si="3"/>
        <v>190</v>
      </c>
      <c r="E36" s="11">
        <f t="shared" si="3"/>
        <v>137400</v>
      </c>
      <c r="F36" s="11">
        <f t="shared" si="3"/>
        <v>16520</v>
      </c>
      <c r="G36" s="11">
        <f t="shared" si="3"/>
        <v>589790</v>
      </c>
      <c r="H36" s="14">
        <f t="shared" si="3"/>
        <v>384.7399999999999</v>
      </c>
      <c r="I36" s="17"/>
      <c r="J36" s="17"/>
    </row>
    <row r="37" spans="1:10" x14ac:dyDescent="0.25">
      <c r="A37" s="27" t="s">
        <v>14</v>
      </c>
      <c r="B37" s="27"/>
      <c r="C37" s="12">
        <f>ROUND(C36/G36,2)</f>
        <v>0.74</v>
      </c>
      <c r="D37" s="12">
        <f>ROUND(D36/G36,2)</f>
        <v>0</v>
      </c>
      <c r="E37" s="12">
        <f>ROUND(E36/G36,2)</f>
        <v>0.23</v>
      </c>
      <c r="F37" s="12">
        <f>ROUND(F36/G36,2)</f>
        <v>0.03</v>
      </c>
      <c r="G37" s="13"/>
      <c r="H37" s="13"/>
      <c r="I37" s="17"/>
      <c r="J37" s="17"/>
    </row>
    <row r="38" spans="1:10" x14ac:dyDescent="0.25">
      <c r="A38" s="2" t="s">
        <v>52</v>
      </c>
      <c r="B38" s="2"/>
      <c r="C38" s="13"/>
      <c r="D38" s="13"/>
      <c r="E38" s="13"/>
      <c r="F38" s="13"/>
      <c r="G38" s="13"/>
      <c r="H38" s="13"/>
      <c r="I38" s="17"/>
      <c r="J38" s="17"/>
    </row>
    <row r="39" spans="1:10" x14ac:dyDescent="0.25">
      <c r="C39" s="8"/>
      <c r="D39" s="8"/>
      <c r="E39" s="8"/>
      <c r="F39" s="8"/>
      <c r="G39" s="8"/>
      <c r="H39" s="8"/>
      <c r="I39" s="9"/>
      <c r="J39" s="9"/>
    </row>
    <row r="40" spans="1:10" x14ac:dyDescent="0.25">
      <c r="C40" s="8"/>
      <c r="D40" s="8"/>
      <c r="E40" s="8"/>
      <c r="F40" s="8"/>
      <c r="G40" s="8"/>
      <c r="H40" s="8"/>
      <c r="I40" s="9"/>
      <c r="J40" s="9"/>
    </row>
    <row r="41" spans="1:10" x14ac:dyDescent="0.25">
      <c r="C41" s="8"/>
      <c r="D41" s="8"/>
      <c r="E41" s="8"/>
      <c r="F41" s="8"/>
      <c r="G41" s="8"/>
      <c r="H41" s="8"/>
      <c r="I41" s="9"/>
      <c r="J41" s="9"/>
    </row>
    <row r="42" spans="1:10" x14ac:dyDescent="0.25">
      <c r="A42" s="27" t="s">
        <v>53</v>
      </c>
      <c r="B42" s="27"/>
      <c r="C42" s="11" t="s">
        <v>8</v>
      </c>
      <c r="D42" s="11" t="s">
        <v>9</v>
      </c>
      <c r="E42" s="11" t="s">
        <v>10</v>
      </c>
      <c r="F42" s="11" t="s">
        <v>11</v>
      </c>
      <c r="G42" s="11" t="s">
        <v>12</v>
      </c>
      <c r="H42" s="14" t="s">
        <v>13</v>
      </c>
      <c r="I42" s="17"/>
      <c r="J42" s="17"/>
    </row>
    <row r="43" spans="1:10" x14ac:dyDescent="0.25">
      <c r="A43" s="22" t="s">
        <v>54</v>
      </c>
      <c r="B43" s="22"/>
      <c r="C43" s="10">
        <v>295400</v>
      </c>
      <c r="D43" s="10">
        <v>190</v>
      </c>
      <c r="E43" s="10">
        <v>107110</v>
      </c>
      <c r="F43" s="10">
        <v>1960</v>
      </c>
      <c r="G43" s="10">
        <f>SUM(C43:F43)</f>
        <v>404660</v>
      </c>
      <c r="H43" s="16">
        <f>ROUND(G43/1533,2)</f>
        <v>263.97000000000003</v>
      </c>
      <c r="I43" s="9"/>
      <c r="J43" s="9"/>
    </row>
    <row r="44" spans="1:10" x14ac:dyDescent="0.25">
      <c r="A44" s="22" t="s">
        <v>55</v>
      </c>
      <c r="B44" s="22"/>
      <c r="C44" s="10">
        <v>140280</v>
      </c>
      <c r="D44" s="10">
        <v>0</v>
      </c>
      <c r="E44" s="10">
        <v>30290</v>
      </c>
      <c r="F44" s="10">
        <v>14560</v>
      </c>
      <c r="G44" s="10">
        <f>SUM(C44:F44)</f>
        <v>185130</v>
      </c>
      <c r="H44" s="16">
        <f>ROUND(G44/1533,2)</f>
        <v>120.76</v>
      </c>
      <c r="I44" s="9"/>
      <c r="J44" s="9"/>
    </row>
    <row r="45" spans="1:10" x14ac:dyDescent="0.25">
      <c r="A45" s="22" t="s">
        <v>56</v>
      </c>
      <c r="B45" s="22"/>
      <c r="C45" s="10"/>
      <c r="D45" s="10"/>
      <c r="E45" s="10"/>
      <c r="F45" s="10"/>
      <c r="G45" s="10">
        <f>SUM(C45:F45)</f>
        <v>0</v>
      </c>
      <c r="H45" s="16">
        <f>ROUND(G45/1533,2)</f>
        <v>0</v>
      </c>
      <c r="I45" s="9"/>
      <c r="J45" s="9"/>
    </row>
    <row r="46" spans="1:10" x14ac:dyDescent="0.25">
      <c r="C46" s="8"/>
      <c r="D46" s="8"/>
      <c r="E46" s="8"/>
      <c r="F46" s="8"/>
      <c r="G46" s="8"/>
      <c r="H46" s="8"/>
      <c r="I46" s="9"/>
      <c r="J46" s="9"/>
    </row>
    <row r="47" spans="1:10" x14ac:dyDescent="0.25">
      <c r="C47" s="8"/>
      <c r="D47" s="8"/>
      <c r="E47" s="8"/>
      <c r="F47" s="8"/>
      <c r="G47" s="8"/>
      <c r="H47" s="8"/>
      <c r="I47" s="9"/>
      <c r="J47" s="9"/>
    </row>
    <row r="48" spans="1:10" x14ac:dyDescent="0.25">
      <c r="C48" s="8"/>
      <c r="D48" s="8"/>
      <c r="E48" s="8"/>
      <c r="F48" s="8"/>
      <c r="G48" s="8"/>
      <c r="H48" s="8"/>
      <c r="I48" s="9"/>
      <c r="J48" s="9"/>
    </row>
    <row r="49" spans="1:10" x14ac:dyDescent="0.25">
      <c r="C49" s="8"/>
      <c r="D49" s="8"/>
      <c r="E49" s="8"/>
      <c r="F49" s="8"/>
      <c r="G49" s="8"/>
      <c r="H49" s="8"/>
      <c r="I49" s="9"/>
      <c r="J49" s="9"/>
    </row>
    <row r="50" spans="1:10" x14ac:dyDescent="0.25">
      <c r="A50" s="27" t="s">
        <v>57</v>
      </c>
      <c r="B50" s="27"/>
      <c r="C50" s="14" t="s">
        <v>2</v>
      </c>
      <c r="D50" s="14">
        <v>2023</v>
      </c>
      <c r="E50" s="14" t="s">
        <v>59</v>
      </c>
      <c r="F50" s="13"/>
      <c r="G50" s="14" t="s">
        <v>60</v>
      </c>
      <c r="H50" s="14" t="s">
        <v>2</v>
      </c>
      <c r="I50" s="12" t="s">
        <v>61</v>
      </c>
      <c r="J50" s="12" t="s">
        <v>59</v>
      </c>
    </row>
    <row r="51" spans="1:10" x14ac:dyDescent="0.25">
      <c r="A51" s="22" t="s">
        <v>58</v>
      </c>
      <c r="B51" s="22"/>
      <c r="C51" s="15">
        <f>ROUND(0.758, 4)</f>
        <v>0.75800000000000001</v>
      </c>
      <c r="D51" s="15">
        <f>ROUND(0.7468, 4)</f>
        <v>0.74680000000000002</v>
      </c>
      <c r="E51" s="15">
        <f>ROUND(0.777, 4)</f>
        <v>0.77700000000000002</v>
      </c>
      <c r="F51" s="8"/>
      <c r="G51" s="14" t="s">
        <v>62</v>
      </c>
      <c r="H51" s="28" t="s">
        <v>63</v>
      </c>
      <c r="I51" s="25" t="s">
        <v>64</v>
      </c>
      <c r="J51" s="25" t="s">
        <v>65</v>
      </c>
    </row>
    <row r="52" spans="1:10" x14ac:dyDescent="0.25">
      <c r="A52" s="22" t="s">
        <v>66</v>
      </c>
      <c r="B52" s="22"/>
      <c r="C52" s="15">
        <f>ROUND(0.7481, 4)</f>
        <v>0.74809999999999999</v>
      </c>
      <c r="D52" s="15">
        <f>ROUND(0.7361, 4)</f>
        <v>0.73609999999999998</v>
      </c>
      <c r="E52" s="15">
        <f>ROUND(0.7608, 4)</f>
        <v>0.76080000000000003</v>
      </c>
      <c r="F52" s="8"/>
      <c r="G52" s="14" t="s">
        <v>67</v>
      </c>
      <c r="H52" s="29"/>
      <c r="I52" s="26"/>
      <c r="J52" s="26"/>
    </row>
    <row r="53" spans="1:10" x14ac:dyDescent="0.25">
      <c r="C53" s="8"/>
      <c r="D53" s="8"/>
      <c r="E53" s="8"/>
      <c r="F53" s="8"/>
      <c r="G53" s="8"/>
      <c r="H53" s="8"/>
      <c r="I53" s="9"/>
      <c r="J53" s="9"/>
    </row>
    <row r="54" spans="1:10" x14ac:dyDescent="0.25">
      <c r="C54" s="8"/>
      <c r="D54" s="8"/>
      <c r="E54" s="8"/>
      <c r="F54" s="8"/>
      <c r="G54" s="8"/>
      <c r="H54" s="8"/>
      <c r="I54" s="9"/>
      <c r="J54" s="9"/>
    </row>
    <row r="55" spans="1:10" x14ac:dyDescent="0.25">
      <c r="C55" s="8"/>
      <c r="D55" s="8"/>
      <c r="E55" s="8"/>
      <c r="F55" s="8"/>
      <c r="G55" s="8"/>
      <c r="H55" s="8"/>
      <c r="I55" s="9"/>
      <c r="J55" s="9"/>
    </row>
    <row r="56" spans="1:10" x14ac:dyDescent="0.25">
      <c r="A56" s="27" t="s">
        <v>68</v>
      </c>
      <c r="B56" s="27"/>
      <c r="C56" s="14" t="s">
        <v>2</v>
      </c>
      <c r="D56" s="14" t="s">
        <v>112</v>
      </c>
      <c r="E56" s="14" t="s">
        <v>70</v>
      </c>
      <c r="F56" s="14" t="s">
        <v>71</v>
      </c>
      <c r="G56" s="14" t="s">
        <v>72</v>
      </c>
      <c r="H56" s="13"/>
      <c r="I56" s="17"/>
      <c r="J56" s="17"/>
    </row>
    <row r="57" spans="1:10" x14ac:dyDescent="0.25">
      <c r="A57" s="22" t="s">
        <v>73</v>
      </c>
      <c r="B57" s="22"/>
      <c r="C57" s="16">
        <v>91.51</v>
      </c>
      <c r="D57" s="16">
        <v>95.75</v>
      </c>
      <c r="E57" s="16">
        <v>92.53</v>
      </c>
      <c r="F57" s="16">
        <v>56.06</v>
      </c>
      <c r="G57" s="16">
        <f>12/11*C57</f>
        <v>99.829090909090908</v>
      </c>
      <c r="H57" s="8"/>
      <c r="I57" s="9"/>
      <c r="J57" s="9"/>
    </row>
    <row r="58" spans="1:10" x14ac:dyDescent="0.25">
      <c r="A58" s="22" t="s">
        <v>74</v>
      </c>
      <c r="B58" s="22"/>
      <c r="C58" s="16">
        <v>83.63</v>
      </c>
      <c r="D58" s="16">
        <v>94.38</v>
      </c>
      <c r="E58" s="16">
        <v>61.98</v>
      </c>
      <c r="F58" s="16">
        <v>64.09</v>
      </c>
      <c r="G58" s="16">
        <f>12/11*C58</f>
        <v>91.23272727272726</v>
      </c>
      <c r="H58" s="8"/>
      <c r="I58" s="9"/>
      <c r="J58" s="9"/>
    </row>
    <row r="59" spans="1:10" x14ac:dyDescent="0.25">
      <c r="A59" s="22" t="s">
        <v>75</v>
      </c>
      <c r="B59" s="22"/>
      <c r="C59" s="16">
        <v>263.97000000000003</v>
      </c>
      <c r="D59" s="16">
        <v>278.5</v>
      </c>
      <c r="E59" s="16">
        <v>291.51</v>
      </c>
      <c r="F59" s="16">
        <v>284.45</v>
      </c>
      <c r="G59" s="16">
        <f>12/11*C59</f>
        <v>287.96727272727276</v>
      </c>
      <c r="H59" s="8"/>
      <c r="I59" s="9"/>
      <c r="J59" s="9"/>
    </row>
    <row r="60" spans="1:10" x14ac:dyDescent="0.25">
      <c r="A60" s="22" t="s">
        <v>76</v>
      </c>
      <c r="B60" s="22"/>
      <c r="C60" s="16">
        <v>120.76</v>
      </c>
      <c r="D60" s="16">
        <v>122.39</v>
      </c>
      <c r="E60" s="16">
        <v>116.46</v>
      </c>
      <c r="F60" s="16">
        <v>79.959999999999994</v>
      </c>
      <c r="G60" s="16">
        <f>12/11*C60</f>
        <v>131.7381818181818</v>
      </c>
      <c r="H60" s="8"/>
      <c r="I60" s="9"/>
      <c r="J60" s="9"/>
    </row>
    <row r="61" spans="1:10" x14ac:dyDescent="0.25">
      <c r="C61" s="8"/>
      <c r="D61" s="8"/>
      <c r="E61" s="8"/>
      <c r="F61" s="8"/>
      <c r="G61" s="8"/>
      <c r="H61" s="8"/>
      <c r="I61" s="9"/>
      <c r="J61" s="9"/>
    </row>
    <row r="62" spans="1:10" x14ac:dyDescent="0.25">
      <c r="C62" s="8"/>
      <c r="D62" s="8"/>
      <c r="E62" s="8"/>
      <c r="F62" s="8"/>
      <c r="G62" s="8"/>
      <c r="H62" s="8"/>
      <c r="I62" s="9"/>
      <c r="J62" s="9"/>
    </row>
    <row r="63" spans="1:10" x14ac:dyDescent="0.25">
      <c r="A63" s="23" t="s">
        <v>60</v>
      </c>
      <c r="B63" s="24"/>
      <c r="C63" s="8"/>
      <c r="D63" s="8"/>
      <c r="E63" s="8"/>
      <c r="F63" s="8"/>
      <c r="G63" s="8"/>
      <c r="H63" s="8"/>
      <c r="I63" s="9"/>
      <c r="J63" s="9"/>
    </row>
    <row r="64" spans="1:10" x14ac:dyDescent="0.25">
      <c r="A64" s="3" t="s">
        <v>77</v>
      </c>
      <c r="B64" s="1" t="s">
        <v>113</v>
      </c>
      <c r="C64" s="8"/>
      <c r="D64" s="8"/>
      <c r="E64" s="8"/>
      <c r="F64" s="8"/>
      <c r="G64" s="8"/>
      <c r="H64" s="8"/>
      <c r="I64" s="9"/>
      <c r="J64" s="9"/>
    </row>
    <row r="65" spans="1:10" x14ac:dyDescent="0.25">
      <c r="A65" s="3" t="s">
        <v>70</v>
      </c>
      <c r="B65" s="1" t="s">
        <v>79</v>
      </c>
      <c r="C65" s="8"/>
      <c r="D65" s="8"/>
      <c r="E65" s="8"/>
      <c r="F65" s="8"/>
      <c r="G65" s="8"/>
      <c r="H65" s="8"/>
      <c r="I65" s="9"/>
      <c r="J65" s="9"/>
    </row>
    <row r="66" spans="1:10" x14ac:dyDescent="0.25">
      <c r="A66" s="3" t="s">
        <v>71</v>
      </c>
      <c r="B66" s="1" t="s">
        <v>80</v>
      </c>
      <c r="C66" s="8"/>
      <c r="D66" s="8"/>
      <c r="E66" s="8"/>
      <c r="F66" s="8"/>
      <c r="G66" s="8"/>
      <c r="H66" s="8"/>
      <c r="I66" s="9"/>
      <c r="J66" s="9"/>
    </row>
    <row r="67" spans="1:10" x14ac:dyDescent="0.25">
      <c r="A67" s="3" t="s">
        <v>72</v>
      </c>
      <c r="B67" s="1" t="s">
        <v>81</v>
      </c>
      <c r="C67" s="8"/>
      <c r="D67" s="8"/>
      <c r="E67" s="8"/>
      <c r="F67" s="8"/>
      <c r="G67" s="8"/>
      <c r="H67" s="8"/>
      <c r="I67" s="9"/>
      <c r="J67" s="9"/>
    </row>
    <row r="68" spans="1:10" x14ac:dyDescent="0.25">
      <c r="C68" s="8"/>
      <c r="D68" s="8"/>
      <c r="E68" s="8"/>
      <c r="F68" s="8"/>
      <c r="G68" s="8"/>
      <c r="H68" s="8"/>
      <c r="I68" s="9"/>
      <c r="J68" s="9"/>
    </row>
    <row r="69" spans="1:10" x14ac:dyDescent="0.25">
      <c r="C69" s="8"/>
      <c r="D69" s="8"/>
      <c r="E69" s="8"/>
      <c r="F69" s="8"/>
      <c r="G69" s="8"/>
      <c r="H69" s="8"/>
      <c r="I69" s="9"/>
      <c r="J69" s="9"/>
    </row>
    <row r="70" spans="1:10" x14ac:dyDescent="0.25">
      <c r="C70" s="8"/>
      <c r="D70" s="8"/>
      <c r="E70" s="8"/>
      <c r="F70" s="8"/>
      <c r="G70" s="8"/>
      <c r="H70" s="8"/>
      <c r="I70" s="9"/>
      <c r="J70" s="9"/>
    </row>
    <row r="71" spans="1:10" x14ac:dyDescent="0.25">
      <c r="C71" s="8"/>
      <c r="D71" s="8"/>
      <c r="E71" s="8"/>
      <c r="F71" s="8"/>
      <c r="G71" s="8"/>
      <c r="H71" s="8"/>
      <c r="I71" s="9"/>
      <c r="J71" s="9"/>
    </row>
    <row r="72" spans="1:10" x14ac:dyDescent="0.25">
      <c r="C72" s="8"/>
      <c r="D72" s="8"/>
      <c r="E72" s="8"/>
      <c r="F72" s="8"/>
      <c r="G72" s="8"/>
      <c r="H72" s="8"/>
      <c r="I72" s="9"/>
      <c r="J72" s="9"/>
    </row>
    <row r="73" spans="1:10" x14ac:dyDescent="0.25">
      <c r="C73" s="8"/>
      <c r="D73" s="8"/>
      <c r="E73" s="8"/>
      <c r="F73" s="8"/>
      <c r="G73" s="8"/>
      <c r="H73" s="8"/>
      <c r="I73" s="9"/>
      <c r="J73" s="9"/>
    </row>
    <row r="74" spans="1:10" x14ac:dyDescent="0.25">
      <c r="C74" s="8"/>
      <c r="D74" s="8"/>
      <c r="E74" s="8"/>
      <c r="F74" s="8"/>
      <c r="G74" s="8"/>
      <c r="H74" s="8"/>
      <c r="I74" s="9"/>
      <c r="J74" s="9"/>
    </row>
    <row r="75" spans="1:10" x14ac:dyDescent="0.25">
      <c r="C75" s="8"/>
      <c r="D75" s="8"/>
      <c r="E75" s="8"/>
      <c r="F75" s="8"/>
      <c r="G75" s="8"/>
      <c r="H75" s="8"/>
      <c r="I75" s="9"/>
      <c r="J75" s="9"/>
    </row>
    <row r="76" spans="1:10" x14ac:dyDescent="0.25">
      <c r="C76" s="8"/>
      <c r="D76" s="8"/>
      <c r="E76" s="8"/>
      <c r="F76" s="8"/>
      <c r="G76" s="8"/>
      <c r="H76" s="8"/>
      <c r="I76" s="9"/>
      <c r="J76" s="9"/>
    </row>
    <row r="77" spans="1:10" x14ac:dyDescent="0.25">
      <c r="C77" s="8"/>
      <c r="D77" s="8"/>
      <c r="E77" s="8"/>
      <c r="F77" s="8"/>
      <c r="G77" s="8"/>
      <c r="H77" s="8"/>
      <c r="I77" s="9"/>
      <c r="J77" s="9"/>
    </row>
    <row r="78" spans="1:10" x14ac:dyDescent="0.25">
      <c r="C78" s="8"/>
      <c r="D78" s="8"/>
      <c r="E78" s="8"/>
      <c r="F78" s="8"/>
      <c r="G78" s="8"/>
      <c r="H78" s="8"/>
      <c r="I78" s="9"/>
      <c r="J78" s="9"/>
    </row>
  </sheetData>
  <mergeCells count="19">
    <mergeCell ref="C7:G7"/>
    <mergeCell ref="A36:B36"/>
    <mergeCell ref="A37:B37"/>
    <mergeCell ref="A42:B42"/>
    <mergeCell ref="A43:B43"/>
    <mergeCell ref="J51:J52"/>
    <mergeCell ref="A52:B52"/>
    <mergeCell ref="A56:B56"/>
    <mergeCell ref="A57:B57"/>
    <mergeCell ref="A44:B44"/>
    <mergeCell ref="A45:B45"/>
    <mergeCell ref="A50:B50"/>
    <mergeCell ref="A51:B51"/>
    <mergeCell ref="H51:H52"/>
    <mergeCell ref="A58:B58"/>
    <mergeCell ref="A59:B59"/>
    <mergeCell ref="A60:B60"/>
    <mergeCell ref="A63:B63"/>
    <mergeCell ref="I51:I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80</vt:i4>
      </vt:variant>
    </vt:vector>
  </HeadingPairs>
  <TitlesOfParts>
    <vt:vector size="80" baseType="lpstr">
      <vt:lpstr>AMARO</vt:lpstr>
      <vt:lpstr>AMPEZZO</vt:lpstr>
      <vt:lpstr>ARTA TERME</vt:lpstr>
      <vt:lpstr>ARTEGNA</vt:lpstr>
      <vt:lpstr>BASILIANO</vt:lpstr>
      <vt:lpstr>BERTIOLO</vt:lpstr>
      <vt:lpstr>BORDANO</vt:lpstr>
      <vt:lpstr>BUTTRIO</vt:lpstr>
      <vt:lpstr>CAMINO AL TAGLIAMENTO</vt:lpstr>
      <vt:lpstr>CAMPOFORMIDO</vt:lpstr>
      <vt:lpstr>CAVAZZO CARNICO</vt:lpstr>
      <vt:lpstr>CERCIVENTO</vt:lpstr>
      <vt:lpstr>CODROIPO</vt:lpstr>
      <vt:lpstr>COLLOREDO DI MONTE ALBANO</vt:lpstr>
      <vt:lpstr>COMEGLIANS</vt:lpstr>
      <vt:lpstr>CORNO DI ROSAZZO</vt:lpstr>
      <vt:lpstr>COSEANO</vt:lpstr>
      <vt:lpstr>DIGNANO</vt:lpstr>
      <vt:lpstr>DOGNA</vt:lpstr>
      <vt:lpstr>ENEMONZO</vt:lpstr>
      <vt:lpstr>FAGAGNA</vt:lpstr>
      <vt:lpstr>FLAIBANO</vt:lpstr>
      <vt:lpstr>FORGARIA NEL FRIULI</vt:lpstr>
      <vt:lpstr>FORNI AVOLTRI</vt:lpstr>
      <vt:lpstr>FORNI DI SOPRA</vt:lpstr>
      <vt:lpstr>FORNI DI SOTTO</vt:lpstr>
      <vt:lpstr>GEMONA DEL FRIULI</vt:lpstr>
      <vt:lpstr>LAUCO</vt:lpstr>
      <vt:lpstr>LESTIZZA</vt:lpstr>
      <vt:lpstr>LUSEVERA</vt:lpstr>
      <vt:lpstr>MAGNANO IN RIVIERA</vt:lpstr>
      <vt:lpstr>MAJANO</vt:lpstr>
      <vt:lpstr>MARTIGNACCO</vt:lpstr>
      <vt:lpstr>MOGGIO UDINESE</vt:lpstr>
      <vt:lpstr>MOIMACCO</vt:lpstr>
      <vt:lpstr>MONTENARS</vt:lpstr>
      <vt:lpstr>MORTEGLIANO</vt:lpstr>
      <vt:lpstr>MORUZZO</vt:lpstr>
      <vt:lpstr>NIMIS</vt:lpstr>
      <vt:lpstr>OSOPPO</vt:lpstr>
      <vt:lpstr>OVARO</vt:lpstr>
      <vt:lpstr>PAGNACCO</vt:lpstr>
      <vt:lpstr>PALUZZA</vt:lpstr>
      <vt:lpstr>PASIAN DI PRATO</vt:lpstr>
      <vt:lpstr>PAULARO</vt:lpstr>
      <vt:lpstr>PAVIA DI UDINE</vt:lpstr>
      <vt:lpstr>POZZUOLO DEL FRIULI</vt:lpstr>
      <vt:lpstr>PRADAMANO</vt:lpstr>
      <vt:lpstr>PRATO CARNICO</vt:lpstr>
      <vt:lpstr>PREMARIACCO</vt:lpstr>
      <vt:lpstr>PREONE</vt:lpstr>
      <vt:lpstr>RAGOGNA</vt:lpstr>
      <vt:lpstr>RAVASCLETTO</vt:lpstr>
      <vt:lpstr>RAVEO</vt:lpstr>
      <vt:lpstr>REANA DEL ROJALE</vt:lpstr>
      <vt:lpstr>REMANZACCO</vt:lpstr>
      <vt:lpstr>RESIUTTA</vt:lpstr>
      <vt:lpstr>RIGOLATO</vt:lpstr>
      <vt:lpstr>RIVE D'ARCANO</vt:lpstr>
      <vt:lpstr>RIVIGNANO TEOR</vt:lpstr>
      <vt:lpstr>SAN DANIELE DEL FRIULI</vt:lpstr>
      <vt:lpstr>SAN DORLIGO DELLA VALLE-DOLINA</vt:lpstr>
      <vt:lpstr>SAN GIOVANNI AL NATISONE</vt:lpstr>
      <vt:lpstr>SAN VITO DI FAGAGNA</vt:lpstr>
      <vt:lpstr>SAPPADA</vt:lpstr>
      <vt:lpstr>SAURIS</vt:lpstr>
      <vt:lpstr>SEDEGLIANO</vt:lpstr>
      <vt:lpstr>SOCCHIEVE</vt:lpstr>
      <vt:lpstr>SUTRIO</vt:lpstr>
      <vt:lpstr>TAIPANA</vt:lpstr>
      <vt:lpstr>TARCENTO</vt:lpstr>
      <vt:lpstr>TOLMEZZO</vt:lpstr>
      <vt:lpstr>TRASAGHIS</vt:lpstr>
      <vt:lpstr>TREPPO GRANDE</vt:lpstr>
      <vt:lpstr>TREPPO LIGOSULLO</vt:lpstr>
      <vt:lpstr>VARMO</vt:lpstr>
      <vt:lpstr>VENZONE</vt:lpstr>
      <vt:lpstr>VERZEGNIS</vt:lpstr>
      <vt:lpstr>VILLA SANTINA</vt:lpstr>
      <vt:lpstr>ZUGLIO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Michela Dosualdo</cp:lastModifiedBy>
  <dcterms:created xsi:type="dcterms:W3CDTF">2024-12-24T09:39:54Z</dcterms:created>
  <dcterms:modified xsi:type="dcterms:W3CDTF">2024-12-24T11:53:34Z</dcterms:modified>
  <cp:category/>
</cp:coreProperties>
</file>