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X:\AREA COMUNICAZIONE\SITO INTERNET A&amp;T2000\RISULTATI RACCOLTA\2024\"/>
    </mc:Choice>
  </mc:AlternateContent>
  <xr:revisionPtr revIDLastSave="0" documentId="8_{6996A165-22CC-4A0D-B5EB-A89E7D90B9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MARO" sheetId="1" r:id="rId1"/>
    <sheet name="AMPEZZO" sheetId="2" r:id="rId2"/>
    <sheet name="ARTA TERME" sheetId="3" r:id="rId3"/>
    <sheet name="ARTEGNA" sheetId="4" r:id="rId4"/>
    <sheet name="BASILIANO" sheetId="5" r:id="rId5"/>
    <sheet name="BERTIOLO" sheetId="6" r:id="rId6"/>
    <sheet name="BORDANO" sheetId="7" r:id="rId7"/>
    <sheet name="BUTTRIO" sheetId="8" r:id="rId8"/>
    <sheet name="CAMINO AL TAGLIAMENTO" sheetId="9" r:id="rId9"/>
    <sheet name="CAMPOFORMIDO" sheetId="10" r:id="rId10"/>
    <sheet name="CAVAZZO CARNICO" sheetId="11" r:id="rId11"/>
    <sheet name="CERCIVENTO" sheetId="12" r:id="rId12"/>
    <sheet name="CODROIPO" sheetId="13" r:id="rId13"/>
    <sheet name="COLLOREDO DI MONTE ALBANO" sheetId="14" r:id="rId14"/>
    <sheet name="COMEGLIANS" sheetId="15" r:id="rId15"/>
    <sheet name="CORNO DI ROSAZZO" sheetId="16" r:id="rId16"/>
    <sheet name="COSEANO" sheetId="17" r:id="rId17"/>
    <sheet name="DIGNANO" sheetId="18" r:id="rId18"/>
    <sheet name="DOGNA" sheetId="19" r:id="rId19"/>
    <sheet name="ENEMONZO" sheetId="20" r:id="rId20"/>
    <sheet name="FAGAGNA" sheetId="21" r:id="rId21"/>
    <sheet name="FLAIBANO" sheetId="22" r:id="rId22"/>
    <sheet name="FORGARIA NEL FRIULI" sheetId="23" r:id="rId23"/>
    <sheet name="FORNI AVOLTRI" sheetId="24" r:id="rId24"/>
    <sheet name="FORNI DI SOPRA" sheetId="25" r:id="rId25"/>
    <sheet name="FORNI DI SOTTO" sheetId="26" r:id="rId26"/>
    <sheet name="GEMONA DEL FRIULI" sheetId="27" r:id="rId27"/>
    <sheet name="LAUCO" sheetId="28" r:id="rId28"/>
    <sheet name="LESTIZZA" sheetId="29" r:id="rId29"/>
    <sheet name="LUSEVERA" sheetId="30" r:id="rId30"/>
    <sheet name="MAGNANO IN RIVIERA" sheetId="31" r:id="rId31"/>
    <sheet name="MAJANO" sheetId="32" r:id="rId32"/>
    <sheet name="MARTIGNACCO" sheetId="33" r:id="rId33"/>
    <sheet name="MOGGIO UDINESE" sheetId="34" r:id="rId34"/>
    <sheet name="MOIMACCO" sheetId="35" r:id="rId35"/>
    <sheet name="MONTENARS" sheetId="36" r:id="rId36"/>
    <sheet name="MORTEGLIANO" sheetId="37" r:id="rId37"/>
    <sheet name="MORUZZO" sheetId="38" r:id="rId38"/>
    <sheet name="NIMIS" sheetId="39" r:id="rId39"/>
    <sheet name="OSOPPO" sheetId="40" r:id="rId40"/>
    <sheet name="OVARO" sheetId="41" r:id="rId41"/>
    <sheet name="PAGNACCO" sheetId="42" r:id="rId42"/>
    <sheet name="PALUZZA" sheetId="43" r:id="rId43"/>
    <sheet name="PASIAN DI PRATO" sheetId="44" r:id="rId44"/>
    <sheet name="PAULARO" sheetId="45" r:id="rId45"/>
    <sheet name="PAVIA DI UDINE" sheetId="46" r:id="rId46"/>
    <sheet name="POZZUOLO DEL FRIULI" sheetId="47" r:id="rId47"/>
    <sheet name="PRADAMANO" sheetId="48" r:id="rId48"/>
    <sheet name="PRATO CARNICO" sheetId="49" r:id="rId49"/>
    <sheet name="PREMARIACCO" sheetId="50" r:id="rId50"/>
    <sheet name="PREONE" sheetId="51" r:id="rId51"/>
    <sheet name="RAGOGNA" sheetId="52" r:id="rId52"/>
    <sheet name="RAVASCLETTO" sheetId="53" r:id="rId53"/>
    <sheet name="RAVEO" sheetId="54" r:id="rId54"/>
    <sheet name="REANA DEL ROJALE" sheetId="55" r:id="rId55"/>
    <sheet name="REMANZACCO" sheetId="56" r:id="rId56"/>
    <sheet name="RESIUTTA" sheetId="57" r:id="rId57"/>
    <sheet name="RIGOLATO" sheetId="58" r:id="rId58"/>
    <sheet name="RIVE D'ARCANO" sheetId="59" r:id="rId59"/>
    <sheet name="RIVIGNANO TEOR" sheetId="60" r:id="rId60"/>
    <sheet name="SAN DANIELE DEL FRIULI" sheetId="61" r:id="rId61"/>
    <sheet name="SAN DORLIGO DELLA VALLE-DOLINA" sheetId="62" r:id="rId62"/>
    <sheet name="SAN GIOVANNI AL NATISONE" sheetId="63" r:id="rId63"/>
    <sheet name="SAN VITO DI FAGAGNA" sheetId="64" r:id="rId64"/>
    <sheet name="SAPPADA" sheetId="65" r:id="rId65"/>
    <sheet name="SAURIS" sheetId="66" r:id="rId66"/>
    <sheet name="SEDEGLIANO" sheetId="67" r:id="rId67"/>
    <sheet name="SOCCHIEVE" sheetId="68" r:id="rId68"/>
    <sheet name="SUTRIO" sheetId="69" r:id="rId69"/>
    <sheet name="TAIPANA" sheetId="70" r:id="rId70"/>
    <sheet name="TARCENTO" sheetId="71" r:id="rId71"/>
    <sheet name="TOLMEZZO" sheetId="72" r:id="rId72"/>
    <sheet name="TRASAGHIS" sheetId="73" r:id="rId73"/>
    <sheet name="TREPPO GRANDE" sheetId="74" r:id="rId74"/>
    <sheet name="TREPPO LIGOSULLO" sheetId="75" r:id="rId75"/>
    <sheet name="VARMO" sheetId="76" r:id="rId76"/>
    <sheet name="VENZONE" sheetId="77" r:id="rId77"/>
    <sheet name="VERZEGNIS" sheetId="78" r:id="rId78"/>
    <sheet name="VILLA SANTINA" sheetId="79" r:id="rId79"/>
    <sheet name="ZUGLIO" sheetId="80" r:id="rId8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80" l="1"/>
  <c r="G61" i="80"/>
  <c r="G60" i="80"/>
  <c r="G59" i="80"/>
  <c r="E54" i="80"/>
  <c r="D54" i="80"/>
  <c r="C54" i="80"/>
  <c r="E53" i="80"/>
  <c r="D53" i="80"/>
  <c r="C53" i="80"/>
  <c r="G47" i="80"/>
  <c r="H47" i="80" s="1"/>
  <c r="H46" i="80"/>
  <c r="G46" i="80"/>
  <c r="H45" i="80"/>
  <c r="G45" i="80"/>
  <c r="F38" i="80"/>
  <c r="E38" i="80"/>
  <c r="D38" i="80"/>
  <c r="C38" i="80"/>
  <c r="G37" i="80"/>
  <c r="H36" i="80"/>
  <c r="G36" i="80"/>
  <c r="H35" i="80"/>
  <c r="G35" i="80"/>
  <c r="J34" i="80"/>
  <c r="H34" i="80"/>
  <c r="G34" i="80"/>
  <c r="H33" i="80"/>
  <c r="G33" i="80"/>
  <c r="H32" i="80"/>
  <c r="G32" i="80"/>
  <c r="J31" i="80"/>
  <c r="H31" i="80"/>
  <c r="G31" i="80"/>
  <c r="G30" i="80"/>
  <c r="J29" i="80"/>
  <c r="H29" i="80"/>
  <c r="G29" i="80"/>
  <c r="J28" i="80"/>
  <c r="H28" i="80"/>
  <c r="G28" i="80"/>
  <c r="G27" i="80"/>
  <c r="J26" i="80"/>
  <c r="H26" i="80"/>
  <c r="G26" i="80"/>
  <c r="H25" i="80"/>
  <c r="G25" i="80"/>
  <c r="G24" i="80"/>
  <c r="H23" i="80"/>
  <c r="G23" i="80"/>
  <c r="G22" i="80"/>
  <c r="J21" i="80"/>
  <c r="H21" i="80"/>
  <c r="G21" i="80"/>
  <c r="J20" i="80"/>
  <c r="H20" i="80"/>
  <c r="G20" i="80"/>
  <c r="G19" i="80"/>
  <c r="H18" i="80"/>
  <c r="G18" i="80"/>
  <c r="H17" i="80"/>
  <c r="G17" i="80"/>
  <c r="G16" i="80"/>
  <c r="H15" i="80"/>
  <c r="G15" i="80"/>
  <c r="J15" i="80" s="1"/>
  <c r="G14" i="80"/>
  <c r="J13" i="80"/>
  <c r="G13" i="80"/>
  <c r="H12" i="80"/>
  <c r="G12" i="80"/>
  <c r="J12" i="80" s="1"/>
  <c r="G11" i="80"/>
  <c r="J10" i="80"/>
  <c r="G10" i="80"/>
  <c r="H9" i="80"/>
  <c r="G9" i="80"/>
  <c r="G66" i="79"/>
  <c r="G65" i="79"/>
  <c r="G64" i="79"/>
  <c r="G63" i="79"/>
  <c r="E58" i="79"/>
  <c r="D58" i="79"/>
  <c r="C58" i="79"/>
  <c r="E57" i="79"/>
  <c r="D57" i="79"/>
  <c r="C57" i="79"/>
  <c r="H51" i="79"/>
  <c r="G51" i="79"/>
  <c r="H50" i="79"/>
  <c r="G50" i="79"/>
  <c r="H49" i="79"/>
  <c r="G49" i="79"/>
  <c r="F42" i="79"/>
  <c r="E42" i="79"/>
  <c r="D42" i="79"/>
  <c r="C42" i="79"/>
  <c r="G41" i="79"/>
  <c r="J40" i="79"/>
  <c r="G40" i="79"/>
  <c r="H39" i="79"/>
  <c r="G39" i="79"/>
  <c r="J39" i="79" s="1"/>
  <c r="G38" i="79"/>
  <c r="H37" i="79"/>
  <c r="G37" i="79"/>
  <c r="G36" i="79"/>
  <c r="J35" i="79"/>
  <c r="H35" i="79"/>
  <c r="G35" i="79"/>
  <c r="H34" i="79"/>
  <c r="G34" i="79"/>
  <c r="G33" i="79"/>
  <c r="H32" i="79"/>
  <c r="G32" i="79"/>
  <c r="G31" i="79"/>
  <c r="J30" i="79"/>
  <c r="H30" i="79"/>
  <c r="G30" i="79"/>
  <c r="J29" i="79"/>
  <c r="H29" i="79"/>
  <c r="G29" i="79"/>
  <c r="H28" i="79"/>
  <c r="G28" i="79"/>
  <c r="J27" i="79"/>
  <c r="H27" i="79"/>
  <c r="G27" i="79"/>
  <c r="J26" i="79"/>
  <c r="H26" i="79"/>
  <c r="G26" i="79"/>
  <c r="G25" i="79"/>
  <c r="J24" i="79"/>
  <c r="H24" i="79"/>
  <c r="G24" i="79"/>
  <c r="J23" i="79"/>
  <c r="H23" i="79"/>
  <c r="G23" i="79"/>
  <c r="H22" i="79"/>
  <c r="G22" i="79"/>
  <c r="J21" i="79"/>
  <c r="H21" i="79"/>
  <c r="G21" i="79"/>
  <c r="J20" i="79"/>
  <c r="H20" i="79"/>
  <c r="G20" i="79"/>
  <c r="G19" i="79"/>
  <c r="J18" i="79"/>
  <c r="H18" i="79"/>
  <c r="G18" i="79"/>
  <c r="J17" i="79"/>
  <c r="H17" i="79"/>
  <c r="G17" i="79"/>
  <c r="G16" i="79"/>
  <c r="J15" i="79"/>
  <c r="H15" i="79"/>
  <c r="G15" i="79"/>
  <c r="J14" i="79"/>
  <c r="H14" i="79"/>
  <c r="G14" i="79"/>
  <c r="H13" i="79"/>
  <c r="G13" i="79"/>
  <c r="J13" i="79" s="1"/>
  <c r="J12" i="79"/>
  <c r="H12" i="79"/>
  <c r="G12" i="79"/>
  <c r="J11" i="79"/>
  <c r="H11" i="79"/>
  <c r="G11" i="79"/>
  <c r="J10" i="79"/>
  <c r="G10" i="79"/>
  <c r="J9" i="79"/>
  <c r="H9" i="79"/>
  <c r="G9" i="79"/>
  <c r="G64" i="78"/>
  <c r="G63" i="78"/>
  <c r="G62" i="78"/>
  <c r="G61" i="78"/>
  <c r="E56" i="78"/>
  <c r="D56" i="78"/>
  <c r="C56" i="78"/>
  <c r="E55" i="78"/>
  <c r="D55" i="78"/>
  <c r="C55" i="78"/>
  <c r="H49" i="78"/>
  <c r="G49" i="78"/>
  <c r="H48" i="78"/>
  <c r="G48" i="78"/>
  <c r="H47" i="78"/>
  <c r="G47" i="78"/>
  <c r="F40" i="78"/>
  <c r="E40" i="78"/>
  <c r="D40" i="78"/>
  <c r="C40" i="78"/>
  <c r="G39" i="78"/>
  <c r="H38" i="78"/>
  <c r="G38" i="78"/>
  <c r="J38" i="78" s="1"/>
  <c r="H37" i="78"/>
  <c r="G37" i="78"/>
  <c r="J36" i="78"/>
  <c r="H36" i="78"/>
  <c r="G36" i="78"/>
  <c r="J35" i="78"/>
  <c r="H35" i="78"/>
  <c r="G35" i="78"/>
  <c r="J34" i="78"/>
  <c r="H34" i="78"/>
  <c r="G34" i="78"/>
  <c r="J33" i="78"/>
  <c r="H33" i="78"/>
  <c r="G33" i="78"/>
  <c r="G32" i="78"/>
  <c r="J31" i="78"/>
  <c r="H31" i="78"/>
  <c r="G31" i="78"/>
  <c r="J30" i="78"/>
  <c r="H30" i="78"/>
  <c r="G30" i="78"/>
  <c r="H29" i="78"/>
  <c r="G29" i="78"/>
  <c r="J28" i="78"/>
  <c r="H28" i="78"/>
  <c r="G28" i="78"/>
  <c r="J27" i="78"/>
  <c r="H27" i="78"/>
  <c r="G27" i="78"/>
  <c r="G26" i="78"/>
  <c r="H26" i="78" s="1"/>
  <c r="H25" i="78"/>
  <c r="G25" i="78"/>
  <c r="H24" i="78"/>
  <c r="G24" i="78"/>
  <c r="J24" i="78" s="1"/>
  <c r="J23" i="78"/>
  <c r="H23" i="78"/>
  <c r="G23" i="78"/>
  <c r="J22" i="78"/>
  <c r="H22" i="78"/>
  <c r="G22" i="78"/>
  <c r="J21" i="78"/>
  <c r="G21" i="78"/>
  <c r="G20" i="78"/>
  <c r="H19" i="78"/>
  <c r="G19" i="78"/>
  <c r="J18" i="78"/>
  <c r="H18" i="78"/>
  <c r="G18" i="78"/>
  <c r="H17" i="78"/>
  <c r="G17" i="78"/>
  <c r="G16" i="78"/>
  <c r="G15" i="78"/>
  <c r="H14" i="78"/>
  <c r="G14" i="78"/>
  <c r="J14" i="78" s="1"/>
  <c r="G13" i="78"/>
  <c r="J12" i="78"/>
  <c r="G12" i="78"/>
  <c r="H11" i="78"/>
  <c r="G11" i="78"/>
  <c r="J11" i="78" s="1"/>
  <c r="H10" i="78"/>
  <c r="G10" i="78"/>
  <c r="H9" i="78"/>
  <c r="G9" i="78"/>
  <c r="G62" i="77"/>
  <c r="G61" i="77"/>
  <c r="G60" i="77"/>
  <c r="G59" i="77"/>
  <c r="E54" i="77"/>
  <c r="D54" i="77"/>
  <c r="C54" i="77"/>
  <c r="E53" i="77"/>
  <c r="D53" i="77"/>
  <c r="C53" i="77"/>
  <c r="H47" i="77"/>
  <c r="G47" i="77"/>
  <c r="G46" i="77"/>
  <c r="H46" i="77" s="1"/>
  <c r="G45" i="77"/>
  <c r="H45" i="77" s="1"/>
  <c r="F38" i="77"/>
  <c r="E38" i="77"/>
  <c r="D38" i="77"/>
  <c r="C38" i="77"/>
  <c r="H37" i="77"/>
  <c r="G37" i="77"/>
  <c r="J37" i="77" s="1"/>
  <c r="H36" i="77"/>
  <c r="G36" i="77"/>
  <c r="J35" i="77"/>
  <c r="H35" i="77"/>
  <c r="G35" i="77"/>
  <c r="G34" i="77"/>
  <c r="H34" i="77" s="1"/>
  <c r="H33" i="77"/>
  <c r="G33" i="77"/>
  <c r="J32" i="77"/>
  <c r="G32" i="77"/>
  <c r="J31" i="77"/>
  <c r="H31" i="77"/>
  <c r="G31" i="77"/>
  <c r="H30" i="77"/>
  <c r="G30" i="77"/>
  <c r="G29" i="77"/>
  <c r="G28" i="77"/>
  <c r="H27" i="77"/>
  <c r="G27" i="77"/>
  <c r="J27" i="77" s="1"/>
  <c r="G26" i="77"/>
  <c r="J25" i="77"/>
  <c r="G25" i="77"/>
  <c r="H24" i="77"/>
  <c r="G24" i="77"/>
  <c r="J24" i="77" s="1"/>
  <c r="G23" i="77"/>
  <c r="G22" i="77"/>
  <c r="H21" i="77"/>
  <c r="G21" i="77"/>
  <c r="J21" i="77" s="1"/>
  <c r="G20" i="77"/>
  <c r="G19" i="77"/>
  <c r="H18" i="77"/>
  <c r="G18" i="77"/>
  <c r="J17" i="77"/>
  <c r="H17" i="77"/>
  <c r="G17" i="77"/>
  <c r="J16" i="77"/>
  <c r="H16" i="77"/>
  <c r="G16" i="77"/>
  <c r="G15" i="77"/>
  <c r="J14" i="77"/>
  <c r="H14" i="77"/>
  <c r="G14" i="77"/>
  <c r="J13" i="77"/>
  <c r="H13" i="77"/>
  <c r="G13" i="77"/>
  <c r="H12" i="77"/>
  <c r="G12" i="77"/>
  <c r="J11" i="77"/>
  <c r="H11" i="77"/>
  <c r="G11" i="77"/>
  <c r="J10" i="77"/>
  <c r="H10" i="77"/>
  <c r="G10" i="77"/>
  <c r="J9" i="77"/>
  <c r="H9" i="77"/>
  <c r="G9" i="77"/>
  <c r="G68" i="76"/>
  <c r="G67" i="76"/>
  <c r="G66" i="76"/>
  <c r="G65" i="76"/>
  <c r="E60" i="76"/>
  <c r="D60" i="76"/>
  <c r="C60" i="76"/>
  <c r="E59" i="76"/>
  <c r="D59" i="76"/>
  <c r="C59" i="76"/>
  <c r="H53" i="76"/>
  <c r="G53" i="76"/>
  <c r="H52" i="76"/>
  <c r="G52" i="76"/>
  <c r="H51" i="76"/>
  <c r="G51" i="76"/>
  <c r="F44" i="76"/>
  <c r="E44" i="76"/>
  <c r="D44" i="76"/>
  <c r="C44" i="76"/>
  <c r="J43" i="76"/>
  <c r="G43" i="76"/>
  <c r="J42" i="76"/>
  <c r="H42" i="76"/>
  <c r="G42" i="76"/>
  <c r="G41" i="76"/>
  <c r="H41" i="76" s="1"/>
  <c r="G40" i="76"/>
  <c r="G39" i="76"/>
  <c r="H39" i="76" s="1"/>
  <c r="H38" i="76"/>
  <c r="G38" i="76"/>
  <c r="J38" i="76" s="1"/>
  <c r="G37" i="76"/>
  <c r="G36" i="76"/>
  <c r="G35" i="76"/>
  <c r="G34" i="76"/>
  <c r="J33" i="76"/>
  <c r="G33" i="76"/>
  <c r="H33" i="76" s="1"/>
  <c r="G32" i="76"/>
  <c r="J32" i="76" s="1"/>
  <c r="G31" i="76"/>
  <c r="J30" i="76"/>
  <c r="G30" i="76"/>
  <c r="H30" i="76" s="1"/>
  <c r="H29" i="76"/>
  <c r="G29" i="76"/>
  <c r="J29" i="76" s="1"/>
  <c r="G28" i="76"/>
  <c r="G27" i="76"/>
  <c r="G26" i="76"/>
  <c r="G25" i="76"/>
  <c r="J24" i="76"/>
  <c r="G24" i="76"/>
  <c r="H24" i="76" s="1"/>
  <c r="G23" i="76"/>
  <c r="J23" i="76" s="1"/>
  <c r="G22" i="76"/>
  <c r="J21" i="76"/>
  <c r="G21" i="76"/>
  <c r="H21" i="76" s="1"/>
  <c r="H20" i="76"/>
  <c r="G20" i="76"/>
  <c r="J20" i="76" s="1"/>
  <c r="G19" i="76"/>
  <c r="G18" i="76"/>
  <c r="G17" i="76"/>
  <c r="G16" i="76"/>
  <c r="J15" i="76"/>
  <c r="G15" i="76"/>
  <c r="H15" i="76" s="1"/>
  <c r="G14" i="76"/>
  <c r="J14" i="76" s="1"/>
  <c r="G13" i="76"/>
  <c r="J12" i="76"/>
  <c r="G12" i="76"/>
  <c r="H12" i="76" s="1"/>
  <c r="H11" i="76"/>
  <c r="G11" i="76"/>
  <c r="J11" i="76" s="1"/>
  <c r="G10" i="76"/>
  <c r="G9" i="76"/>
  <c r="G61" i="75"/>
  <c r="G60" i="75"/>
  <c r="G59" i="75"/>
  <c r="G58" i="75"/>
  <c r="E53" i="75"/>
  <c r="D53" i="75"/>
  <c r="C53" i="75"/>
  <c r="E52" i="75"/>
  <c r="D52" i="75"/>
  <c r="C52" i="75"/>
  <c r="G46" i="75"/>
  <c r="H46" i="75" s="1"/>
  <c r="G45" i="75"/>
  <c r="H45" i="75" s="1"/>
  <c r="H44" i="75"/>
  <c r="G44" i="75"/>
  <c r="F37" i="75"/>
  <c r="E37" i="75"/>
  <c r="D37" i="75"/>
  <c r="C37" i="75"/>
  <c r="H36" i="75"/>
  <c r="G36" i="75"/>
  <c r="G35" i="75"/>
  <c r="G34" i="75"/>
  <c r="G33" i="75"/>
  <c r="H32" i="75"/>
  <c r="G32" i="75"/>
  <c r="H31" i="75"/>
  <c r="G31" i="75"/>
  <c r="H30" i="75"/>
  <c r="G30" i="75"/>
  <c r="H29" i="75"/>
  <c r="G29" i="75"/>
  <c r="H28" i="75"/>
  <c r="G28" i="75"/>
  <c r="J27" i="75"/>
  <c r="H27" i="75"/>
  <c r="G27" i="75"/>
  <c r="H26" i="75"/>
  <c r="G26" i="75"/>
  <c r="H25" i="75"/>
  <c r="G25" i="75"/>
  <c r="J25" i="75" s="1"/>
  <c r="J24" i="75"/>
  <c r="H24" i="75"/>
  <c r="G24" i="75"/>
  <c r="G23" i="75"/>
  <c r="H22" i="75"/>
  <c r="G22" i="75"/>
  <c r="J22" i="75" s="1"/>
  <c r="J21" i="75"/>
  <c r="H21" i="75"/>
  <c r="G21" i="75"/>
  <c r="H20" i="75"/>
  <c r="G20" i="75"/>
  <c r="G19" i="75"/>
  <c r="J18" i="75"/>
  <c r="H18" i="75"/>
  <c r="G18" i="75"/>
  <c r="H17" i="75"/>
  <c r="G17" i="75"/>
  <c r="J17" i="75" s="1"/>
  <c r="G16" i="75"/>
  <c r="J15" i="75"/>
  <c r="H15" i="75"/>
  <c r="G15" i="75"/>
  <c r="H14" i="75"/>
  <c r="G14" i="75"/>
  <c r="J14" i="75" s="1"/>
  <c r="J13" i="75"/>
  <c r="G13" i="75"/>
  <c r="J12" i="75"/>
  <c r="H12" i="75"/>
  <c r="G12" i="75"/>
  <c r="H11" i="75"/>
  <c r="G11" i="75"/>
  <c r="J11" i="75" s="1"/>
  <c r="G10" i="75"/>
  <c r="J9" i="75"/>
  <c r="H9" i="75"/>
  <c r="G9" i="75"/>
  <c r="G43" i="74"/>
  <c r="G42" i="74"/>
  <c r="G41" i="74"/>
  <c r="G40" i="74"/>
  <c r="E35" i="74"/>
  <c r="D35" i="74"/>
  <c r="C35" i="74"/>
  <c r="E34" i="74"/>
  <c r="D34" i="74"/>
  <c r="C34" i="74"/>
  <c r="H28" i="74"/>
  <c r="G28" i="74"/>
  <c r="G27" i="74"/>
  <c r="H27" i="74" s="1"/>
  <c r="H26" i="74"/>
  <c r="G26" i="74"/>
  <c r="F19" i="74"/>
  <c r="E19" i="74"/>
  <c r="D19" i="74"/>
  <c r="C19" i="74"/>
  <c r="G18" i="74"/>
  <c r="H17" i="74"/>
  <c r="G17" i="74"/>
  <c r="J17" i="74" s="1"/>
  <c r="G16" i="74"/>
  <c r="J16" i="74" s="1"/>
  <c r="H15" i="74"/>
  <c r="G15" i="74"/>
  <c r="J14" i="74"/>
  <c r="G14" i="74"/>
  <c r="J13" i="74"/>
  <c r="H13" i="74"/>
  <c r="G13" i="74"/>
  <c r="H12" i="74"/>
  <c r="G12" i="74"/>
  <c r="J12" i="74" s="1"/>
  <c r="G11" i="74"/>
  <c r="J10" i="74"/>
  <c r="H10" i="74"/>
  <c r="G10" i="74"/>
  <c r="H9" i="74"/>
  <c r="G9" i="74"/>
  <c r="G69" i="73"/>
  <c r="G68" i="73"/>
  <c r="G67" i="73"/>
  <c r="G66" i="73"/>
  <c r="E61" i="73"/>
  <c r="D61" i="73"/>
  <c r="C61" i="73"/>
  <c r="E60" i="73"/>
  <c r="D60" i="73"/>
  <c r="C60" i="73"/>
  <c r="H54" i="73"/>
  <c r="G54" i="73"/>
  <c r="H53" i="73"/>
  <c r="G53" i="73"/>
  <c r="G52" i="73"/>
  <c r="H52" i="73" s="1"/>
  <c r="F45" i="73"/>
  <c r="E45" i="73"/>
  <c r="D45" i="73"/>
  <c r="C45" i="73"/>
  <c r="H44" i="73"/>
  <c r="G44" i="73"/>
  <c r="J43" i="73"/>
  <c r="H43" i="73"/>
  <c r="G43" i="73"/>
  <c r="H42" i="73"/>
  <c r="G42" i="73"/>
  <c r="G41" i="73"/>
  <c r="J40" i="73"/>
  <c r="H40" i="73"/>
  <c r="G40" i="73"/>
  <c r="H39" i="73"/>
  <c r="G39" i="73"/>
  <c r="J39" i="73" s="1"/>
  <c r="J38" i="73"/>
  <c r="G38" i="73"/>
  <c r="J37" i="73"/>
  <c r="H37" i="73"/>
  <c r="G37" i="73"/>
  <c r="H36" i="73"/>
  <c r="G36" i="73"/>
  <c r="J36" i="73" s="1"/>
  <c r="H35" i="73"/>
  <c r="G35" i="73"/>
  <c r="J34" i="73"/>
  <c r="G34" i="73"/>
  <c r="H33" i="73"/>
  <c r="G33" i="73"/>
  <c r="J33" i="73" s="1"/>
  <c r="J32" i="73"/>
  <c r="H32" i="73"/>
  <c r="G32" i="73"/>
  <c r="J31" i="73"/>
  <c r="G31" i="73"/>
  <c r="H30" i="73"/>
  <c r="G30" i="73"/>
  <c r="J30" i="73" s="1"/>
  <c r="J29" i="73"/>
  <c r="H29" i="73"/>
  <c r="G29" i="73"/>
  <c r="G28" i="73"/>
  <c r="H27" i="73"/>
  <c r="G27" i="73"/>
  <c r="J27" i="73" s="1"/>
  <c r="J26" i="73"/>
  <c r="H26" i="73"/>
  <c r="G26" i="73"/>
  <c r="J25" i="73"/>
  <c r="G25" i="73"/>
  <c r="H24" i="73"/>
  <c r="G24" i="73"/>
  <c r="J24" i="73" s="1"/>
  <c r="J23" i="73"/>
  <c r="H23" i="73"/>
  <c r="G23" i="73"/>
  <c r="J22" i="73"/>
  <c r="G22" i="73"/>
  <c r="H21" i="73"/>
  <c r="G21" i="73"/>
  <c r="J21" i="73" s="1"/>
  <c r="J20" i="73"/>
  <c r="H20" i="73"/>
  <c r="G20" i="73"/>
  <c r="G19" i="73"/>
  <c r="H18" i="73"/>
  <c r="G18" i="73"/>
  <c r="J18" i="73" s="1"/>
  <c r="J17" i="73"/>
  <c r="H17" i="73"/>
  <c r="G17" i="73"/>
  <c r="J16" i="73"/>
  <c r="G16" i="73"/>
  <c r="H15" i="73"/>
  <c r="G15" i="73"/>
  <c r="J15" i="73" s="1"/>
  <c r="J14" i="73"/>
  <c r="H14" i="73"/>
  <c r="G14" i="73"/>
  <c r="J13" i="73"/>
  <c r="G13" i="73"/>
  <c r="H12" i="73"/>
  <c r="G12" i="73"/>
  <c r="J12" i="73" s="1"/>
  <c r="J11" i="73"/>
  <c r="H11" i="73"/>
  <c r="G11" i="73"/>
  <c r="G10" i="73"/>
  <c r="J9" i="73"/>
  <c r="H9" i="73"/>
  <c r="G9" i="73"/>
  <c r="G72" i="72"/>
  <c r="G71" i="72"/>
  <c r="G70" i="72"/>
  <c r="G69" i="72"/>
  <c r="E64" i="72"/>
  <c r="D64" i="72"/>
  <c r="C64" i="72"/>
  <c r="E63" i="72"/>
  <c r="D63" i="72"/>
  <c r="C63" i="72"/>
  <c r="H57" i="72"/>
  <c r="G57" i="72"/>
  <c r="G56" i="72"/>
  <c r="H56" i="72" s="1"/>
  <c r="H55" i="72"/>
  <c r="G55" i="72"/>
  <c r="F48" i="72"/>
  <c r="E48" i="72"/>
  <c r="D48" i="72"/>
  <c r="C48" i="72"/>
  <c r="G47" i="72"/>
  <c r="H47" i="72" s="1"/>
  <c r="H46" i="72"/>
  <c r="G46" i="72"/>
  <c r="J46" i="72" s="1"/>
  <c r="G45" i="72"/>
  <c r="J45" i="72" s="1"/>
  <c r="J44" i="72"/>
  <c r="G44" i="72"/>
  <c r="H44" i="72" s="1"/>
  <c r="G43" i="72"/>
  <c r="H42" i="72"/>
  <c r="G42" i="72"/>
  <c r="J42" i="72" s="1"/>
  <c r="H41" i="72"/>
  <c r="G41" i="72"/>
  <c r="H40" i="72"/>
  <c r="G40" i="72"/>
  <c r="H39" i="72"/>
  <c r="G39" i="72"/>
  <c r="J39" i="72" s="1"/>
  <c r="G38" i="72"/>
  <c r="H38" i="72" s="1"/>
  <c r="H37" i="72"/>
  <c r="G37" i="72"/>
  <c r="G36" i="72"/>
  <c r="J35" i="72"/>
  <c r="H35" i="72"/>
  <c r="G35" i="72"/>
  <c r="H34" i="72"/>
  <c r="G34" i="72"/>
  <c r="J34" i="72" s="1"/>
  <c r="G33" i="72"/>
  <c r="J32" i="72"/>
  <c r="H32" i="72"/>
  <c r="G32" i="72"/>
  <c r="H31" i="72"/>
  <c r="G31" i="72"/>
  <c r="J31" i="72" s="1"/>
  <c r="G30" i="72"/>
  <c r="J29" i="72"/>
  <c r="H29" i="72"/>
  <c r="G29" i="72"/>
  <c r="H28" i="72"/>
  <c r="G28" i="72"/>
  <c r="J28" i="72" s="1"/>
  <c r="G27" i="72"/>
  <c r="J26" i="72"/>
  <c r="H26" i="72"/>
  <c r="G26" i="72"/>
  <c r="H25" i="72"/>
  <c r="G25" i="72"/>
  <c r="J25" i="72" s="1"/>
  <c r="G24" i="72"/>
  <c r="J23" i="72"/>
  <c r="H23" i="72"/>
  <c r="G23" i="72"/>
  <c r="H22" i="72"/>
  <c r="G22" i="72"/>
  <c r="J22" i="72" s="1"/>
  <c r="G21" i="72"/>
  <c r="J20" i="72"/>
  <c r="H20" i="72"/>
  <c r="G20" i="72"/>
  <c r="H19" i="72"/>
  <c r="G19" i="72"/>
  <c r="J19" i="72" s="1"/>
  <c r="G18" i="72"/>
  <c r="J17" i="72"/>
  <c r="H17" i="72"/>
  <c r="G17" i="72"/>
  <c r="H16" i="72"/>
  <c r="G16" i="72"/>
  <c r="J16" i="72" s="1"/>
  <c r="G15" i="72"/>
  <c r="H15" i="72" s="1"/>
  <c r="J14" i="72"/>
  <c r="H14" i="72"/>
  <c r="G14" i="72"/>
  <c r="H13" i="72"/>
  <c r="G13" i="72"/>
  <c r="J12" i="72"/>
  <c r="G12" i="72"/>
  <c r="H12" i="72" s="1"/>
  <c r="J11" i="72"/>
  <c r="H11" i="72"/>
  <c r="G11" i="72"/>
  <c r="G10" i="72"/>
  <c r="J9" i="72"/>
  <c r="G9" i="72"/>
  <c r="G60" i="71"/>
  <c r="G59" i="71"/>
  <c r="G58" i="71"/>
  <c r="G57" i="71"/>
  <c r="E52" i="71"/>
  <c r="D52" i="71"/>
  <c r="C52" i="71"/>
  <c r="E51" i="71"/>
  <c r="D51" i="71"/>
  <c r="C51" i="71"/>
  <c r="G45" i="71"/>
  <c r="H45" i="71" s="1"/>
  <c r="H44" i="71"/>
  <c r="G44" i="71"/>
  <c r="H43" i="71"/>
  <c r="G43" i="71"/>
  <c r="F36" i="71"/>
  <c r="E36" i="71"/>
  <c r="D36" i="71"/>
  <c r="C36" i="71"/>
  <c r="H35" i="71"/>
  <c r="G35" i="71"/>
  <c r="G34" i="71"/>
  <c r="J34" i="71" s="1"/>
  <c r="G33" i="71"/>
  <c r="J32" i="71"/>
  <c r="H32" i="71"/>
  <c r="G32" i="71"/>
  <c r="G31" i="71"/>
  <c r="G30" i="71"/>
  <c r="J29" i="71"/>
  <c r="H29" i="71"/>
  <c r="G29" i="71"/>
  <c r="H28" i="71"/>
  <c r="G28" i="71"/>
  <c r="J28" i="71" s="1"/>
  <c r="G27" i="71"/>
  <c r="J26" i="71"/>
  <c r="H26" i="71"/>
  <c r="G26" i="71"/>
  <c r="G25" i="71"/>
  <c r="J25" i="71" s="1"/>
  <c r="G24" i="71"/>
  <c r="J23" i="71"/>
  <c r="H23" i="71"/>
  <c r="G23" i="71"/>
  <c r="G22" i="71"/>
  <c r="J21" i="71"/>
  <c r="G21" i="71"/>
  <c r="H21" i="71" s="1"/>
  <c r="J20" i="71"/>
  <c r="H20" i="71"/>
  <c r="G20" i="71"/>
  <c r="G19" i="71"/>
  <c r="J18" i="71"/>
  <c r="H18" i="71"/>
  <c r="G18" i="71"/>
  <c r="H17" i="71"/>
  <c r="G17" i="71"/>
  <c r="G16" i="71"/>
  <c r="J15" i="71"/>
  <c r="H15" i="71"/>
  <c r="G15" i="71"/>
  <c r="H14" i="71"/>
  <c r="G14" i="71"/>
  <c r="J14" i="71" s="1"/>
  <c r="G13" i="71"/>
  <c r="J12" i="71"/>
  <c r="H12" i="71"/>
  <c r="G12" i="71"/>
  <c r="G11" i="71"/>
  <c r="J11" i="71" s="1"/>
  <c r="G10" i="71"/>
  <c r="J9" i="71"/>
  <c r="H9" i="71"/>
  <c r="G9" i="71"/>
  <c r="G61" i="70"/>
  <c r="G60" i="70"/>
  <c r="G59" i="70"/>
  <c r="G58" i="70"/>
  <c r="E53" i="70"/>
  <c r="D53" i="70"/>
  <c r="C53" i="70"/>
  <c r="E52" i="70"/>
  <c r="D52" i="70"/>
  <c r="C52" i="70"/>
  <c r="H46" i="70"/>
  <c r="G46" i="70"/>
  <c r="G45" i="70"/>
  <c r="H45" i="70" s="1"/>
  <c r="G44" i="70"/>
  <c r="H44" i="70" s="1"/>
  <c r="F37" i="70"/>
  <c r="E37" i="70"/>
  <c r="D37" i="70"/>
  <c r="C37" i="70"/>
  <c r="H36" i="70"/>
  <c r="G36" i="70"/>
  <c r="G35" i="70"/>
  <c r="H34" i="70"/>
  <c r="G34" i="70"/>
  <c r="G33" i="70"/>
  <c r="J32" i="70"/>
  <c r="G32" i="70"/>
  <c r="H32" i="70" s="1"/>
  <c r="G31" i="70"/>
  <c r="H31" i="70" s="1"/>
  <c r="G30" i="70"/>
  <c r="H30" i="70" s="1"/>
  <c r="J29" i="70"/>
  <c r="H29" i="70"/>
  <c r="G29" i="70"/>
  <c r="G28" i="70"/>
  <c r="J27" i="70"/>
  <c r="G27" i="70"/>
  <c r="H27" i="70" s="1"/>
  <c r="J26" i="70"/>
  <c r="H26" i="70"/>
  <c r="G26" i="70"/>
  <c r="G25" i="70"/>
  <c r="J24" i="70"/>
  <c r="G24" i="70"/>
  <c r="H24" i="70" s="1"/>
  <c r="J23" i="70"/>
  <c r="H23" i="70"/>
  <c r="G23" i="70"/>
  <c r="H22" i="70"/>
  <c r="G22" i="70"/>
  <c r="J21" i="70"/>
  <c r="G21" i="70"/>
  <c r="H21" i="70" s="1"/>
  <c r="J20" i="70"/>
  <c r="H20" i="70"/>
  <c r="G20" i="70"/>
  <c r="G19" i="70"/>
  <c r="J18" i="70"/>
  <c r="G18" i="70"/>
  <c r="J17" i="70"/>
  <c r="H17" i="70"/>
  <c r="G17" i="70"/>
  <c r="G16" i="70"/>
  <c r="J15" i="70"/>
  <c r="H15" i="70"/>
  <c r="G15" i="70"/>
  <c r="G14" i="70"/>
  <c r="G13" i="70"/>
  <c r="J12" i="70"/>
  <c r="G12" i="70"/>
  <c r="H12" i="70" s="1"/>
  <c r="H11" i="70"/>
  <c r="G11" i="70"/>
  <c r="J11" i="70" s="1"/>
  <c r="G10" i="70"/>
  <c r="J9" i="70"/>
  <c r="G9" i="70"/>
  <c r="H9" i="70" s="1"/>
  <c r="G69" i="69"/>
  <c r="G68" i="69"/>
  <c r="G67" i="69"/>
  <c r="G66" i="69"/>
  <c r="E61" i="69"/>
  <c r="D61" i="69"/>
  <c r="C61" i="69"/>
  <c r="E60" i="69"/>
  <c r="D60" i="69"/>
  <c r="C60" i="69"/>
  <c r="H54" i="69"/>
  <c r="G54" i="69"/>
  <c r="G53" i="69"/>
  <c r="H53" i="69" s="1"/>
  <c r="H52" i="69"/>
  <c r="G52" i="69"/>
  <c r="F45" i="69"/>
  <c r="E45" i="69"/>
  <c r="D45" i="69"/>
  <c r="C45" i="69"/>
  <c r="J44" i="69"/>
  <c r="G44" i="69"/>
  <c r="H44" i="69" s="1"/>
  <c r="G43" i="69"/>
  <c r="J43" i="69" s="1"/>
  <c r="G42" i="69"/>
  <c r="H41" i="69"/>
  <c r="G41" i="69"/>
  <c r="G40" i="69"/>
  <c r="J39" i="69"/>
  <c r="G39" i="69"/>
  <c r="J38" i="69"/>
  <c r="H38" i="69"/>
  <c r="G38" i="69"/>
  <c r="G37" i="69"/>
  <c r="J36" i="69"/>
  <c r="G36" i="69"/>
  <c r="J35" i="69"/>
  <c r="H35" i="69"/>
  <c r="G35" i="69"/>
  <c r="H34" i="69"/>
  <c r="G34" i="69"/>
  <c r="J33" i="69"/>
  <c r="H33" i="69"/>
  <c r="G33" i="69"/>
  <c r="J32" i="69"/>
  <c r="H32" i="69"/>
  <c r="G32" i="69"/>
  <c r="G31" i="69"/>
  <c r="J30" i="69"/>
  <c r="H30" i="69"/>
  <c r="G30" i="69"/>
  <c r="J29" i="69"/>
  <c r="H29" i="69"/>
  <c r="G29" i="69"/>
  <c r="H28" i="69"/>
  <c r="G28" i="69"/>
  <c r="G27" i="69"/>
  <c r="H27" i="69" s="1"/>
  <c r="G26" i="69"/>
  <c r="J25" i="69"/>
  <c r="H25" i="69"/>
  <c r="G25" i="69"/>
  <c r="J24" i="69"/>
  <c r="H24" i="69"/>
  <c r="G24" i="69"/>
  <c r="G23" i="69"/>
  <c r="J22" i="69"/>
  <c r="G22" i="69"/>
  <c r="H22" i="69" s="1"/>
  <c r="H21" i="69"/>
  <c r="G21" i="69"/>
  <c r="J21" i="69" s="1"/>
  <c r="G20" i="69"/>
  <c r="J19" i="69"/>
  <c r="G19" i="69"/>
  <c r="H19" i="69" s="1"/>
  <c r="H18" i="69"/>
  <c r="G18" i="69"/>
  <c r="J18" i="69" s="1"/>
  <c r="G17" i="69"/>
  <c r="J16" i="69"/>
  <c r="G16" i="69"/>
  <c r="H16" i="69" s="1"/>
  <c r="G15" i="69"/>
  <c r="J15" i="69" s="1"/>
  <c r="G14" i="69"/>
  <c r="J13" i="69"/>
  <c r="G13" i="69"/>
  <c r="H13" i="69" s="1"/>
  <c r="G12" i="69"/>
  <c r="J12" i="69" s="1"/>
  <c r="G11" i="69"/>
  <c r="J10" i="69"/>
  <c r="G10" i="69"/>
  <c r="H10" i="69" s="1"/>
  <c r="G9" i="69"/>
  <c r="G62" i="68"/>
  <c r="G61" i="68"/>
  <c r="G60" i="68"/>
  <c r="G59" i="68"/>
  <c r="E54" i="68"/>
  <c r="D54" i="68"/>
  <c r="C54" i="68"/>
  <c r="E53" i="68"/>
  <c r="D53" i="68"/>
  <c r="C53" i="68"/>
  <c r="G47" i="68"/>
  <c r="H47" i="68" s="1"/>
  <c r="G46" i="68"/>
  <c r="H46" i="68" s="1"/>
  <c r="G45" i="68"/>
  <c r="H45" i="68" s="1"/>
  <c r="F38" i="68"/>
  <c r="E38" i="68"/>
  <c r="D38" i="68"/>
  <c r="C38" i="68"/>
  <c r="G37" i="68"/>
  <c r="J36" i="68"/>
  <c r="H36" i="68"/>
  <c r="G36" i="68"/>
  <c r="G35" i="68"/>
  <c r="G34" i="68"/>
  <c r="H33" i="68"/>
  <c r="G33" i="68"/>
  <c r="G32" i="68"/>
  <c r="J31" i="68"/>
  <c r="G31" i="68"/>
  <c r="H31" i="68" s="1"/>
  <c r="G30" i="68"/>
  <c r="J30" i="68" s="1"/>
  <c r="G29" i="68"/>
  <c r="J28" i="68"/>
  <c r="H28" i="68"/>
  <c r="G28" i="68"/>
  <c r="G27" i="68"/>
  <c r="J26" i="68"/>
  <c r="G26" i="68"/>
  <c r="H26" i="68" s="1"/>
  <c r="G25" i="68"/>
  <c r="G24" i="68"/>
  <c r="H24" i="68" s="1"/>
  <c r="H23" i="68"/>
  <c r="G23" i="68"/>
  <c r="J23" i="68" s="1"/>
  <c r="G22" i="68"/>
  <c r="J21" i="68"/>
  <c r="G21" i="68"/>
  <c r="H21" i="68" s="1"/>
  <c r="G20" i="68"/>
  <c r="G19" i="68"/>
  <c r="H19" i="68" s="1"/>
  <c r="G18" i="68"/>
  <c r="J17" i="68"/>
  <c r="G17" i="68"/>
  <c r="H16" i="68"/>
  <c r="G16" i="68"/>
  <c r="G15" i="68"/>
  <c r="J14" i="68"/>
  <c r="G14" i="68"/>
  <c r="H14" i="68" s="1"/>
  <c r="H13" i="68"/>
  <c r="G13" i="68"/>
  <c r="G12" i="68"/>
  <c r="H12" i="68" s="1"/>
  <c r="H11" i="68"/>
  <c r="G11" i="68"/>
  <c r="J11" i="68" s="1"/>
  <c r="G10" i="68"/>
  <c r="H9" i="68"/>
  <c r="G9" i="68"/>
  <c r="G69" i="67"/>
  <c r="G68" i="67"/>
  <c r="G67" i="67"/>
  <c r="G66" i="67"/>
  <c r="E61" i="67"/>
  <c r="D61" i="67"/>
  <c r="C61" i="67"/>
  <c r="E60" i="67"/>
  <c r="D60" i="67"/>
  <c r="C60" i="67"/>
  <c r="H54" i="67"/>
  <c r="G54" i="67"/>
  <c r="G53" i="67"/>
  <c r="H53" i="67" s="1"/>
  <c r="G52" i="67"/>
  <c r="H52" i="67" s="1"/>
  <c r="F45" i="67"/>
  <c r="E45" i="67"/>
  <c r="D45" i="67"/>
  <c r="C45" i="67"/>
  <c r="H44" i="67"/>
  <c r="G44" i="67"/>
  <c r="G43" i="67"/>
  <c r="J42" i="67"/>
  <c r="G42" i="67"/>
  <c r="H42" i="67" s="1"/>
  <c r="H41" i="67"/>
  <c r="G41" i="67"/>
  <c r="J41" i="67" s="1"/>
  <c r="G40" i="67"/>
  <c r="H39" i="67"/>
  <c r="G39" i="67"/>
  <c r="G38" i="67"/>
  <c r="J37" i="67"/>
  <c r="G37" i="67"/>
  <c r="H37" i="67" s="1"/>
  <c r="G36" i="67"/>
  <c r="G35" i="67"/>
  <c r="H35" i="67" s="1"/>
  <c r="H34" i="67"/>
  <c r="G34" i="67"/>
  <c r="J34" i="67" s="1"/>
  <c r="G33" i="67"/>
  <c r="J32" i="67"/>
  <c r="H32" i="67"/>
  <c r="G32" i="67"/>
  <c r="H31" i="67"/>
  <c r="G31" i="67"/>
  <c r="J31" i="67" s="1"/>
  <c r="G30" i="67"/>
  <c r="J29" i="67"/>
  <c r="H29" i="67"/>
  <c r="G29" i="67"/>
  <c r="H28" i="67"/>
  <c r="G28" i="67"/>
  <c r="J28" i="67" s="1"/>
  <c r="G27" i="67"/>
  <c r="J26" i="67"/>
  <c r="H26" i="67"/>
  <c r="G26" i="67"/>
  <c r="H25" i="67"/>
  <c r="G25" i="67"/>
  <c r="J25" i="67" s="1"/>
  <c r="G24" i="67"/>
  <c r="J23" i="67"/>
  <c r="H23" i="67"/>
  <c r="G23" i="67"/>
  <c r="H22" i="67"/>
  <c r="G22" i="67"/>
  <c r="J22" i="67" s="1"/>
  <c r="G21" i="67"/>
  <c r="J20" i="67"/>
  <c r="H20" i="67"/>
  <c r="G20" i="67"/>
  <c r="H19" i="67"/>
  <c r="G19" i="67"/>
  <c r="J19" i="67" s="1"/>
  <c r="G18" i="67"/>
  <c r="J17" i="67"/>
  <c r="H17" i="67"/>
  <c r="G17" i="67"/>
  <c r="H16" i="67"/>
  <c r="G16" i="67"/>
  <c r="J16" i="67" s="1"/>
  <c r="G15" i="67"/>
  <c r="J14" i="67"/>
  <c r="H14" i="67"/>
  <c r="G14" i="67"/>
  <c r="H13" i="67"/>
  <c r="G13" i="67"/>
  <c r="J13" i="67" s="1"/>
  <c r="G12" i="67"/>
  <c r="J11" i="67"/>
  <c r="H11" i="67"/>
  <c r="G11" i="67"/>
  <c r="H10" i="67"/>
  <c r="G10" i="67"/>
  <c r="J10" i="67" s="1"/>
  <c r="G9" i="67"/>
  <c r="G63" i="66"/>
  <c r="G62" i="66"/>
  <c r="G61" i="66"/>
  <c r="G60" i="66"/>
  <c r="E55" i="66"/>
  <c r="D55" i="66"/>
  <c r="C55" i="66"/>
  <c r="E54" i="66"/>
  <c r="D54" i="66"/>
  <c r="C54" i="66"/>
  <c r="G48" i="66"/>
  <c r="H48" i="66" s="1"/>
  <c r="H47" i="66"/>
  <c r="G47" i="66"/>
  <c r="H46" i="66"/>
  <c r="G46" i="66"/>
  <c r="F39" i="66"/>
  <c r="F40" i="66" s="1"/>
  <c r="E39" i="66"/>
  <c r="D39" i="66"/>
  <c r="C39" i="66"/>
  <c r="G38" i="66"/>
  <c r="J37" i="66"/>
  <c r="G37" i="66"/>
  <c r="H37" i="66" s="1"/>
  <c r="H36" i="66"/>
  <c r="G36" i="66"/>
  <c r="J36" i="66" s="1"/>
  <c r="G35" i="66"/>
  <c r="H34" i="66"/>
  <c r="G34" i="66"/>
  <c r="G33" i="66"/>
  <c r="H32" i="66"/>
  <c r="G32" i="66"/>
  <c r="G31" i="66"/>
  <c r="H30" i="66"/>
  <c r="G30" i="66"/>
  <c r="G29" i="66"/>
  <c r="J28" i="66"/>
  <c r="G28" i="66"/>
  <c r="H28" i="66" s="1"/>
  <c r="J27" i="66"/>
  <c r="H27" i="66"/>
  <c r="G27" i="66"/>
  <c r="H26" i="66"/>
  <c r="G26" i="66"/>
  <c r="J25" i="66"/>
  <c r="H25" i="66"/>
  <c r="G25" i="66"/>
  <c r="J24" i="66"/>
  <c r="H24" i="66"/>
  <c r="G24" i="66"/>
  <c r="G23" i="66"/>
  <c r="J22" i="66"/>
  <c r="H22" i="66"/>
  <c r="G22" i="66"/>
  <c r="H21" i="66"/>
  <c r="G21" i="66"/>
  <c r="G20" i="66"/>
  <c r="J19" i="66"/>
  <c r="G19" i="66"/>
  <c r="H19" i="66" s="1"/>
  <c r="H18" i="66"/>
  <c r="G18" i="66"/>
  <c r="J17" i="66"/>
  <c r="H17" i="66"/>
  <c r="G17" i="66"/>
  <c r="H16" i="66"/>
  <c r="G16" i="66"/>
  <c r="H15" i="66"/>
  <c r="G15" i="66"/>
  <c r="J14" i="66"/>
  <c r="H14" i="66"/>
  <c r="G14" i="66"/>
  <c r="G13" i="66"/>
  <c r="J12" i="66"/>
  <c r="H12" i="66"/>
  <c r="G12" i="66"/>
  <c r="J11" i="66"/>
  <c r="H11" i="66"/>
  <c r="G11" i="66"/>
  <c r="G10" i="66"/>
  <c r="J9" i="66"/>
  <c r="H9" i="66"/>
  <c r="G9" i="66"/>
  <c r="G39" i="66" s="1"/>
  <c r="D40" i="66" s="1"/>
  <c r="G68" i="65"/>
  <c r="G67" i="65"/>
  <c r="G66" i="65"/>
  <c r="G65" i="65"/>
  <c r="E60" i="65"/>
  <c r="D60" i="65"/>
  <c r="C60" i="65"/>
  <c r="E59" i="65"/>
  <c r="D59" i="65"/>
  <c r="C59" i="65"/>
  <c r="H53" i="65"/>
  <c r="G53" i="65"/>
  <c r="H52" i="65"/>
  <c r="G52" i="65"/>
  <c r="H51" i="65"/>
  <c r="G51" i="65"/>
  <c r="F44" i="65"/>
  <c r="E44" i="65"/>
  <c r="D44" i="65"/>
  <c r="C44" i="65"/>
  <c r="G43" i="65"/>
  <c r="H43" i="65" s="1"/>
  <c r="H42" i="65"/>
  <c r="G42" i="65"/>
  <c r="J42" i="65" s="1"/>
  <c r="G41" i="65"/>
  <c r="H40" i="65"/>
  <c r="G40" i="65"/>
  <c r="H39" i="65"/>
  <c r="G39" i="65"/>
  <c r="J38" i="65"/>
  <c r="H38" i="65"/>
  <c r="G38" i="65"/>
  <c r="H37" i="65"/>
  <c r="G37" i="65"/>
  <c r="H36" i="65"/>
  <c r="G36" i="65"/>
  <c r="J35" i="65"/>
  <c r="H35" i="65"/>
  <c r="G35" i="65"/>
  <c r="H34" i="65"/>
  <c r="G34" i="65"/>
  <c r="J33" i="65"/>
  <c r="H33" i="65"/>
  <c r="G33" i="65"/>
  <c r="J32" i="65"/>
  <c r="H32" i="65"/>
  <c r="G32" i="65"/>
  <c r="H31" i="65"/>
  <c r="G31" i="65"/>
  <c r="J30" i="65"/>
  <c r="H30" i="65"/>
  <c r="G30" i="65"/>
  <c r="J29" i="65"/>
  <c r="H29" i="65"/>
  <c r="G29" i="65"/>
  <c r="H28" i="65"/>
  <c r="G28" i="65"/>
  <c r="J27" i="65"/>
  <c r="H27" i="65"/>
  <c r="G27" i="65"/>
  <c r="J26" i="65"/>
  <c r="H26" i="65"/>
  <c r="G26" i="65"/>
  <c r="H25" i="65"/>
  <c r="G25" i="65"/>
  <c r="J24" i="65"/>
  <c r="H24" i="65"/>
  <c r="G24" i="65"/>
  <c r="J23" i="65"/>
  <c r="H23" i="65"/>
  <c r="G23" i="65"/>
  <c r="H22" i="65"/>
  <c r="G22" i="65"/>
  <c r="J21" i="65"/>
  <c r="H21" i="65"/>
  <c r="G21" i="65"/>
  <c r="J20" i="65"/>
  <c r="H20" i="65"/>
  <c r="G20" i="65"/>
  <c r="H19" i="65"/>
  <c r="G19" i="65"/>
  <c r="G18" i="65"/>
  <c r="H18" i="65" s="1"/>
  <c r="H17" i="65"/>
  <c r="G17" i="65"/>
  <c r="J16" i="65"/>
  <c r="H16" i="65"/>
  <c r="G16" i="65"/>
  <c r="H15" i="65"/>
  <c r="G15" i="65"/>
  <c r="G14" i="65"/>
  <c r="J13" i="65"/>
  <c r="G13" i="65"/>
  <c r="H13" i="65" s="1"/>
  <c r="H12" i="65"/>
  <c r="G12" i="65"/>
  <c r="J12" i="65" s="1"/>
  <c r="G11" i="65"/>
  <c r="J10" i="65"/>
  <c r="G10" i="65"/>
  <c r="H10" i="65" s="1"/>
  <c r="H9" i="65"/>
  <c r="G9" i="65"/>
  <c r="G63" i="64"/>
  <c r="G62" i="64"/>
  <c r="G61" i="64"/>
  <c r="G60" i="64"/>
  <c r="E55" i="64"/>
  <c r="D55" i="64"/>
  <c r="C55" i="64"/>
  <c r="E54" i="64"/>
  <c r="D54" i="64"/>
  <c r="C54" i="64"/>
  <c r="H48" i="64"/>
  <c r="G48" i="64"/>
  <c r="G47" i="64"/>
  <c r="H47" i="64" s="1"/>
  <c r="G46" i="64"/>
  <c r="H46" i="64" s="1"/>
  <c r="F39" i="64"/>
  <c r="E39" i="64"/>
  <c r="D39" i="64"/>
  <c r="C39" i="64"/>
  <c r="H38" i="64"/>
  <c r="G38" i="64"/>
  <c r="J38" i="64" s="1"/>
  <c r="G37" i="64"/>
  <c r="J36" i="64"/>
  <c r="H36" i="64"/>
  <c r="G36" i="64"/>
  <c r="H35" i="64"/>
  <c r="G35" i="64"/>
  <c r="J35" i="64" s="1"/>
  <c r="G34" i="64"/>
  <c r="J33" i="64"/>
  <c r="H33" i="64"/>
  <c r="G33" i="64"/>
  <c r="H32" i="64"/>
  <c r="G32" i="64"/>
  <c r="J32" i="64" s="1"/>
  <c r="G31" i="64"/>
  <c r="J30" i="64"/>
  <c r="H30" i="64"/>
  <c r="G30" i="64"/>
  <c r="H29" i="64"/>
  <c r="G29" i="64"/>
  <c r="J29" i="64" s="1"/>
  <c r="G28" i="64"/>
  <c r="J27" i="64"/>
  <c r="H27" i="64"/>
  <c r="G27" i="64"/>
  <c r="H26" i="64"/>
  <c r="G26" i="64"/>
  <c r="J26" i="64" s="1"/>
  <c r="G25" i="64"/>
  <c r="J24" i="64"/>
  <c r="H24" i="64"/>
  <c r="G24" i="64"/>
  <c r="H23" i="64"/>
  <c r="G23" i="64"/>
  <c r="J23" i="64" s="1"/>
  <c r="G22" i="64"/>
  <c r="J21" i="64"/>
  <c r="H21" i="64"/>
  <c r="G21" i="64"/>
  <c r="H20" i="64"/>
  <c r="G20" i="64"/>
  <c r="J20" i="64" s="1"/>
  <c r="G19" i="64"/>
  <c r="J18" i="64"/>
  <c r="H18" i="64"/>
  <c r="G18" i="64"/>
  <c r="H17" i="64"/>
  <c r="G17" i="64"/>
  <c r="J17" i="64" s="1"/>
  <c r="G16" i="64"/>
  <c r="J15" i="64"/>
  <c r="H15" i="64"/>
  <c r="G15" i="64"/>
  <c r="H14" i="64"/>
  <c r="G14" i="64"/>
  <c r="J14" i="64" s="1"/>
  <c r="G13" i="64"/>
  <c r="J12" i="64"/>
  <c r="H12" i="64"/>
  <c r="G12" i="64"/>
  <c r="H11" i="64"/>
  <c r="G11" i="64"/>
  <c r="J11" i="64" s="1"/>
  <c r="G10" i="64"/>
  <c r="H10" i="64" s="1"/>
  <c r="H9" i="64"/>
  <c r="G9" i="64"/>
  <c r="G70" i="63"/>
  <c r="G69" i="63"/>
  <c r="G68" i="63"/>
  <c r="G67" i="63"/>
  <c r="E62" i="63"/>
  <c r="D62" i="63"/>
  <c r="C62" i="63"/>
  <c r="E61" i="63"/>
  <c r="D61" i="63"/>
  <c r="C61" i="63"/>
  <c r="H55" i="63"/>
  <c r="G55" i="63"/>
  <c r="G54" i="63"/>
  <c r="H54" i="63" s="1"/>
  <c r="G53" i="63"/>
  <c r="H53" i="63" s="1"/>
  <c r="F46" i="63"/>
  <c r="E46" i="63"/>
  <c r="D46" i="63"/>
  <c r="C46" i="63"/>
  <c r="H45" i="63"/>
  <c r="G45" i="63"/>
  <c r="J45" i="63" s="1"/>
  <c r="G44" i="63"/>
  <c r="J43" i="63"/>
  <c r="G43" i="63"/>
  <c r="H43" i="63" s="1"/>
  <c r="H42" i="63"/>
  <c r="G42" i="63"/>
  <c r="J42" i="63" s="1"/>
  <c r="H41" i="63"/>
  <c r="G41" i="63"/>
  <c r="J40" i="63"/>
  <c r="H40" i="63"/>
  <c r="G40" i="63"/>
  <c r="G39" i="63"/>
  <c r="J38" i="63"/>
  <c r="H38" i="63"/>
  <c r="G38" i="63"/>
  <c r="J37" i="63"/>
  <c r="H37" i="63"/>
  <c r="G37" i="63"/>
  <c r="H36" i="63"/>
  <c r="G36" i="63"/>
  <c r="J35" i="63"/>
  <c r="H35" i="63"/>
  <c r="G35" i="63"/>
  <c r="J34" i="63"/>
  <c r="H34" i="63"/>
  <c r="G34" i="63"/>
  <c r="G33" i="63"/>
  <c r="J32" i="63"/>
  <c r="H32" i="63"/>
  <c r="G32" i="63"/>
  <c r="H31" i="63"/>
  <c r="G31" i="63"/>
  <c r="G30" i="63"/>
  <c r="J29" i="63"/>
  <c r="G29" i="63"/>
  <c r="H29" i="63" s="1"/>
  <c r="H28" i="63"/>
  <c r="G28" i="63"/>
  <c r="J28" i="63" s="1"/>
  <c r="G27" i="63"/>
  <c r="J26" i="63"/>
  <c r="G26" i="63"/>
  <c r="H26" i="63" s="1"/>
  <c r="H25" i="63"/>
  <c r="G25" i="63"/>
  <c r="J25" i="63" s="1"/>
  <c r="G24" i="63"/>
  <c r="J23" i="63"/>
  <c r="G23" i="63"/>
  <c r="H23" i="63" s="1"/>
  <c r="H22" i="63"/>
  <c r="G22" i="63"/>
  <c r="J22" i="63" s="1"/>
  <c r="G21" i="63"/>
  <c r="J20" i="63"/>
  <c r="G20" i="63"/>
  <c r="H20" i="63" s="1"/>
  <c r="H19" i="63"/>
  <c r="G19" i="63"/>
  <c r="J19" i="63" s="1"/>
  <c r="G18" i="63"/>
  <c r="J17" i="63"/>
  <c r="G17" i="63"/>
  <c r="H17" i="63" s="1"/>
  <c r="H16" i="63"/>
  <c r="G16" i="63"/>
  <c r="J16" i="63" s="1"/>
  <c r="G15" i="63"/>
  <c r="J14" i="63"/>
  <c r="G14" i="63"/>
  <c r="H14" i="63" s="1"/>
  <c r="H13" i="63"/>
  <c r="G13" i="63"/>
  <c r="J13" i="63" s="1"/>
  <c r="H12" i="63"/>
  <c r="G12" i="63"/>
  <c r="H11" i="63"/>
  <c r="G11" i="63"/>
  <c r="H10" i="63"/>
  <c r="G10" i="63"/>
  <c r="J9" i="63"/>
  <c r="H9" i="63"/>
  <c r="G9" i="63"/>
  <c r="G73" i="62"/>
  <c r="G72" i="62"/>
  <c r="G71" i="62"/>
  <c r="G70" i="62"/>
  <c r="E65" i="62"/>
  <c r="D65" i="62"/>
  <c r="C65" i="62"/>
  <c r="E64" i="62"/>
  <c r="D64" i="62"/>
  <c r="C64" i="62"/>
  <c r="G58" i="62"/>
  <c r="H58" i="62" s="1"/>
  <c r="G57" i="62"/>
  <c r="H57" i="62" s="1"/>
  <c r="G56" i="62"/>
  <c r="H56" i="62" s="1"/>
  <c r="F49" i="62"/>
  <c r="E49" i="62"/>
  <c r="D49" i="62"/>
  <c r="C49" i="62"/>
  <c r="H48" i="62"/>
  <c r="G48" i="62"/>
  <c r="G47" i="62"/>
  <c r="H46" i="62"/>
  <c r="G46" i="62"/>
  <c r="G45" i="62"/>
  <c r="J44" i="62"/>
  <c r="H44" i="62"/>
  <c r="G44" i="62"/>
  <c r="H43" i="62"/>
  <c r="G43" i="62"/>
  <c r="J42" i="62"/>
  <c r="H42" i="62"/>
  <c r="G42" i="62"/>
  <c r="J41" i="62"/>
  <c r="H41" i="62"/>
  <c r="G41" i="62"/>
  <c r="G40" i="62"/>
  <c r="J39" i="62"/>
  <c r="G39" i="62"/>
  <c r="H39" i="62" s="1"/>
  <c r="H38" i="62"/>
  <c r="G38" i="62"/>
  <c r="J38" i="62" s="1"/>
  <c r="G37" i="62"/>
  <c r="J36" i="62"/>
  <c r="G36" i="62"/>
  <c r="H36" i="62" s="1"/>
  <c r="H35" i="62"/>
  <c r="G35" i="62"/>
  <c r="J35" i="62" s="1"/>
  <c r="G34" i="62"/>
  <c r="J33" i="62"/>
  <c r="G33" i="62"/>
  <c r="H33" i="62" s="1"/>
  <c r="H32" i="62"/>
  <c r="G32" i="62"/>
  <c r="J32" i="62" s="1"/>
  <c r="G31" i="62"/>
  <c r="J30" i="62"/>
  <c r="G30" i="62"/>
  <c r="H30" i="62" s="1"/>
  <c r="H29" i="62"/>
  <c r="G29" i="62"/>
  <c r="J29" i="62" s="1"/>
  <c r="G28" i="62"/>
  <c r="J27" i="62"/>
  <c r="G27" i="62"/>
  <c r="H27" i="62" s="1"/>
  <c r="H26" i="62"/>
  <c r="G26" i="62"/>
  <c r="J26" i="62" s="1"/>
  <c r="G25" i="62"/>
  <c r="J24" i="62"/>
  <c r="H24" i="62"/>
  <c r="G24" i="62"/>
  <c r="H23" i="62"/>
  <c r="G23" i="62"/>
  <c r="J23" i="62" s="1"/>
  <c r="G22" i="62"/>
  <c r="J21" i="62"/>
  <c r="H21" i="62"/>
  <c r="G21" i="62"/>
  <c r="H20" i="62"/>
  <c r="G20" i="62"/>
  <c r="J20" i="62" s="1"/>
  <c r="G19" i="62"/>
  <c r="G18" i="62"/>
  <c r="H18" i="62" s="1"/>
  <c r="H17" i="62"/>
  <c r="G17" i="62"/>
  <c r="G16" i="62"/>
  <c r="J16" i="62" s="1"/>
  <c r="J15" i="62"/>
  <c r="G15" i="62"/>
  <c r="H15" i="62" s="1"/>
  <c r="H14" i="62"/>
  <c r="G14" i="62"/>
  <c r="G13" i="62"/>
  <c r="J13" i="62" s="1"/>
  <c r="H12" i="62"/>
  <c r="G12" i="62"/>
  <c r="G11" i="62"/>
  <c r="G10" i="62"/>
  <c r="H10" i="62" s="1"/>
  <c r="G9" i="62"/>
  <c r="G65" i="61"/>
  <c r="G64" i="61"/>
  <c r="G63" i="61"/>
  <c r="G62" i="61"/>
  <c r="E57" i="61"/>
  <c r="D57" i="61"/>
  <c r="C57" i="61"/>
  <c r="E56" i="61"/>
  <c r="D56" i="61"/>
  <c r="C56" i="61"/>
  <c r="G50" i="61"/>
  <c r="H50" i="61" s="1"/>
  <c r="G49" i="61"/>
  <c r="H49" i="61" s="1"/>
  <c r="G48" i="61"/>
  <c r="H48" i="61" s="1"/>
  <c r="F41" i="61"/>
  <c r="E41" i="61"/>
  <c r="D41" i="61"/>
  <c r="C41" i="61"/>
  <c r="G40" i="61"/>
  <c r="H39" i="61"/>
  <c r="G39" i="61"/>
  <c r="H38" i="61"/>
  <c r="G38" i="61"/>
  <c r="J38" i="61" s="1"/>
  <c r="G37" i="61"/>
  <c r="J36" i="61"/>
  <c r="H36" i="61"/>
  <c r="G36" i="61"/>
  <c r="H35" i="61"/>
  <c r="G35" i="61"/>
  <c r="J35" i="61" s="1"/>
  <c r="G34" i="61"/>
  <c r="J33" i="61"/>
  <c r="H33" i="61"/>
  <c r="G33" i="61"/>
  <c r="H32" i="61"/>
  <c r="G32" i="61"/>
  <c r="J32" i="61" s="1"/>
  <c r="G31" i="61"/>
  <c r="J30" i="61"/>
  <c r="H30" i="61"/>
  <c r="G30" i="61"/>
  <c r="H29" i="61"/>
  <c r="G29" i="61"/>
  <c r="J29" i="61" s="1"/>
  <c r="G28" i="61"/>
  <c r="J27" i="61"/>
  <c r="H27" i="61"/>
  <c r="G27" i="61"/>
  <c r="H26" i="61"/>
  <c r="G26" i="61"/>
  <c r="J26" i="61" s="1"/>
  <c r="G25" i="61"/>
  <c r="J24" i="61"/>
  <c r="H24" i="61"/>
  <c r="G24" i="61"/>
  <c r="H23" i="61"/>
  <c r="G23" i="61"/>
  <c r="J23" i="61" s="1"/>
  <c r="G22" i="61"/>
  <c r="J21" i="61"/>
  <c r="H21" i="61"/>
  <c r="G21" i="61"/>
  <c r="H20" i="61"/>
  <c r="G20" i="61"/>
  <c r="J20" i="61" s="1"/>
  <c r="G19" i="61"/>
  <c r="J18" i="61"/>
  <c r="H18" i="61"/>
  <c r="G18" i="61"/>
  <c r="H17" i="61"/>
  <c r="G17" i="61"/>
  <c r="J17" i="61" s="1"/>
  <c r="G16" i="61"/>
  <c r="G15" i="61"/>
  <c r="H15" i="61" s="1"/>
  <c r="H14" i="61"/>
  <c r="G14" i="61"/>
  <c r="J13" i="61"/>
  <c r="G13" i="61"/>
  <c r="H13" i="61" s="1"/>
  <c r="J12" i="61"/>
  <c r="G12" i="61"/>
  <c r="H12" i="61" s="1"/>
  <c r="G11" i="61"/>
  <c r="J10" i="61"/>
  <c r="G10" i="61"/>
  <c r="H10" i="61" s="1"/>
  <c r="J9" i="61"/>
  <c r="G9" i="61"/>
  <c r="H9" i="61" s="1"/>
  <c r="G68" i="60"/>
  <c r="G67" i="60"/>
  <c r="G66" i="60"/>
  <c r="G65" i="60"/>
  <c r="E60" i="60"/>
  <c r="D60" i="60"/>
  <c r="C60" i="60"/>
  <c r="E59" i="60"/>
  <c r="D59" i="60"/>
  <c r="C59" i="60"/>
  <c r="G53" i="60"/>
  <c r="H53" i="60" s="1"/>
  <c r="G52" i="60"/>
  <c r="H52" i="60" s="1"/>
  <c r="G51" i="60"/>
  <c r="H51" i="60" s="1"/>
  <c r="F44" i="60"/>
  <c r="E44" i="60"/>
  <c r="D44" i="60"/>
  <c r="C44" i="60"/>
  <c r="H43" i="60"/>
  <c r="G43" i="60"/>
  <c r="G42" i="60"/>
  <c r="H42" i="60" s="1"/>
  <c r="H41" i="60"/>
  <c r="G41" i="60"/>
  <c r="G40" i="60"/>
  <c r="J39" i="60"/>
  <c r="H39" i="60"/>
  <c r="G39" i="60"/>
  <c r="H38" i="60"/>
  <c r="G38" i="60"/>
  <c r="J38" i="60" s="1"/>
  <c r="G37" i="60"/>
  <c r="H37" i="60" s="1"/>
  <c r="J36" i="60"/>
  <c r="G36" i="60"/>
  <c r="H36" i="60" s="1"/>
  <c r="H35" i="60"/>
  <c r="G35" i="60"/>
  <c r="G34" i="60"/>
  <c r="J34" i="60" s="1"/>
  <c r="J33" i="60"/>
  <c r="G33" i="60"/>
  <c r="H33" i="60" s="1"/>
  <c r="H32" i="60"/>
  <c r="G32" i="60"/>
  <c r="G31" i="60"/>
  <c r="J31" i="60" s="1"/>
  <c r="J30" i="60"/>
  <c r="G30" i="60"/>
  <c r="H30" i="60" s="1"/>
  <c r="H29" i="60"/>
  <c r="G29" i="60"/>
  <c r="G28" i="60"/>
  <c r="J28" i="60" s="1"/>
  <c r="J27" i="60"/>
  <c r="G27" i="60"/>
  <c r="H27" i="60" s="1"/>
  <c r="H26" i="60"/>
  <c r="G26" i="60"/>
  <c r="G25" i="60"/>
  <c r="J25" i="60" s="1"/>
  <c r="J24" i="60"/>
  <c r="G24" i="60"/>
  <c r="H24" i="60" s="1"/>
  <c r="H23" i="60"/>
  <c r="G23" i="60"/>
  <c r="H22" i="60"/>
  <c r="G22" i="60"/>
  <c r="J22" i="60" s="1"/>
  <c r="J21" i="60"/>
  <c r="G21" i="60"/>
  <c r="H21" i="60" s="1"/>
  <c r="H20" i="60"/>
  <c r="G20" i="60"/>
  <c r="J19" i="60"/>
  <c r="H19" i="60"/>
  <c r="G19" i="60"/>
  <c r="J18" i="60"/>
  <c r="G18" i="60"/>
  <c r="H18" i="60" s="1"/>
  <c r="G17" i="60"/>
  <c r="J16" i="60"/>
  <c r="H16" i="60"/>
  <c r="G16" i="60"/>
  <c r="H15" i="60"/>
  <c r="G15" i="60"/>
  <c r="G14" i="60"/>
  <c r="J13" i="60"/>
  <c r="H13" i="60"/>
  <c r="G13" i="60"/>
  <c r="H12" i="60"/>
  <c r="G12" i="60"/>
  <c r="J12" i="60" s="1"/>
  <c r="G11" i="60"/>
  <c r="J10" i="60"/>
  <c r="H10" i="60"/>
  <c r="G10" i="60"/>
  <c r="H9" i="60"/>
  <c r="G9" i="60"/>
  <c r="J9" i="60" s="1"/>
  <c r="G61" i="59"/>
  <c r="G60" i="59"/>
  <c r="G59" i="59"/>
  <c r="G58" i="59"/>
  <c r="E53" i="59"/>
  <c r="D53" i="59"/>
  <c r="C53" i="59"/>
  <c r="E52" i="59"/>
  <c r="D52" i="59"/>
  <c r="C52" i="59"/>
  <c r="H46" i="59"/>
  <c r="G46" i="59"/>
  <c r="H45" i="59"/>
  <c r="G45" i="59"/>
  <c r="G44" i="59"/>
  <c r="H44" i="59" s="1"/>
  <c r="F37" i="59"/>
  <c r="E37" i="59"/>
  <c r="D37" i="59"/>
  <c r="C37" i="59"/>
  <c r="G36" i="59"/>
  <c r="H35" i="59"/>
  <c r="G35" i="59"/>
  <c r="H34" i="59"/>
  <c r="G34" i="59"/>
  <c r="J34" i="59" s="1"/>
  <c r="G33" i="59"/>
  <c r="J32" i="59"/>
  <c r="H32" i="59"/>
  <c r="G32" i="59"/>
  <c r="G31" i="59"/>
  <c r="J30" i="59"/>
  <c r="H30" i="59"/>
  <c r="G30" i="59"/>
  <c r="J29" i="59"/>
  <c r="G29" i="59"/>
  <c r="H29" i="59" s="1"/>
  <c r="G28" i="59"/>
  <c r="J27" i="59"/>
  <c r="H27" i="59"/>
  <c r="G27" i="59"/>
  <c r="J26" i="59"/>
  <c r="H26" i="59"/>
  <c r="G26" i="59"/>
  <c r="H25" i="59"/>
  <c r="G25" i="59"/>
  <c r="J24" i="59"/>
  <c r="H24" i="59"/>
  <c r="G24" i="59"/>
  <c r="J23" i="59"/>
  <c r="H23" i="59"/>
  <c r="G23" i="59"/>
  <c r="H22" i="59"/>
  <c r="G22" i="59"/>
  <c r="J21" i="59"/>
  <c r="H21" i="59"/>
  <c r="G21" i="59"/>
  <c r="J20" i="59"/>
  <c r="H20" i="59"/>
  <c r="G20" i="59"/>
  <c r="H19" i="59"/>
  <c r="G19" i="59"/>
  <c r="J18" i="59"/>
  <c r="H18" i="59"/>
  <c r="G18" i="59"/>
  <c r="J17" i="59"/>
  <c r="H17" i="59"/>
  <c r="G17" i="59"/>
  <c r="G16" i="59"/>
  <c r="J15" i="59"/>
  <c r="H15" i="59"/>
  <c r="G15" i="59"/>
  <c r="J14" i="59"/>
  <c r="H14" i="59"/>
  <c r="G14" i="59"/>
  <c r="H13" i="59"/>
  <c r="G13" i="59"/>
  <c r="J12" i="59"/>
  <c r="H12" i="59"/>
  <c r="G12" i="59"/>
  <c r="J11" i="59"/>
  <c r="H11" i="59"/>
  <c r="G11" i="59"/>
  <c r="G10" i="59"/>
  <c r="J9" i="59"/>
  <c r="H9" i="59"/>
  <c r="G9" i="59"/>
  <c r="G63" i="58"/>
  <c r="G62" i="58"/>
  <c r="G61" i="58"/>
  <c r="G60" i="58"/>
  <c r="E55" i="58"/>
  <c r="D55" i="58"/>
  <c r="C55" i="58"/>
  <c r="E54" i="58"/>
  <c r="D54" i="58"/>
  <c r="C54" i="58"/>
  <c r="H48" i="58"/>
  <c r="G48" i="58"/>
  <c r="G47" i="58"/>
  <c r="H47" i="58" s="1"/>
  <c r="H46" i="58"/>
  <c r="G46" i="58"/>
  <c r="F39" i="58"/>
  <c r="E39" i="58"/>
  <c r="D39" i="58"/>
  <c r="C39" i="58"/>
  <c r="G38" i="58"/>
  <c r="H37" i="58"/>
  <c r="G37" i="58"/>
  <c r="J37" i="58" s="1"/>
  <c r="G36" i="58"/>
  <c r="J35" i="58"/>
  <c r="G35" i="58"/>
  <c r="G34" i="58"/>
  <c r="G33" i="58"/>
  <c r="H32" i="58"/>
  <c r="G32" i="58"/>
  <c r="G31" i="58"/>
  <c r="J31" i="58" s="1"/>
  <c r="J30" i="58"/>
  <c r="G30" i="58"/>
  <c r="H30" i="58" s="1"/>
  <c r="H29" i="58"/>
  <c r="G29" i="58"/>
  <c r="J28" i="58"/>
  <c r="G28" i="58"/>
  <c r="J27" i="58"/>
  <c r="H27" i="58"/>
  <c r="G27" i="58"/>
  <c r="H26" i="58"/>
  <c r="G26" i="58"/>
  <c r="G25" i="58"/>
  <c r="H25" i="58" s="1"/>
  <c r="G24" i="58"/>
  <c r="G23" i="58"/>
  <c r="H23" i="58" s="1"/>
  <c r="H22" i="58"/>
  <c r="G22" i="58"/>
  <c r="J21" i="58"/>
  <c r="H21" i="58"/>
  <c r="G21" i="58"/>
  <c r="J20" i="58"/>
  <c r="H20" i="58"/>
  <c r="G20" i="58"/>
  <c r="G19" i="58"/>
  <c r="H18" i="58"/>
  <c r="G18" i="58"/>
  <c r="G17" i="58"/>
  <c r="G16" i="58"/>
  <c r="H16" i="58" s="1"/>
  <c r="H15" i="58"/>
  <c r="G15" i="58"/>
  <c r="J15" i="58" s="1"/>
  <c r="G14" i="58"/>
  <c r="H13" i="58"/>
  <c r="G13" i="58"/>
  <c r="G12" i="58"/>
  <c r="J11" i="58"/>
  <c r="G11" i="58"/>
  <c r="H11" i="58" s="1"/>
  <c r="H10" i="58"/>
  <c r="G10" i="58"/>
  <c r="J10" i="58" s="1"/>
  <c r="H9" i="58"/>
  <c r="G9" i="58"/>
  <c r="G51" i="57"/>
  <c r="G50" i="57"/>
  <c r="G49" i="57"/>
  <c r="G48" i="57"/>
  <c r="E43" i="57"/>
  <c r="D43" i="57"/>
  <c r="C43" i="57"/>
  <c r="E42" i="57"/>
  <c r="D42" i="57"/>
  <c r="C42" i="57"/>
  <c r="G36" i="57"/>
  <c r="H36" i="57" s="1"/>
  <c r="H35" i="57"/>
  <c r="G35" i="57"/>
  <c r="H34" i="57"/>
  <c r="G34" i="57"/>
  <c r="F27" i="57"/>
  <c r="E27" i="57"/>
  <c r="D27" i="57"/>
  <c r="C27" i="57"/>
  <c r="G26" i="57"/>
  <c r="J26" i="57" s="1"/>
  <c r="J25" i="57"/>
  <c r="G25" i="57"/>
  <c r="H25" i="57" s="1"/>
  <c r="G24" i="57"/>
  <c r="J23" i="57"/>
  <c r="G23" i="57"/>
  <c r="H22" i="57"/>
  <c r="G22" i="57"/>
  <c r="G21" i="57"/>
  <c r="J21" i="57" s="1"/>
  <c r="H20" i="57"/>
  <c r="G20" i="57"/>
  <c r="G19" i="57"/>
  <c r="G18" i="57"/>
  <c r="H18" i="57" s="1"/>
  <c r="G17" i="57"/>
  <c r="J16" i="57"/>
  <c r="G16" i="57"/>
  <c r="I16" i="57" s="1"/>
  <c r="J15" i="57"/>
  <c r="H15" i="57"/>
  <c r="G15" i="57"/>
  <c r="G14" i="57"/>
  <c r="J13" i="57"/>
  <c r="G13" i="57"/>
  <c r="J12" i="57"/>
  <c r="H12" i="57"/>
  <c r="G12" i="57"/>
  <c r="G11" i="57"/>
  <c r="J10" i="57"/>
  <c r="G10" i="57"/>
  <c r="J9" i="57"/>
  <c r="H9" i="57"/>
  <c r="G9" i="57"/>
  <c r="G27" i="57" s="1"/>
  <c r="G69" i="56"/>
  <c r="G68" i="56"/>
  <c r="G67" i="56"/>
  <c r="G66" i="56"/>
  <c r="E61" i="56"/>
  <c r="D61" i="56"/>
  <c r="C61" i="56"/>
  <c r="E60" i="56"/>
  <c r="D60" i="56"/>
  <c r="C60" i="56"/>
  <c r="H54" i="56"/>
  <c r="G54" i="56"/>
  <c r="G53" i="56"/>
  <c r="H53" i="56" s="1"/>
  <c r="G52" i="56"/>
  <c r="H52" i="56" s="1"/>
  <c r="F45" i="56"/>
  <c r="E45" i="56"/>
  <c r="D45" i="56"/>
  <c r="C45" i="56"/>
  <c r="H44" i="56"/>
  <c r="G44" i="56"/>
  <c r="J44" i="56" s="1"/>
  <c r="G43" i="56"/>
  <c r="J42" i="56"/>
  <c r="G42" i="56"/>
  <c r="G41" i="56"/>
  <c r="J40" i="56"/>
  <c r="H40" i="56"/>
  <c r="G40" i="56"/>
  <c r="J39" i="56"/>
  <c r="H39" i="56"/>
  <c r="G39" i="56"/>
  <c r="H38" i="56"/>
  <c r="G38" i="56"/>
  <c r="J37" i="56"/>
  <c r="H37" i="56"/>
  <c r="G37" i="56"/>
  <c r="J36" i="56"/>
  <c r="H36" i="56"/>
  <c r="G36" i="56"/>
  <c r="G35" i="56"/>
  <c r="J34" i="56"/>
  <c r="H34" i="56"/>
  <c r="G34" i="56"/>
  <c r="J33" i="56"/>
  <c r="H33" i="56"/>
  <c r="G33" i="56"/>
  <c r="H32" i="56"/>
  <c r="G32" i="56"/>
  <c r="J31" i="56"/>
  <c r="H31" i="56"/>
  <c r="G31" i="56"/>
  <c r="J30" i="56"/>
  <c r="H30" i="56"/>
  <c r="G30" i="56"/>
  <c r="G29" i="56"/>
  <c r="J28" i="56"/>
  <c r="H28" i="56"/>
  <c r="G28" i="56"/>
  <c r="J27" i="56"/>
  <c r="H27" i="56"/>
  <c r="G27" i="56"/>
  <c r="H26" i="56"/>
  <c r="G26" i="56"/>
  <c r="J25" i="56"/>
  <c r="H25" i="56"/>
  <c r="G25" i="56"/>
  <c r="J24" i="56"/>
  <c r="H24" i="56"/>
  <c r="G24" i="56"/>
  <c r="G23" i="56"/>
  <c r="J22" i="56"/>
  <c r="H22" i="56"/>
  <c r="G22" i="56"/>
  <c r="J21" i="56"/>
  <c r="H21" i="56"/>
  <c r="G21" i="56"/>
  <c r="H20" i="56"/>
  <c r="G20" i="56"/>
  <c r="J19" i="56"/>
  <c r="H19" i="56"/>
  <c r="G19" i="56"/>
  <c r="J18" i="56"/>
  <c r="H18" i="56"/>
  <c r="G18" i="56"/>
  <c r="G17" i="56"/>
  <c r="J16" i="56"/>
  <c r="H16" i="56"/>
  <c r="G16" i="56"/>
  <c r="J15" i="56"/>
  <c r="H15" i="56"/>
  <c r="G15" i="56"/>
  <c r="H14" i="56"/>
  <c r="G14" i="56"/>
  <c r="J13" i="56"/>
  <c r="H13" i="56"/>
  <c r="G13" i="56"/>
  <c r="H12" i="56"/>
  <c r="G12" i="56"/>
  <c r="G11" i="56"/>
  <c r="H10" i="56"/>
  <c r="G10" i="56"/>
  <c r="G9" i="56"/>
  <c r="G68" i="55"/>
  <c r="G67" i="55"/>
  <c r="G66" i="55"/>
  <c r="G65" i="55"/>
  <c r="E60" i="55"/>
  <c r="D60" i="55"/>
  <c r="C60" i="55"/>
  <c r="E59" i="55"/>
  <c r="D59" i="55"/>
  <c r="C59" i="55"/>
  <c r="G53" i="55"/>
  <c r="H53" i="55" s="1"/>
  <c r="H52" i="55"/>
  <c r="G52" i="55"/>
  <c r="G51" i="55"/>
  <c r="H51" i="55" s="1"/>
  <c r="F44" i="55"/>
  <c r="E44" i="55"/>
  <c r="D44" i="55"/>
  <c r="C44" i="55"/>
  <c r="G43" i="55"/>
  <c r="J42" i="55"/>
  <c r="G42" i="55"/>
  <c r="H42" i="55" s="1"/>
  <c r="H41" i="55"/>
  <c r="G41" i="55"/>
  <c r="J41" i="55" s="1"/>
  <c r="G40" i="55"/>
  <c r="J39" i="55"/>
  <c r="G39" i="55"/>
  <c r="H39" i="55" s="1"/>
  <c r="H38" i="55"/>
  <c r="G38" i="55"/>
  <c r="J38" i="55" s="1"/>
  <c r="G37" i="55"/>
  <c r="J36" i="55"/>
  <c r="G36" i="55"/>
  <c r="H36" i="55" s="1"/>
  <c r="H35" i="55"/>
  <c r="G35" i="55"/>
  <c r="J35" i="55" s="1"/>
  <c r="G34" i="55"/>
  <c r="J33" i="55"/>
  <c r="G33" i="55"/>
  <c r="H33" i="55" s="1"/>
  <c r="H32" i="55"/>
  <c r="G32" i="55"/>
  <c r="J32" i="55" s="1"/>
  <c r="G31" i="55"/>
  <c r="J30" i="55"/>
  <c r="H30" i="55"/>
  <c r="G30" i="55"/>
  <c r="H29" i="55"/>
  <c r="G29" i="55"/>
  <c r="J29" i="55" s="1"/>
  <c r="G28" i="55"/>
  <c r="J27" i="55"/>
  <c r="H27" i="55"/>
  <c r="G27" i="55"/>
  <c r="H26" i="55"/>
  <c r="G26" i="55"/>
  <c r="J26" i="55" s="1"/>
  <c r="G25" i="55"/>
  <c r="J24" i="55"/>
  <c r="H24" i="55"/>
  <c r="G24" i="55"/>
  <c r="H23" i="55"/>
  <c r="G23" i="55"/>
  <c r="J23" i="55" s="1"/>
  <c r="G22" i="55"/>
  <c r="J21" i="55"/>
  <c r="H21" i="55"/>
  <c r="G21" i="55"/>
  <c r="H20" i="55"/>
  <c r="G20" i="55"/>
  <c r="J20" i="55" s="1"/>
  <c r="G19" i="55"/>
  <c r="J18" i="55"/>
  <c r="H18" i="55"/>
  <c r="G18" i="55"/>
  <c r="H17" i="55"/>
  <c r="G17" i="55"/>
  <c r="J17" i="55" s="1"/>
  <c r="G16" i="55"/>
  <c r="J15" i="55"/>
  <c r="H15" i="55"/>
  <c r="G15" i="55"/>
  <c r="H14" i="55"/>
  <c r="G14" i="55"/>
  <c r="J14" i="55" s="1"/>
  <c r="G13" i="55"/>
  <c r="G12" i="55"/>
  <c r="H12" i="55" s="1"/>
  <c r="G11" i="55"/>
  <c r="J10" i="55"/>
  <c r="H10" i="55"/>
  <c r="G10" i="55"/>
  <c r="J9" i="55"/>
  <c r="H9" i="55"/>
  <c r="G9" i="55"/>
  <c r="G64" i="54"/>
  <c r="G63" i="54"/>
  <c r="G62" i="54"/>
  <c r="G61" i="54"/>
  <c r="E56" i="54"/>
  <c r="D56" i="54"/>
  <c r="C56" i="54"/>
  <c r="E55" i="54"/>
  <c r="D55" i="54"/>
  <c r="C55" i="54"/>
  <c r="H49" i="54"/>
  <c r="G49" i="54"/>
  <c r="G48" i="54"/>
  <c r="H48" i="54" s="1"/>
  <c r="G47" i="54"/>
  <c r="H47" i="54" s="1"/>
  <c r="F40" i="54"/>
  <c r="E40" i="54"/>
  <c r="D40" i="54"/>
  <c r="C40" i="54"/>
  <c r="G39" i="54"/>
  <c r="H38" i="54"/>
  <c r="G38" i="54"/>
  <c r="J38" i="54" s="1"/>
  <c r="J37" i="54"/>
  <c r="G37" i="54"/>
  <c r="H37" i="54" s="1"/>
  <c r="G36" i="54"/>
  <c r="J35" i="54"/>
  <c r="H35" i="54"/>
  <c r="G35" i="54"/>
  <c r="H34" i="54"/>
  <c r="G34" i="54"/>
  <c r="H33" i="54"/>
  <c r="G33" i="54"/>
  <c r="J32" i="54"/>
  <c r="H32" i="54"/>
  <c r="G32" i="54"/>
  <c r="G31" i="54"/>
  <c r="J30" i="54"/>
  <c r="G30" i="54"/>
  <c r="H29" i="54"/>
  <c r="G29" i="54"/>
  <c r="J29" i="54" s="1"/>
  <c r="G28" i="54"/>
  <c r="J27" i="54"/>
  <c r="H27" i="54"/>
  <c r="G27" i="54"/>
  <c r="H26" i="54"/>
  <c r="G26" i="54"/>
  <c r="J26" i="54" s="1"/>
  <c r="G25" i="54"/>
  <c r="H25" i="54" s="1"/>
  <c r="H24" i="54"/>
  <c r="G24" i="54"/>
  <c r="G23" i="54"/>
  <c r="H23" i="54" s="1"/>
  <c r="J22" i="54"/>
  <c r="G22" i="54"/>
  <c r="H22" i="54" s="1"/>
  <c r="G21" i="54"/>
  <c r="G20" i="54"/>
  <c r="H19" i="54"/>
  <c r="G19" i="54"/>
  <c r="J19" i="54" s="1"/>
  <c r="G18" i="54"/>
  <c r="J17" i="54"/>
  <c r="H17" i="54"/>
  <c r="G17" i="54"/>
  <c r="H16" i="54"/>
  <c r="G16" i="54"/>
  <c r="J16" i="54" s="1"/>
  <c r="G15" i="54"/>
  <c r="J14" i="54"/>
  <c r="H14" i="54"/>
  <c r="G14" i="54"/>
  <c r="G13" i="54"/>
  <c r="J12" i="54"/>
  <c r="H12" i="54"/>
  <c r="G12" i="54"/>
  <c r="J11" i="54"/>
  <c r="G11" i="54"/>
  <c r="H11" i="54" s="1"/>
  <c r="G10" i="54"/>
  <c r="H9" i="54"/>
  <c r="G9" i="54"/>
  <c r="G64" i="53"/>
  <c r="G63" i="53"/>
  <c r="G62" i="53"/>
  <c r="G61" i="53"/>
  <c r="E56" i="53"/>
  <c r="D56" i="53"/>
  <c r="C56" i="53"/>
  <c r="E55" i="53"/>
  <c r="D55" i="53"/>
  <c r="C55" i="53"/>
  <c r="G49" i="53"/>
  <c r="H49" i="53" s="1"/>
  <c r="G48" i="53"/>
  <c r="H48" i="53" s="1"/>
  <c r="H47" i="53"/>
  <c r="G47" i="53"/>
  <c r="F40" i="53"/>
  <c r="E40" i="53"/>
  <c r="D40" i="53"/>
  <c r="C40" i="53"/>
  <c r="G39" i="53"/>
  <c r="H39" i="53" s="1"/>
  <c r="G38" i="53"/>
  <c r="J37" i="53"/>
  <c r="G37" i="53"/>
  <c r="J36" i="53"/>
  <c r="H36" i="53"/>
  <c r="G36" i="53"/>
  <c r="G35" i="53"/>
  <c r="J34" i="53"/>
  <c r="G34" i="53"/>
  <c r="H34" i="53" s="1"/>
  <c r="H33" i="53"/>
  <c r="G33" i="53"/>
  <c r="G32" i="53"/>
  <c r="J32" i="53" s="1"/>
  <c r="J31" i="53"/>
  <c r="G31" i="53"/>
  <c r="H31" i="53" s="1"/>
  <c r="H30" i="53"/>
  <c r="G30" i="53"/>
  <c r="G29" i="53"/>
  <c r="H28" i="53"/>
  <c r="G28" i="53"/>
  <c r="J28" i="53" s="1"/>
  <c r="G27" i="53"/>
  <c r="H26" i="53"/>
  <c r="G26" i="53"/>
  <c r="G25" i="53"/>
  <c r="J24" i="53"/>
  <c r="G24" i="53"/>
  <c r="G23" i="53"/>
  <c r="H22" i="53"/>
  <c r="G22" i="53"/>
  <c r="G21" i="53"/>
  <c r="J21" i="53" s="1"/>
  <c r="J20" i="53"/>
  <c r="G20" i="53"/>
  <c r="H20" i="53" s="1"/>
  <c r="G19" i="53"/>
  <c r="G18" i="53"/>
  <c r="H18" i="53" s="1"/>
  <c r="H17" i="53"/>
  <c r="G17" i="53"/>
  <c r="H16" i="53"/>
  <c r="G16" i="53"/>
  <c r="J15" i="53"/>
  <c r="H15" i="53"/>
  <c r="G15" i="53"/>
  <c r="G14" i="53"/>
  <c r="G13" i="53"/>
  <c r="H13" i="53" s="1"/>
  <c r="G12" i="53"/>
  <c r="G11" i="53"/>
  <c r="J11" i="53" s="1"/>
  <c r="J10" i="53"/>
  <c r="G10" i="53"/>
  <c r="H10" i="53" s="1"/>
  <c r="G9" i="53"/>
  <c r="G63" i="52"/>
  <c r="G62" i="52"/>
  <c r="G61" i="52"/>
  <c r="G60" i="52"/>
  <c r="E55" i="52"/>
  <c r="D55" i="52"/>
  <c r="C55" i="52"/>
  <c r="E54" i="52"/>
  <c r="D54" i="52"/>
  <c r="C54" i="52"/>
  <c r="G48" i="52"/>
  <c r="H48" i="52" s="1"/>
  <c r="H47" i="52"/>
  <c r="G47" i="52"/>
  <c r="H46" i="52"/>
  <c r="G46" i="52"/>
  <c r="F39" i="52"/>
  <c r="E39" i="52"/>
  <c r="D39" i="52"/>
  <c r="C39" i="52"/>
  <c r="G38" i="52"/>
  <c r="H37" i="52"/>
  <c r="G37" i="52"/>
  <c r="G36" i="52"/>
  <c r="J35" i="52"/>
  <c r="G35" i="52"/>
  <c r="H35" i="52" s="1"/>
  <c r="G34" i="52"/>
  <c r="G33" i="52"/>
  <c r="J33" i="52" s="1"/>
  <c r="J32" i="52"/>
  <c r="G32" i="52"/>
  <c r="H32" i="52" s="1"/>
  <c r="G31" i="52"/>
  <c r="G30" i="52"/>
  <c r="J30" i="52" s="1"/>
  <c r="J29" i="52"/>
  <c r="G29" i="52"/>
  <c r="H29" i="52" s="1"/>
  <c r="G28" i="52"/>
  <c r="G27" i="52"/>
  <c r="J27" i="52" s="1"/>
  <c r="J26" i="52"/>
  <c r="G26" i="52"/>
  <c r="H26" i="52" s="1"/>
  <c r="G25" i="52"/>
  <c r="G24" i="52"/>
  <c r="J24" i="52" s="1"/>
  <c r="J23" i="52"/>
  <c r="G23" i="52"/>
  <c r="H23" i="52" s="1"/>
  <c r="G22" i="52"/>
  <c r="G21" i="52"/>
  <c r="J21" i="52" s="1"/>
  <c r="J20" i="52"/>
  <c r="G20" i="52"/>
  <c r="H20" i="52" s="1"/>
  <c r="G19" i="52"/>
  <c r="G18" i="52"/>
  <c r="J18" i="52" s="1"/>
  <c r="J17" i="52"/>
  <c r="G17" i="52"/>
  <c r="H17" i="52" s="1"/>
  <c r="G16" i="52"/>
  <c r="G15" i="52"/>
  <c r="J15" i="52" s="1"/>
  <c r="J14" i="52"/>
  <c r="G14" i="52"/>
  <c r="H14" i="52" s="1"/>
  <c r="G13" i="52"/>
  <c r="G12" i="52"/>
  <c r="J12" i="52" s="1"/>
  <c r="J11" i="52"/>
  <c r="G11" i="52"/>
  <c r="H11" i="52" s="1"/>
  <c r="G10" i="52"/>
  <c r="G9" i="52"/>
  <c r="J9" i="52" s="1"/>
  <c r="G62" i="51"/>
  <c r="G61" i="51"/>
  <c r="G60" i="51"/>
  <c r="G59" i="51"/>
  <c r="E54" i="51"/>
  <c r="D54" i="51"/>
  <c r="C54" i="51"/>
  <c r="E53" i="51"/>
  <c r="D53" i="51"/>
  <c r="C53" i="51"/>
  <c r="G47" i="51"/>
  <c r="H47" i="51" s="1"/>
  <c r="G46" i="51"/>
  <c r="H46" i="51" s="1"/>
  <c r="G45" i="51"/>
  <c r="H45" i="51" s="1"/>
  <c r="F38" i="51"/>
  <c r="E38" i="51"/>
  <c r="D38" i="51"/>
  <c r="C38" i="51"/>
  <c r="G37" i="51"/>
  <c r="G36" i="51"/>
  <c r="G35" i="51"/>
  <c r="J35" i="51" s="1"/>
  <c r="J34" i="51"/>
  <c r="G34" i="51"/>
  <c r="H34" i="51" s="1"/>
  <c r="G33" i="51"/>
  <c r="H32" i="51"/>
  <c r="G32" i="51"/>
  <c r="H31" i="51"/>
  <c r="G31" i="51"/>
  <c r="G30" i="51"/>
  <c r="J30" i="51" s="1"/>
  <c r="J29" i="51"/>
  <c r="H29" i="51"/>
  <c r="G29" i="51"/>
  <c r="G28" i="51"/>
  <c r="G27" i="51"/>
  <c r="H26" i="51"/>
  <c r="G26" i="51"/>
  <c r="J26" i="51" s="1"/>
  <c r="G25" i="51"/>
  <c r="H24" i="51"/>
  <c r="G24" i="51"/>
  <c r="G23" i="51"/>
  <c r="J22" i="51"/>
  <c r="H22" i="51"/>
  <c r="G22" i="51"/>
  <c r="G21" i="51"/>
  <c r="G20" i="51"/>
  <c r="G19" i="51"/>
  <c r="G18" i="51"/>
  <c r="J17" i="51"/>
  <c r="H17" i="51"/>
  <c r="G17" i="51"/>
  <c r="G16" i="51"/>
  <c r="J15" i="51"/>
  <c r="H15" i="51"/>
  <c r="G15" i="51"/>
  <c r="G14" i="51"/>
  <c r="G13" i="51"/>
  <c r="G12" i="51"/>
  <c r="G11" i="51"/>
  <c r="J11" i="51" s="1"/>
  <c r="J10" i="51"/>
  <c r="H10" i="51"/>
  <c r="G10" i="51"/>
  <c r="G9" i="51"/>
  <c r="G68" i="50"/>
  <c r="G67" i="50"/>
  <c r="G66" i="50"/>
  <c r="G65" i="50"/>
  <c r="E60" i="50"/>
  <c r="D60" i="50"/>
  <c r="C60" i="50"/>
  <c r="E59" i="50"/>
  <c r="D59" i="50"/>
  <c r="C59" i="50"/>
  <c r="G53" i="50"/>
  <c r="H53" i="50" s="1"/>
  <c r="H52" i="50"/>
  <c r="G52" i="50"/>
  <c r="H51" i="50"/>
  <c r="G51" i="50"/>
  <c r="F44" i="50"/>
  <c r="E44" i="50"/>
  <c r="D44" i="50"/>
  <c r="C44" i="50"/>
  <c r="G43" i="50"/>
  <c r="J42" i="50"/>
  <c r="G42" i="50"/>
  <c r="H42" i="50" s="1"/>
  <c r="H41" i="50"/>
  <c r="G41" i="50"/>
  <c r="J41" i="50" s="1"/>
  <c r="G40" i="50"/>
  <c r="H39" i="50"/>
  <c r="G39" i="50"/>
  <c r="G38" i="50"/>
  <c r="G37" i="50"/>
  <c r="J37" i="50" s="1"/>
  <c r="J36" i="50"/>
  <c r="H36" i="50"/>
  <c r="G36" i="50"/>
  <c r="G35" i="50"/>
  <c r="J34" i="50"/>
  <c r="G34" i="50"/>
  <c r="J33" i="50"/>
  <c r="H33" i="50"/>
  <c r="G33" i="50"/>
  <c r="G32" i="50"/>
  <c r="J31" i="50"/>
  <c r="G31" i="50"/>
  <c r="J30" i="50"/>
  <c r="H30" i="50"/>
  <c r="G30" i="50"/>
  <c r="H29" i="50"/>
  <c r="G29" i="50"/>
  <c r="J28" i="50"/>
  <c r="G28" i="50"/>
  <c r="J27" i="50"/>
  <c r="H27" i="50"/>
  <c r="G27" i="50"/>
  <c r="G26" i="50"/>
  <c r="J25" i="50"/>
  <c r="H25" i="50"/>
  <c r="G25" i="50"/>
  <c r="J24" i="50"/>
  <c r="H24" i="50"/>
  <c r="G24" i="50"/>
  <c r="G23" i="50"/>
  <c r="J22" i="50"/>
  <c r="H22" i="50"/>
  <c r="G22" i="50"/>
  <c r="J21" i="50"/>
  <c r="H21" i="50"/>
  <c r="G21" i="50"/>
  <c r="G20" i="50"/>
  <c r="J19" i="50"/>
  <c r="H19" i="50"/>
  <c r="G19" i="50"/>
  <c r="H18" i="50"/>
  <c r="G18" i="50"/>
  <c r="G17" i="50"/>
  <c r="J16" i="50"/>
  <c r="G16" i="50"/>
  <c r="H16" i="50" s="1"/>
  <c r="H15" i="50"/>
  <c r="G15" i="50"/>
  <c r="J15" i="50" s="1"/>
  <c r="G14" i="50"/>
  <c r="J13" i="50"/>
  <c r="G13" i="50"/>
  <c r="H13" i="50" s="1"/>
  <c r="H12" i="50"/>
  <c r="G12" i="50"/>
  <c r="J12" i="50" s="1"/>
  <c r="H11" i="50"/>
  <c r="G11" i="50"/>
  <c r="H10" i="50"/>
  <c r="G10" i="50"/>
  <c r="H9" i="50"/>
  <c r="G9" i="50"/>
  <c r="G64" i="49"/>
  <c r="G63" i="49"/>
  <c r="G62" i="49"/>
  <c r="G61" i="49"/>
  <c r="E56" i="49"/>
  <c r="D56" i="49"/>
  <c r="C56" i="49"/>
  <c r="E55" i="49"/>
  <c r="D55" i="49"/>
  <c r="C55" i="49"/>
  <c r="G49" i="49"/>
  <c r="H49" i="49" s="1"/>
  <c r="G48" i="49"/>
  <c r="H48" i="49" s="1"/>
  <c r="H47" i="49"/>
  <c r="G47" i="49"/>
  <c r="F40" i="49"/>
  <c r="E40" i="49"/>
  <c r="D40" i="49"/>
  <c r="C40" i="49"/>
  <c r="G39" i="49"/>
  <c r="H38" i="49"/>
  <c r="G38" i="49"/>
  <c r="H37" i="49"/>
  <c r="G37" i="49"/>
  <c r="J37" i="49" s="1"/>
  <c r="J36" i="49"/>
  <c r="G36" i="49"/>
  <c r="H36" i="49" s="1"/>
  <c r="G35" i="49"/>
  <c r="G34" i="49"/>
  <c r="H34" i="49" s="1"/>
  <c r="G33" i="49"/>
  <c r="G32" i="49"/>
  <c r="H32" i="49" s="1"/>
  <c r="G31" i="49"/>
  <c r="H30" i="49"/>
  <c r="G30" i="49"/>
  <c r="J30" i="49" s="1"/>
  <c r="J29" i="49"/>
  <c r="G29" i="49"/>
  <c r="H29" i="49" s="1"/>
  <c r="G28" i="49"/>
  <c r="H27" i="49"/>
  <c r="G27" i="49"/>
  <c r="J27" i="49" s="1"/>
  <c r="H26" i="49"/>
  <c r="G26" i="49"/>
  <c r="G25" i="49"/>
  <c r="G24" i="49"/>
  <c r="H24" i="49" s="1"/>
  <c r="G23" i="49"/>
  <c r="G22" i="49"/>
  <c r="H22" i="49" s="1"/>
  <c r="H21" i="49"/>
  <c r="G21" i="49"/>
  <c r="H20" i="49"/>
  <c r="G20" i="49"/>
  <c r="J20" i="49" s="1"/>
  <c r="H19" i="49"/>
  <c r="G19" i="49"/>
  <c r="H18" i="49"/>
  <c r="G18" i="49"/>
  <c r="J17" i="49"/>
  <c r="G17" i="49"/>
  <c r="H17" i="49" s="1"/>
  <c r="G16" i="49"/>
  <c r="J15" i="49"/>
  <c r="G15" i="49"/>
  <c r="J14" i="49"/>
  <c r="H14" i="49"/>
  <c r="G14" i="49"/>
  <c r="H13" i="49"/>
  <c r="G13" i="49"/>
  <c r="J12" i="49"/>
  <c r="G12" i="49"/>
  <c r="H12" i="49" s="1"/>
  <c r="H11" i="49"/>
  <c r="G11" i="49"/>
  <c r="H10" i="49"/>
  <c r="G10" i="49"/>
  <c r="J10" i="49" s="1"/>
  <c r="H9" i="49"/>
  <c r="G9" i="49"/>
  <c r="G72" i="48"/>
  <c r="G71" i="48"/>
  <c r="G70" i="48"/>
  <c r="G69" i="48"/>
  <c r="E64" i="48"/>
  <c r="D64" i="48"/>
  <c r="C64" i="48"/>
  <c r="E63" i="48"/>
  <c r="D63" i="48"/>
  <c r="C63" i="48"/>
  <c r="H57" i="48"/>
  <c r="G57" i="48"/>
  <c r="G56" i="48"/>
  <c r="H56" i="48" s="1"/>
  <c r="G55" i="48"/>
  <c r="H55" i="48" s="1"/>
  <c r="F48" i="48"/>
  <c r="E48" i="48"/>
  <c r="D48" i="48"/>
  <c r="C48" i="48"/>
  <c r="H47" i="48"/>
  <c r="G47" i="48"/>
  <c r="J47" i="48" s="1"/>
  <c r="G46" i="48"/>
  <c r="J45" i="48"/>
  <c r="G45" i="48"/>
  <c r="H45" i="48" s="1"/>
  <c r="H44" i="48"/>
  <c r="G44" i="48"/>
  <c r="J43" i="48"/>
  <c r="H43" i="48"/>
  <c r="G43" i="48"/>
  <c r="J42" i="48"/>
  <c r="H42" i="48"/>
  <c r="G42" i="48"/>
  <c r="H41" i="48"/>
  <c r="G41" i="48"/>
  <c r="J40" i="48"/>
  <c r="H40" i="48"/>
  <c r="G40" i="48"/>
  <c r="J39" i="48"/>
  <c r="H39" i="48"/>
  <c r="G39" i="48"/>
  <c r="H38" i="48"/>
  <c r="G38" i="48"/>
  <c r="J37" i="48"/>
  <c r="H37" i="48"/>
  <c r="G37" i="48"/>
  <c r="J36" i="48"/>
  <c r="H36" i="48"/>
  <c r="G36" i="48"/>
  <c r="H35" i="48"/>
  <c r="G35" i="48"/>
  <c r="J34" i="48"/>
  <c r="H34" i="48"/>
  <c r="G34" i="48"/>
  <c r="J33" i="48"/>
  <c r="H33" i="48"/>
  <c r="G33" i="48"/>
  <c r="H32" i="48"/>
  <c r="G32" i="48"/>
  <c r="J31" i="48"/>
  <c r="H31" i="48"/>
  <c r="G31" i="48"/>
  <c r="J30" i="48"/>
  <c r="H30" i="48"/>
  <c r="G30" i="48"/>
  <c r="G29" i="48"/>
  <c r="J28" i="48"/>
  <c r="G28" i="48"/>
  <c r="H28" i="48" s="1"/>
  <c r="H27" i="48"/>
  <c r="G27" i="48"/>
  <c r="J27" i="48" s="1"/>
  <c r="G26" i="48"/>
  <c r="J25" i="48"/>
  <c r="G25" i="48"/>
  <c r="H25" i="48" s="1"/>
  <c r="H24" i="48"/>
  <c r="G24" i="48"/>
  <c r="J24" i="48" s="1"/>
  <c r="G23" i="48"/>
  <c r="J22" i="48"/>
  <c r="G22" i="48"/>
  <c r="H22" i="48" s="1"/>
  <c r="H21" i="48"/>
  <c r="G21" i="48"/>
  <c r="G20" i="48"/>
  <c r="H20" i="48" s="1"/>
  <c r="H19" i="48"/>
  <c r="G19" i="48"/>
  <c r="J19" i="48" s="1"/>
  <c r="G18" i="48"/>
  <c r="J17" i="48"/>
  <c r="G17" i="48"/>
  <c r="H17" i="48" s="1"/>
  <c r="H16" i="48"/>
  <c r="G16" i="48"/>
  <c r="J16" i="48" s="1"/>
  <c r="G15" i="48"/>
  <c r="J14" i="48"/>
  <c r="G14" i="48"/>
  <c r="H14" i="48" s="1"/>
  <c r="H13" i="48"/>
  <c r="G13" i="48"/>
  <c r="G12" i="48"/>
  <c r="H12" i="48" s="1"/>
  <c r="H11" i="48"/>
  <c r="G11" i="48"/>
  <c r="J11" i="48" s="1"/>
  <c r="G10" i="48"/>
  <c r="J9" i="48"/>
  <c r="G9" i="48"/>
  <c r="H9" i="48" s="1"/>
  <c r="G72" i="47"/>
  <c r="G71" i="47"/>
  <c r="G70" i="47"/>
  <c r="G69" i="47"/>
  <c r="E64" i="47"/>
  <c r="D64" i="47"/>
  <c r="C64" i="47"/>
  <c r="E63" i="47"/>
  <c r="D63" i="47"/>
  <c r="C63" i="47"/>
  <c r="G57" i="47"/>
  <c r="H57" i="47" s="1"/>
  <c r="G56" i="47"/>
  <c r="H56" i="47" s="1"/>
  <c r="H55" i="47"/>
  <c r="G55" i="47"/>
  <c r="F48" i="47"/>
  <c r="E48" i="47"/>
  <c r="D48" i="47"/>
  <c r="C48" i="47"/>
  <c r="J47" i="47"/>
  <c r="G47" i="47"/>
  <c r="H46" i="47"/>
  <c r="G46" i="47"/>
  <c r="J46" i="47" s="1"/>
  <c r="G45" i="47"/>
  <c r="J44" i="47"/>
  <c r="G44" i="47"/>
  <c r="H43" i="47"/>
  <c r="G43" i="47"/>
  <c r="J43" i="47" s="1"/>
  <c r="G42" i="47"/>
  <c r="J41" i="47"/>
  <c r="H41" i="47"/>
  <c r="G41" i="47"/>
  <c r="G40" i="47"/>
  <c r="H39" i="47"/>
  <c r="G39" i="47"/>
  <c r="H38" i="47"/>
  <c r="G38" i="47"/>
  <c r="G37" i="47"/>
  <c r="J37" i="47" s="1"/>
  <c r="J36" i="47"/>
  <c r="G36" i="47"/>
  <c r="H36" i="47" s="1"/>
  <c r="H35" i="47"/>
  <c r="G35" i="47"/>
  <c r="G34" i="47"/>
  <c r="J34" i="47" s="1"/>
  <c r="H33" i="47"/>
  <c r="G33" i="47"/>
  <c r="G32" i="47"/>
  <c r="J31" i="47"/>
  <c r="G31" i="47"/>
  <c r="H30" i="47"/>
  <c r="G30" i="47"/>
  <c r="J30" i="47" s="1"/>
  <c r="G29" i="47"/>
  <c r="J28" i="47"/>
  <c r="G28" i="47"/>
  <c r="H27" i="47"/>
  <c r="G27" i="47"/>
  <c r="J27" i="47" s="1"/>
  <c r="G26" i="47"/>
  <c r="J25" i="47"/>
  <c r="G25" i="47"/>
  <c r="H24" i="47"/>
  <c r="G24" i="47"/>
  <c r="J24" i="47" s="1"/>
  <c r="G23" i="47"/>
  <c r="J22" i="47"/>
  <c r="H22" i="47"/>
  <c r="G22" i="47"/>
  <c r="H21" i="47"/>
  <c r="G21" i="47"/>
  <c r="J21" i="47" s="1"/>
  <c r="G20" i="47"/>
  <c r="J19" i="47"/>
  <c r="H19" i="47"/>
  <c r="G19" i="47"/>
  <c r="H18" i="47"/>
  <c r="G18" i="47"/>
  <c r="J18" i="47" s="1"/>
  <c r="G17" i="47"/>
  <c r="J16" i="47"/>
  <c r="H16" i="47"/>
  <c r="G16" i="47"/>
  <c r="H15" i="47"/>
  <c r="G15" i="47"/>
  <c r="J15" i="47" s="1"/>
  <c r="G14" i="47"/>
  <c r="J13" i="47"/>
  <c r="H13" i="47"/>
  <c r="G13" i="47"/>
  <c r="J12" i="47"/>
  <c r="H12" i="47"/>
  <c r="G12" i="47"/>
  <c r="G11" i="47"/>
  <c r="J10" i="47"/>
  <c r="H10" i="47"/>
  <c r="G10" i="47"/>
  <c r="J9" i="47"/>
  <c r="H9" i="47"/>
  <c r="G9" i="47"/>
  <c r="G48" i="47" s="1"/>
  <c r="G67" i="46"/>
  <c r="G66" i="46"/>
  <c r="G65" i="46"/>
  <c r="G64" i="46"/>
  <c r="E59" i="46"/>
  <c r="D59" i="46"/>
  <c r="C59" i="46"/>
  <c r="E58" i="46"/>
  <c r="D58" i="46"/>
  <c r="C58" i="46"/>
  <c r="H52" i="46"/>
  <c r="G52" i="46"/>
  <c r="G51" i="46"/>
  <c r="H51" i="46" s="1"/>
  <c r="G50" i="46"/>
  <c r="H50" i="46" s="1"/>
  <c r="F43" i="46"/>
  <c r="E43" i="46"/>
  <c r="D43" i="46"/>
  <c r="C43" i="46"/>
  <c r="H42" i="46"/>
  <c r="G42" i="46"/>
  <c r="J41" i="46"/>
  <c r="H41" i="46"/>
  <c r="G41" i="46"/>
  <c r="H40" i="46"/>
  <c r="G40" i="46"/>
  <c r="H39" i="46"/>
  <c r="G39" i="46"/>
  <c r="J38" i="46"/>
  <c r="H38" i="46"/>
  <c r="G38" i="46"/>
  <c r="G37" i="46"/>
  <c r="J36" i="46"/>
  <c r="H36" i="46"/>
  <c r="G36" i="46"/>
  <c r="J35" i="46"/>
  <c r="H35" i="46"/>
  <c r="G35" i="46"/>
  <c r="G34" i="46"/>
  <c r="J33" i="46"/>
  <c r="H33" i="46"/>
  <c r="G33" i="46"/>
  <c r="J32" i="46"/>
  <c r="H32" i="46"/>
  <c r="G32" i="46"/>
  <c r="G31" i="46"/>
  <c r="J30" i="46"/>
  <c r="H30" i="46"/>
  <c r="G30" i="46"/>
  <c r="J29" i="46"/>
  <c r="H29" i="46"/>
  <c r="G29" i="46"/>
  <c r="G28" i="46"/>
  <c r="J27" i="46"/>
  <c r="H27" i="46"/>
  <c r="G27" i="46"/>
  <c r="J26" i="46"/>
  <c r="H26" i="46"/>
  <c r="G26" i="46"/>
  <c r="G25" i="46"/>
  <c r="J24" i="46"/>
  <c r="H24" i="46"/>
  <c r="G24" i="46"/>
  <c r="J23" i="46"/>
  <c r="H23" i="46"/>
  <c r="G23" i="46"/>
  <c r="G22" i="46"/>
  <c r="J21" i="46"/>
  <c r="H21" i="46"/>
  <c r="G21" i="46"/>
  <c r="J20" i="46"/>
  <c r="H20" i="46"/>
  <c r="G20" i="46"/>
  <c r="G19" i="46"/>
  <c r="J18" i="46"/>
  <c r="H18" i="46"/>
  <c r="G18" i="46"/>
  <c r="J17" i="46"/>
  <c r="H17" i="46"/>
  <c r="G17" i="46"/>
  <c r="G16" i="46"/>
  <c r="J15" i="46"/>
  <c r="H15" i="46"/>
  <c r="G15" i="46"/>
  <c r="J14" i="46"/>
  <c r="H14" i="46"/>
  <c r="G14" i="46"/>
  <c r="G13" i="46"/>
  <c r="J12" i="46"/>
  <c r="H12" i="46"/>
  <c r="G12" i="46"/>
  <c r="J11" i="46"/>
  <c r="H11" i="46"/>
  <c r="G11" i="46"/>
  <c r="G10" i="46"/>
  <c r="J9" i="46"/>
  <c r="H9" i="46"/>
  <c r="G9" i="46"/>
  <c r="G65" i="45"/>
  <c r="G64" i="45"/>
  <c r="G63" i="45"/>
  <c r="G62" i="45"/>
  <c r="E57" i="45"/>
  <c r="D57" i="45"/>
  <c r="C57" i="45"/>
  <c r="E56" i="45"/>
  <c r="D56" i="45"/>
  <c r="C56" i="45"/>
  <c r="H50" i="45"/>
  <c r="G50" i="45"/>
  <c r="G49" i="45"/>
  <c r="H49" i="45" s="1"/>
  <c r="H48" i="45"/>
  <c r="G48" i="45"/>
  <c r="F41" i="45"/>
  <c r="E41" i="45"/>
  <c r="D41" i="45"/>
  <c r="C41" i="45"/>
  <c r="G40" i="45"/>
  <c r="J40" i="45" s="1"/>
  <c r="H39" i="45"/>
  <c r="G39" i="45"/>
  <c r="G38" i="45"/>
  <c r="J37" i="45"/>
  <c r="G37" i="45"/>
  <c r="H37" i="45" s="1"/>
  <c r="G36" i="45"/>
  <c r="J36" i="45" s="1"/>
  <c r="G35" i="45"/>
  <c r="H35" i="45" s="1"/>
  <c r="G34" i="45"/>
  <c r="H34" i="45" s="1"/>
  <c r="G33" i="45"/>
  <c r="H33" i="45" s="1"/>
  <c r="G32" i="45"/>
  <c r="H32" i="45" s="1"/>
  <c r="J31" i="45"/>
  <c r="G31" i="45"/>
  <c r="J30" i="45"/>
  <c r="H30" i="45"/>
  <c r="G30" i="45"/>
  <c r="G29" i="45"/>
  <c r="J29" i="45" s="1"/>
  <c r="J28" i="45"/>
  <c r="G28" i="45"/>
  <c r="J27" i="45"/>
  <c r="H27" i="45"/>
  <c r="G27" i="45"/>
  <c r="G26" i="45"/>
  <c r="J26" i="45" s="1"/>
  <c r="G25" i="45"/>
  <c r="J24" i="45"/>
  <c r="H24" i="45"/>
  <c r="G24" i="45"/>
  <c r="H23" i="45"/>
  <c r="G23" i="45"/>
  <c r="J22" i="45"/>
  <c r="G22" i="45"/>
  <c r="H22" i="45" s="1"/>
  <c r="J21" i="45"/>
  <c r="G21" i="45"/>
  <c r="H20" i="45"/>
  <c r="G20" i="45"/>
  <c r="J20" i="45" s="1"/>
  <c r="J19" i="45"/>
  <c r="G19" i="45"/>
  <c r="H19" i="45" s="1"/>
  <c r="G18" i="45"/>
  <c r="H18" i="45" s="1"/>
  <c r="J17" i="45"/>
  <c r="G17" i="45"/>
  <c r="J16" i="45"/>
  <c r="H16" i="45"/>
  <c r="G16" i="45"/>
  <c r="G15" i="45"/>
  <c r="J15" i="45" s="1"/>
  <c r="G14" i="45"/>
  <c r="J13" i="45"/>
  <c r="H13" i="45"/>
  <c r="G13" i="45"/>
  <c r="G12" i="45"/>
  <c r="J12" i="45" s="1"/>
  <c r="G11" i="45"/>
  <c r="J10" i="45"/>
  <c r="H10" i="45"/>
  <c r="G10" i="45"/>
  <c r="G9" i="45"/>
  <c r="G72" i="44"/>
  <c r="G71" i="44"/>
  <c r="G70" i="44"/>
  <c r="G69" i="44"/>
  <c r="E64" i="44"/>
  <c r="D64" i="44"/>
  <c r="C64" i="44"/>
  <c r="E63" i="44"/>
  <c r="D63" i="44"/>
  <c r="C63" i="44"/>
  <c r="G57" i="44"/>
  <c r="H57" i="44" s="1"/>
  <c r="H56" i="44"/>
  <c r="G56" i="44"/>
  <c r="G55" i="44"/>
  <c r="H55" i="44" s="1"/>
  <c r="F48" i="44"/>
  <c r="E48" i="44"/>
  <c r="D48" i="44"/>
  <c r="C48" i="44"/>
  <c r="G47" i="44"/>
  <c r="J47" i="44" s="1"/>
  <c r="G46" i="44"/>
  <c r="J45" i="44"/>
  <c r="H45" i="44"/>
  <c r="G45" i="44"/>
  <c r="H44" i="44"/>
  <c r="G44" i="44"/>
  <c r="H43" i="44"/>
  <c r="G43" i="44"/>
  <c r="G42" i="44"/>
  <c r="J42" i="44" s="1"/>
  <c r="J41" i="44"/>
  <c r="G41" i="44"/>
  <c r="J40" i="44"/>
  <c r="H40" i="44"/>
  <c r="G40" i="44"/>
  <c r="G39" i="44"/>
  <c r="J39" i="44" s="1"/>
  <c r="G38" i="44"/>
  <c r="J37" i="44"/>
  <c r="H37" i="44"/>
  <c r="G37" i="44"/>
  <c r="G36" i="44"/>
  <c r="J36" i="44" s="1"/>
  <c r="G35" i="44"/>
  <c r="J34" i="44"/>
  <c r="H34" i="44"/>
  <c r="G34" i="44"/>
  <c r="G33" i="44"/>
  <c r="J33" i="44" s="1"/>
  <c r="J32" i="44"/>
  <c r="G32" i="44"/>
  <c r="J31" i="44"/>
  <c r="H31" i="44"/>
  <c r="G31" i="44"/>
  <c r="G30" i="44"/>
  <c r="J30" i="44" s="1"/>
  <c r="J29" i="44"/>
  <c r="G29" i="44"/>
  <c r="J28" i="44"/>
  <c r="H28" i="44"/>
  <c r="G28" i="44"/>
  <c r="G27" i="44"/>
  <c r="J27" i="44" s="1"/>
  <c r="G26" i="44"/>
  <c r="J25" i="44"/>
  <c r="H25" i="44"/>
  <c r="G25" i="44"/>
  <c r="G24" i="44"/>
  <c r="J24" i="44" s="1"/>
  <c r="J23" i="44"/>
  <c r="G23" i="44"/>
  <c r="J22" i="44"/>
  <c r="H22" i="44"/>
  <c r="G22" i="44"/>
  <c r="G21" i="44"/>
  <c r="J21" i="44" s="1"/>
  <c r="G20" i="44"/>
  <c r="J19" i="44"/>
  <c r="H19" i="44"/>
  <c r="G19" i="44"/>
  <c r="G18" i="44"/>
  <c r="J18" i="44" s="1"/>
  <c r="G17" i="44"/>
  <c r="J16" i="44"/>
  <c r="H16" i="44"/>
  <c r="G16" i="44"/>
  <c r="G15" i="44"/>
  <c r="J15" i="44" s="1"/>
  <c r="J14" i="44"/>
  <c r="G14" i="44"/>
  <c r="J13" i="44"/>
  <c r="H13" i="44"/>
  <c r="G13" i="44"/>
  <c r="H12" i="44"/>
  <c r="G12" i="44"/>
  <c r="H11" i="44"/>
  <c r="G11" i="44"/>
  <c r="G10" i="44"/>
  <c r="J10" i="44" s="1"/>
  <c r="G9" i="44"/>
  <c r="G63" i="43"/>
  <c r="G62" i="43"/>
  <c r="G61" i="43"/>
  <c r="G60" i="43"/>
  <c r="E55" i="43"/>
  <c r="D55" i="43"/>
  <c r="C55" i="43"/>
  <c r="E54" i="43"/>
  <c r="D54" i="43"/>
  <c r="C54" i="43"/>
  <c r="G48" i="43"/>
  <c r="H48" i="43" s="1"/>
  <c r="G47" i="43"/>
  <c r="H47" i="43" s="1"/>
  <c r="H46" i="43"/>
  <c r="G46" i="43"/>
  <c r="F39" i="43"/>
  <c r="E39" i="43"/>
  <c r="D39" i="43"/>
  <c r="C39" i="43"/>
  <c r="G38" i="43"/>
  <c r="H38" i="43" s="1"/>
  <c r="G37" i="43"/>
  <c r="H37" i="43" s="1"/>
  <c r="J36" i="43"/>
  <c r="G36" i="43"/>
  <c r="J35" i="43"/>
  <c r="H35" i="43"/>
  <c r="G35" i="43"/>
  <c r="G34" i="43"/>
  <c r="J34" i="43" s="1"/>
  <c r="G33" i="43"/>
  <c r="J32" i="43"/>
  <c r="H32" i="43"/>
  <c r="G32" i="43"/>
  <c r="G31" i="43"/>
  <c r="J31" i="43" s="1"/>
  <c r="J30" i="43"/>
  <c r="G30" i="43"/>
  <c r="G29" i="43"/>
  <c r="H28" i="43"/>
  <c r="G28" i="43"/>
  <c r="J28" i="43" s="1"/>
  <c r="H27" i="43"/>
  <c r="G27" i="43"/>
  <c r="H26" i="43"/>
  <c r="G26" i="43"/>
  <c r="J25" i="43"/>
  <c r="G25" i="43"/>
  <c r="H25" i="43" s="1"/>
  <c r="J24" i="43"/>
  <c r="G24" i="43"/>
  <c r="G23" i="43"/>
  <c r="J22" i="43"/>
  <c r="H22" i="43"/>
  <c r="G22" i="43"/>
  <c r="G21" i="43"/>
  <c r="J21" i="43" s="1"/>
  <c r="G20" i="43"/>
  <c r="G19" i="43"/>
  <c r="G18" i="43"/>
  <c r="J17" i="43"/>
  <c r="H17" i="43"/>
  <c r="G17" i="43"/>
  <c r="H16" i="43"/>
  <c r="G16" i="43"/>
  <c r="J15" i="43"/>
  <c r="G15" i="43"/>
  <c r="H15" i="43" s="1"/>
  <c r="G14" i="43"/>
  <c r="H13" i="43"/>
  <c r="G13" i="43"/>
  <c r="J13" i="43" s="1"/>
  <c r="J12" i="43"/>
  <c r="G12" i="43"/>
  <c r="H12" i="43" s="1"/>
  <c r="J11" i="43"/>
  <c r="G11" i="43"/>
  <c r="H10" i="43"/>
  <c r="G10" i="43"/>
  <c r="J10" i="43" s="1"/>
  <c r="H9" i="43"/>
  <c r="G9" i="43"/>
  <c r="G70" i="42"/>
  <c r="G69" i="42"/>
  <c r="G68" i="42"/>
  <c r="G67" i="42"/>
  <c r="E62" i="42"/>
  <c r="D62" i="42"/>
  <c r="C62" i="42"/>
  <c r="E61" i="42"/>
  <c r="D61" i="42"/>
  <c r="C61" i="42"/>
  <c r="H55" i="42"/>
  <c r="G55" i="42"/>
  <c r="G54" i="42"/>
  <c r="H54" i="42" s="1"/>
  <c r="G53" i="42"/>
  <c r="H53" i="42" s="1"/>
  <c r="F46" i="42"/>
  <c r="E46" i="42"/>
  <c r="D46" i="42"/>
  <c r="C46" i="42"/>
  <c r="H45" i="42"/>
  <c r="G45" i="42"/>
  <c r="J45" i="42" s="1"/>
  <c r="H44" i="42"/>
  <c r="G44" i="42"/>
  <c r="J43" i="42"/>
  <c r="G43" i="42"/>
  <c r="H43" i="42" s="1"/>
  <c r="G42" i="42"/>
  <c r="H42" i="42" s="1"/>
  <c r="G41" i="42"/>
  <c r="H40" i="42"/>
  <c r="G40" i="42"/>
  <c r="J40" i="42" s="1"/>
  <c r="G39" i="42"/>
  <c r="J39" i="42" s="1"/>
  <c r="G38" i="42"/>
  <c r="G37" i="42"/>
  <c r="H36" i="42"/>
  <c r="G36" i="42"/>
  <c r="J36" i="42" s="1"/>
  <c r="J35" i="42"/>
  <c r="G35" i="42"/>
  <c r="H35" i="42" s="1"/>
  <c r="J34" i="42"/>
  <c r="G34" i="42"/>
  <c r="J33" i="42"/>
  <c r="H33" i="42"/>
  <c r="G33" i="42"/>
  <c r="J32" i="42"/>
  <c r="H32" i="42"/>
  <c r="G32" i="42"/>
  <c r="G31" i="42"/>
  <c r="J30" i="42"/>
  <c r="H30" i="42"/>
  <c r="G30" i="42"/>
  <c r="J29" i="42"/>
  <c r="H29" i="42"/>
  <c r="G29" i="42"/>
  <c r="J28" i="42"/>
  <c r="G28" i="42"/>
  <c r="J27" i="42"/>
  <c r="H27" i="42"/>
  <c r="G27" i="42"/>
  <c r="J26" i="42"/>
  <c r="H26" i="42"/>
  <c r="G26" i="42"/>
  <c r="G25" i="42"/>
  <c r="J24" i="42"/>
  <c r="H24" i="42"/>
  <c r="G24" i="42"/>
  <c r="J23" i="42"/>
  <c r="H23" i="42"/>
  <c r="G23" i="42"/>
  <c r="J22" i="42"/>
  <c r="G22" i="42"/>
  <c r="J21" i="42"/>
  <c r="H21" i="42"/>
  <c r="G21" i="42"/>
  <c r="J20" i="42"/>
  <c r="H20" i="42"/>
  <c r="G20" i="42"/>
  <c r="G19" i="42"/>
  <c r="J18" i="42"/>
  <c r="H18" i="42"/>
  <c r="G18" i="42"/>
  <c r="J17" i="42"/>
  <c r="H17" i="42"/>
  <c r="G17" i="42"/>
  <c r="J16" i="42"/>
  <c r="G16" i="42"/>
  <c r="J15" i="42"/>
  <c r="H15" i="42"/>
  <c r="G15" i="42"/>
  <c r="J14" i="42"/>
  <c r="H14" i="42"/>
  <c r="G14" i="42"/>
  <c r="G13" i="42"/>
  <c r="J12" i="42"/>
  <c r="H12" i="42"/>
  <c r="G12" i="42"/>
  <c r="J11" i="42"/>
  <c r="H11" i="42"/>
  <c r="G11" i="42"/>
  <c r="J10" i="42"/>
  <c r="G10" i="42"/>
  <c r="J9" i="42"/>
  <c r="H9" i="42"/>
  <c r="G9" i="42"/>
  <c r="G67" i="41"/>
  <c r="G66" i="41"/>
  <c r="G65" i="41"/>
  <c r="G64" i="41"/>
  <c r="E59" i="41"/>
  <c r="D59" i="41"/>
  <c r="C59" i="41"/>
  <c r="E58" i="41"/>
  <c r="D58" i="41"/>
  <c r="C58" i="41"/>
  <c r="H52" i="41"/>
  <c r="G52" i="41"/>
  <c r="G51" i="41"/>
  <c r="H51" i="41" s="1"/>
  <c r="H50" i="41"/>
  <c r="G50" i="41"/>
  <c r="F43" i="41"/>
  <c r="E43" i="41"/>
  <c r="D43" i="41"/>
  <c r="C43" i="41"/>
  <c r="G42" i="41"/>
  <c r="H41" i="41"/>
  <c r="G41" i="41"/>
  <c r="J41" i="41" s="1"/>
  <c r="G40" i="41"/>
  <c r="J40" i="41" s="1"/>
  <c r="G39" i="41"/>
  <c r="H38" i="41"/>
  <c r="G38" i="41"/>
  <c r="J38" i="41" s="1"/>
  <c r="G37" i="41"/>
  <c r="J37" i="41" s="1"/>
  <c r="H36" i="41"/>
  <c r="G36" i="41"/>
  <c r="G35" i="41"/>
  <c r="H35" i="41" s="1"/>
  <c r="J34" i="41"/>
  <c r="G34" i="41"/>
  <c r="H33" i="41"/>
  <c r="G33" i="41"/>
  <c r="J33" i="41" s="1"/>
  <c r="G32" i="41"/>
  <c r="J32" i="41" s="1"/>
  <c r="H31" i="41"/>
  <c r="G31" i="41"/>
  <c r="G30" i="41"/>
  <c r="J29" i="41"/>
  <c r="H29" i="41"/>
  <c r="G29" i="41"/>
  <c r="J28" i="41"/>
  <c r="H28" i="41"/>
  <c r="G28" i="41"/>
  <c r="J27" i="41"/>
  <c r="G27" i="41"/>
  <c r="J26" i="41"/>
  <c r="H26" i="41"/>
  <c r="G26" i="41"/>
  <c r="J25" i="41"/>
  <c r="H25" i="41"/>
  <c r="G25" i="41"/>
  <c r="G24" i="41"/>
  <c r="H24" i="41" s="1"/>
  <c r="J23" i="41"/>
  <c r="G23" i="41"/>
  <c r="H22" i="41"/>
  <c r="G22" i="41"/>
  <c r="J22" i="41" s="1"/>
  <c r="G21" i="41"/>
  <c r="J21" i="41" s="1"/>
  <c r="J20" i="41"/>
  <c r="G20" i="41"/>
  <c r="H19" i="41"/>
  <c r="G19" i="41"/>
  <c r="J19" i="41" s="1"/>
  <c r="G18" i="41"/>
  <c r="J18" i="41" s="1"/>
  <c r="J17" i="41"/>
  <c r="G17" i="41"/>
  <c r="H16" i="41"/>
  <c r="G16" i="41"/>
  <c r="J16" i="41" s="1"/>
  <c r="H15" i="41"/>
  <c r="G15" i="41"/>
  <c r="J15" i="41" s="1"/>
  <c r="J14" i="41"/>
  <c r="G14" i="41"/>
  <c r="H13" i="41"/>
  <c r="G13" i="41"/>
  <c r="J13" i="41" s="1"/>
  <c r="H12" i="41"/>
  <c r="G12" i="41"/>
  <c r="J12" i="41" s="1"/>
  <c r="G11" i="41"/>
  <c r="H10" i="41"/>
  <c r="G10" i="41"/>
  <c r="J10" i="41" s="1"/>
  <c r="H9" i="41"/>
  <c r="G9" i="41"/>
  <c r="G63" i="40"/>
  <c r="G62" i="40"/>
  <c r="G61" i="40"/>
  <c r="G60" i="40"/>
  <c r="E55" i="40"/>
  <c r="D55" i="40"/>
  <c r="C55" i="40"/>
  <c r="E54" i="40"/>
  <c r="D54" i="40"/>
  <c r="C54" i="40"/>
  <c r="G48" i="40"/>
  <c r="H48" i="40" s="1"/>
  <c r="H47" i="40"/>
  <c r="G47" i="40"/>
  <c r="G46" i="40"/>
  <c r="H46" i="40" s="1"/>
  <c r="F39" i="40"/>
  <c r="E39" i="40"/>
  <c r="D39" i="40"/>
  <c r="C39" i="40"/>
  <c r="H38" i="40"/>
  <c r="G38" i="40"/>
  <c r="H37" i="40"/>
  <c r="G37" i="40"/>
  <c r="H36" i="40"/>
  <c r="G36" i="40"/>
  <c r="H35" i="40"/>
  <c r="G35" i="40"/>
  <c r="J35" i="40" s="1"/>
  <c r="G34" i="40"/>
  <c r="J33" i="40"/>
  <c r="H33" i="40"/>
  <c r="G33" i="40"/>
  <c r="H32" i="40"/>
  <c r="G32" i="40"/>
  <c r="H31" i="40"/>
  <c r="G31" i="40"/>
  <c r="J31" i="40" s="1"/>
  <c r="H30" i="40"/>
  <c r="G30" i="40"/>
  <c r="G29" i="40"/>
  <c r="J28" i="40"/>
  <c r="H28" i="40"/>
  <c r="G28" i="40"/>
  <c r="H27" i="40"/>
  <c r="G27" i="40"/>
  <c r="J27" i="40" s="1"/>
  <c r="G26" i="40"/>
  <c r="J25" i="40"/>
  <c r="H25" i="40"/>
  <c r="G25" i="40"/>
  <c r="H24" i="40"/>
  <c r="G24" i="40"/>
  <c r="J24" i="40" s="1"/>
  <c r="J23" i="40"/>
  <c r="G23" i="40"/>
  <c r="J22" i="40"/>
  <c r="H22" i="40"/>
  <c r="G22" i="40"/>
  <c r="J21" i="40"/>
  <c r="H21" i="40"/>
  <c r="G21" i="40"/>
  <c r="J20" i="40"/>
  <c r="G20" i="40"/>
  <c r="J19" i="40"/>
  <c r="H19" i="40"/>
  <c r="G19" i="40"/>
  <c r="J18" i="40"/>
  <c r="H18" i="40"/>
  <c r="G18" i="40"/>
  <c r="J17" i="40"/>
  <c r="G17" i="40"/>
  <c r="J16" i="40"/>
  <c r="H16" i="40"/>
  <c r="G16" i="40"/>
  <c r="J15" i="40"/>
  <c r="H15" i="40"/>
  <c r="G15" i="40"/>
  <c r="J14" i="40"/>
  <c r="G14" i="40"/>
  <c r="J13" i="40"/>
  <c r="H13" i="40"/>
  <c r="G13" i="40"/>
  <c r="J12" i="40"/>
  <c r="H12" i="40"/>
  <c r="G12" i="40"/>
  <c r="J11" i="40"/>
  <c r="G11" i="40"/>
  <c r="J10" i="40"/>
  <c r="H10" i="40"/>
  <c r="G10" i="40"/>
  <c r="H9" i="40"/>
  <c r="G9" i="40"/>
  <c r="G67" i="39"/>
  <c r="G66" i="39"/>
  <c r="G65" i="39"/>
  <c r="G64" i="39"/>
  <c r="E59" i="39"/>
  <c r="D59" i="39"/>
  <c r="C59" i="39"/>
  <c r="E58" i="39"/>
  <c r="D58" i="39"/>
  <c r="C58" i="39"/>
  <c r="H52" i="39"/>
  <c r="G52" i="39"/>
  <c r="G51" i="39"/>
  <c r="H51" i="39" s="1"/>
  <c r="G50" i="39"/>
  <c r="H50" i="39" s="1"/>
  <c r="F43" i="39"/>
  <c r="E43" i="39"/>
  <c r="D43" i="39"/>
  <c r="C43" i="39"/>
  <c r="C44" i="39" s="1"/>
  <c r="G42" i="39"/>
  <c r="G41" i="39"/>
  <c r="G40" i="39"/>
  <c r="J39" i="39"/>
  <c r="H39" i="39"/>
  <c r="G39" i="39"/>
  <c r="J38" i="39"/>
  <c r="H38" i="39"/>
  <c r="G38" i="39"/>
  <c r="G37" i="39"/>
  <c r="J36" i="39"/>
  <c r="H36" i="39"/>
  <c r="G36" i="39"/>
  <c r="J35" i="39"/>
  <c r="H35" i="39"/>
  <c r="G35" i="39"/>
  <c r="G34" i="39"/>
  <c r="H34" i="39" s="1"/>
  <c r="J33" i="39"/>
  <c r="G33" i="39"/>
  <c r="H32" i="39"/>
  <c r="G32" i="39"/>
  <c r="J32" i="39" s="1"/>
  <c r="G31" i="39"/>
  <c r="J31" i="39" s="1"/>
  <c r="J30" i="39"/>
  <c r="G30" i="39"/>
  <c r="H29" i="39"/>
  <c r="G29" i="39"/>
  <c r="J29" i="39" s="1"/>
  <c r="G28" i="39"/>
  <c r="J28" i="39" s="1"/>
  <c r="J27" i="39"/>
  <c r="G27" i="39"/>
  <c r="H26" i="39"/>
  <c r="G26" i="39"/>
  <c r="J26" i="39" s="1"/>
  <c r="G25" i="39"/>
  <c r="J25" i="39" s="1"/>
  <c r="J24" i="39"/>
  <c r="G24" i="39"/>
  <c r="H23" i="39"/>
  <c r="G23" i="39"/>
  <c r="J23" i="39" s="1"/>
  <c r="G22" i="39"/>
  <c r="J22" i="39" s="1"/>
  <c r="J21" i="39"/>
  <c r="G21" i="39"/>
  <c r="H20" i="39"/>
  <c r="G20" i="39"/>
  <c r="J20" i="39" s="1"/>
  <c r="G19" i="39"/>
  <c r="J19" i="39" s="1"/>
  <c r="J18" i="39"/>
  <c r="G18" i="39"/>
  <c r="H17" i="39"/>
  <c r="G17" i="39"/>
  <c r="J17" i="39" s="1"/>
  <c r="G16" i="39"/>
  <c r="J16" i="39" s="1"/>
  <c r="I15" i="39"/>
  <c r="H15" i="39"/>
  <c r="G15" i="39"/>
  <c r="J14" i="39"/>
  <c r="G14" i="39"/>
  <c r="J13" i="39"/>
  <c r="H13" i="39"/>
  <c r="G13" i="39"/>
  <c r="H12" i="39"/>
  <c r="G12" i="39"/>
  <c r="J12" i="39" s="1"/>
  <c r="G11" i="39"/>
  <c r="J10" i="39"/>
  <c r="H10" i="39"/>
  <c r="G10" i="39"/>
  <c r="H9" i="39"/>
  <c r="G9" i="39"/>
  <c r="G43" i="39" s="1"/>
  <c r="G68" i="38"/>
  <c r="G67" i="38"/>
  <c r="G66" i="38"/>
  <c r="G65" i="38"/>
  <c r="E60" i="38"/>
  <c r="D60" i="38"/>
  <c r="C60" i="38"/>
  <c r="E59" i="38"/>
  <c r="D59" i="38"/>
  <c r="C59" i="38"/>
  <c r="H53" i="38"/>
  <c r="G53" i="38"/>
  <c r="H52" i="38"/>
  <c r="G52" i="38"/>
  <c r="G51" i="38"/>
  <c r="H51" i="38" s="1"/>
  <c r="F44" i="38"/>
  <c r="E44" i="38"/>
  <c r="D44" i="38"/>
  <c r="C44" i="38"/>
  <c r="H43" i="38"/>
  <c r="G43" i="38"/>
  <c r="J43" i="38" s="1"/>
  <c r="H42" i="38"/>
  <c r="G42" i="38"/>
  <c r="G41" i="38"/>
  <c r="H40" i="38"/>
  <c r="G40" i="38"/>
  <c r="J40" i="38" s="1"/>
  <c r="J39" i="38"/>
  <c r="H39" i="38"/>
  <c r="G39" i="38"/>
  <c r="J38" i="38"/>
  <c r="G38" i="38"/>
  <c r="H37" i="38"/>
  <c r="G37" i="38"/>
  <c r="J37" i="38" s="1"/>
  <c r="J36" i="38"/>
  <c r="H36" i="38"/>
  <c r="G36" i="38"/>
  <c r="G35" i="38"/>
  <c r="H34" i="38"/>
  <c r="G34" i="38"/>
  <c r="J34" i="38" s="1"/>
  <c r="J33" i="38"/>
  <c r="H33" i="38"/>
  <c r="G33" i="38"/>
  <c r="G32" i="38"/>
  <c r="H31" i="38"/>
  <c r="G31" i="38"/>
  <c r="J31" i="38" s="1"/>
  <c r="J30" i="38"/>
  <c r="H30" i="38"/>
  <c r="G30" i="38"/>
  <c r="J29" i="38"/>
  <c r="G29" i="38"/>
  <c r="H28" i="38"/>
  <c r="G28" i="38"/>
  <c r="J28" i="38" s="1"/>
  <c r="J27" i="38"/>
  <c r="H27" i="38"/>
  <c r="G27" i="38"/>
  <c r="G26" i="38"/>
  <c r="H25" i="38"/>
  <c r="G25" i="38"/>
  <c r="J25" i="38" s="1"/>
  <c r="J24" i="38"/>
  <c r="H24" i="38"/>
  <c r="G24" i="38"/>
  <c r="G23" i="38"/>
  <c r="H22" i="38"/>
  <c r="G22" i="38"/>
  <c r="J22" i="38" s="1"/>
  <c r="J21" i="38"/>
  <c r="H21" i="38"/>
  <c r="G21" i="38"/>
  <c r="J20" i="38"/>
  <c r="G20" i="38"/>
  <c r="H19" i="38"/>
  <c r="G19" i="38"/>
  <c r="J19" i="38" s="1"/>
  <c r="J18" i="38"/>
  <c r="H18" i="38"/>
  <c r="G18" i="38"/>
  <c r="G17" i="38"/>
  <c r="H16" i="38"/>
  <c r="G16" i="38"/>
  <c r="J16" i="38" s="1"/>
  <c r="J15" i="38"/>
  <c r="H15" i="38"/>
  <c r="G15" i="38"/>
  <c r="G14" i="38"/>
  <c r="H13" i="38"/>
  <c r="G13" i="38"/>
  <c r="J13" i="38" s="1"/>
  <c r="J12" i="38"/>
  <c r="H12" i="38"/>
  <c r="G12" i="38"/>
  <c r="J11" i="38"/>
  <c r="G11" i="38"/>
  <c r="H10" i="38"/>
  <c r="G10" i="38"/>
  <c r="J10" i="38" s="1"/>
  <c r="J9" i="38"/>
  <c r="H9" i="38"/>
  <c r="G9" i="38"/>
  <c r="G68" i="37"/>
  <c r="G67" i="37"/>
  <c r="G66" i="37"/>
  <c r="G65" i="37"/>
  <c r="E60" i="37"/>
  <c r="D60" i="37"/>
  <c r="C60" i="37"/>
  <c r="E59" i="37"/>
  <c r="D59" i="37"/>
  <c r="C59" i="37"/>
  <c r="H53" i="37"/>
  <c r="G53" i="37"/>
  <c r="H52" i="37"/>
  <c r="G52" i="37"/>
  <c r="G51" i="37"/>
  <c r="H51" i="37" s="1"/>
  <c r="F44" i="37"/>
  <c r="E44" i="37"/>
  <c r="D44" i="37"/>
  <c r="C44" i="37"/>
  <c r="G43" i="37"/>
  <c r="J43" i="37" s="1"/>
  <c r="G42" i="37"/>
  <c r="H41" i="37"/>
  <c r="G41" i="37"/>
  <c r="J41" i="37" s="1"/>
  <c r="J40" i="37"/>
  <c r="G40" i="37"/>
  <c r="H40" i="37" s="1"/>
  <c r="H39" i="37"/>
  <c r="G39" i="37"/>
  <c r="G38" i="37"/>
  <c r="H38" i="37" s="1"/>
  <c r="G37" i="37"/>
  <c r="H36" i="37"/>
  <c r="G36" i="37"/>
  <c r="J36" i="37" s="1"/>
  <c r="G35" i="37"/>
  <c r="J35" i="37" s="1"/>
  <c r="G34" i="37"/>
  <c r="H33" i="37"/>
  <c r="G33" i="37"/>
  <c r="J33" i="37" s="1"/>
  <c r="G32" i="37"/>
  <c r="J32" i="37" s="1"/>
  <c r="G31" i="37"/>
  <c r="H30" i="37"/>
  <c r="G30" i="37"/>
  <c r="J30" i="37" s="1"/>
  <c r="J29" i="37"/>
  <c r="G29" i="37"/>
  <c r="H29" i="37" s="1"/>
  <c r="H28" i="37"/>
  <c r="G28" i="37"/>
  <c r="G27" i="37"/>
  <c r="J26" i="37"/>
  <c r="H26" i="37"/>
  <c r="G26" i="37"/>
  <c r="H25" i="37"/>
  <c r="G25" i="37"/>
  <c r="J24" i="37"/>
  <c r="G24" i="37"/>
  <c r="H24" i="37" s="1"/>
  <c r="J23" i="37"/>
  <c r="G23" i="37"/>
  <c r="H22" i="37"/>
  <c r="G22" i="37"/>
  <c r="J22" i="37" s="1"/>
  <c r="J21" i="37"/>
  <c r="H21" i="37"/>
  <c r="G21" i="37"/>
  <c r="G20" i="37"/>
  <c r="H19" i="37"/>
  <c r="G19" i="37"/>
  <c r="J19" i="37" s="1"/>
  <c r="J18" i="37"/>
  <c r="G18" i="37"/>
  <c r="H18" i="37" s="1"/>
  <c r="J17" i="37"/>
  <c r="G17" i="37"/>
  <c r="H16" i="37"/>
  <c r="G16" i="37"/>
  <c r="J16" i="37" s="1"/>
  <c r="J15" i="37"/>
  <c r="G15" i="37"/>
  <c r="H15" i="37" s="1"/>
  <c r="G14" i="37"/>
  <c r="H13" i="37"/>
  <c r="G13" i="37"/>
  <c r="J13" i="37" s="1"/>
  <c r="J12" i="37"/>
  <c r="G12" i="37"/>
  <c r="H12" i="37" s="1"/>
  <c r="G11" i="37"/>
  <c r="G10" i="37"/>
  <c r="J9" i="37"/>
  <c r="H9" i="37"/>
  <c r="G9" i="37"/>
  <c r="G59" i="36"/>
  <c r="G58" i="36"/>
  <c r="G57" i="36"/>
  <c r="G56" i="36"/>
  <c r="E51" i="36"/>
  <c r="D51" i="36"/>
  <c r="C51" i="36"/>
  <c r="E50" i="36"/>
  <c r="D50" i="36"/>
  <c r="C50" i="36"/>
  <c r="H44" i="36"/>
  <c r="G44" i="36"/>
  <c r="G43" i="36"/>
  <c r="H43" i="36" s="1"/>
  <c r="H42" i="36"/>
  <c r="G42" i="36"/>
  <c r="F35" i="36"/>
  <c r="E35" i="36"/>
  <c r="D35" i="36"/>
  <c r="C35" i="36"/>
  <c r="J34" i="36"/>
  <c r="H34" i="36"/>
  <c r="G34" i="36"/>
  <c r="J33" i="36"/>
  <c r="H33" i="36"/>
  <c r="G33" i="36"/>
  <c r="G32" i="36"/>
  <c r="H32" i="36" s="1"/>
  <c r="G31" i="36"/>
  <c r="G30" i="36"/>
  <c r="G29" i="36"/>
  <c r="H28" i="36"/>
  <c r="G28" i="36"/>
  <c r="J28" i="36" s="1"/>
  <c r="G27" i="36"/>
  <c r="J27" i="36" s="1"/>
  <c r="H26" i="36"/>
  <c r="G26" i="36"/>
  <c r="G25" i="36"/>
  <c r="J24" i="36"/>
  <c r="H24" i="36"/>
  <c r="G24" i="36"/>
  <c r="J23" i="36"/>
  <c r="H23" i="36"/>
  <c r="G23" i="36"/>
  <c r="G22" i="36"/>
  <c r="G21" i="36"/>
  <c r="G20" i="36"/>
  <c r="J19" i="36"/>
  <c r="H19" i="36"/>
  <c r="G19" i="36"/>
  <c r="J18" i="36"/>
  <c r="H18" i="36"/>
  <c r="G18" i="36"/>
  <c r="G17" i="36"/>
  <c r="H17" i="36" s="1"/>
  <c r="G16" i="36"/>
  <c r="H15" i="36"/>
  <c r="G15" i="36"/>
  <c r="J15" i="36" s="1"/>
  <c r="H14" i="36"/>
  <c r="G14" i="36"/>
  <c r="J13" i="36"/>
  <c r="H13" i="36"/>
  <c r="G13" i="36"/>
  <c r="J12" i="36"/>
  <c r="G12" i="36"/>
  <c r="J11" i="36"/>
  <c r="H11" i="36"/>
  <c r="G11" i="36"/>
  <c r="J10" i="36"/>
  <c r="H10" i="36"/>
  <c r="G10" i="36"/>
  <c r="J9" i="36"/>
  <c r="G9" i="36"/>
  <c r="G64" i="35"/>
  <c r="G63" i="35"/>
  <c r="G62" i="35"/>
  <c r="G61" i="35"/>
  <c r="E56" i="35"/>
  <c r="D56" i="35"/>
  <c r="C56" i="35"/>
  <c r="E55" i="35"/>
  <c r="D55" i="35"/>
  <c r="C55" i="35"/>
  <c r="G49" i="35"/>
  <c r="H49" i="35" s="1"/>
  <c r="H48" i="35"/>
  <c r="G48" i="35"/>
  <c r="H47" i="35"/>
  <c r="G47" i="35"/>
  <c r="F40" i="35"/>
  <c r="E40" i="35"/>
  <c r="D40" i="35"/>
  <c r="C40" i="35"/>
  <c r="G39" i="35"/>
  <c r="H39" i="35" s="1"/>
  <c r="G38" i="35"/>
  <c r="H37" i="35"/>
  <c r="G37" i="35"/>
  <c r="J37" i="35" s="1"/>
  <c r="G36" i="35"/>
  <c r="J36" i="35" s="1"/>
  <c r="G35" i="35"/>
  <c r="H34" i="35"/>
  <c r="G34" i="35"/>
  <c r="J34" i="35" s="1"/>
  <c r="G33" i="35"/>
  <c r="J33" i="35" s="1"/>
  <c r="G32" i="35"/>
  <c r="H31" i="35"/>
  <c r="G31" i="35"/>
  <c r="J31" i="35" s="1"/>
  <c r="H30" i="35"/>
  <c r="G30" i="35"/>
  <c r="J29" i="35"/>
  <c r="H29" i="35"/>
  <c r="G29" i="35"/>
  <c r="G28" i="35"/>
  <c r="J27" i="35"/>
  <c r="H27" i="35"/>
  <c r="G27" i="35"/>
  <c r="J26" i="35"/>
  <c r="H26" i="35"/>
  <c r="G26" i="35"/>
  <c r="G25" i="35"/>
  <c r="H25" i="35" s="1"/>
  <c r="G24" i="35"/>
  <c r="H23" i="35"/>
  <c r="G23" i="35"/>
  <c r="J23" i="35" s="1"/>
  <c r="G22" i="35"/>
  <c r="J22" i="35" s="1"/>
  <c r="G21" i="35"/>
  <c r="G20" i="35"/>
  <c r="G19" i="35"/>
  <c r="H18" i="35"/>
  <c r="G18" i="35"/>
  <c r="J18" i="35" s="1"/>
  <c r="H17" i="35"/>
  <c r="G17" i="35"/>
  <c r="J16" i="35"/>
  <c r="H16" i="35"/>
  <c r="G16" i="35"/>
  <c r="G15" i="35"/>
  <c r="G14" i="35"/>
  <c r="H13" i="35"/>
  <c r="G13" i="35"/>
  <c r="J13" i="35" s="1"/>
  <c r="G12" i="35"/>
  <c r="J12" i="35" s="1"/>
  <c r="G11" i="35"/>
  <c r="H10" i="35"/>
  <c r="G10" i="35"/>
  <c r="J10" i="35" s="1"/>
  <c r="H9" i="35"/>
  <c r="G9" i="35"/>
  <c r="G64" i="34"/>
  <c r="G63" i="34"/>
  <c r="G62" i="34"/>
  <c r="G61" i="34"/>
  <c r="E56" i="34"/>
  <c r="D56" i="34"/>
  <c r="C56" i="34"/>
  <c r="E55" i="34"/>
  <c r="D55" i="34"/>
  <c r="C55" i="34"/>
  <c r="H49" i="34"/>
  <c r="G49" i="34"/>
  <c r="G48" i="34"/>
  <c r="H48" i="34" s="1"/>
  <c r="H47" i="34"/>
  <c r="G47" i="34"/>
  <c r="F40" i="34"/>
  <c r="E40" i="34"/>
  <c r="D40" i="34"/>
  <c r="C40" i="34"/>
  <c r="G39" i="34"/>
  <c r="G38" i="34"/>
  <c r="J37" i="34"/>
  <c r="H37" i="34"/>
  <c r="G37" i="34"/>
  <c r="J36" i="34"/>
  <c r="H36" i="34"/>
  <c r="G36" i="34"/>
  <c r="G35" i="34"/>
  <c r="J34" i="34"/>
  <c r="H34" i="34"/>
  <c r="G34" i="34"/>
  <c r="J33" i="34"/>
  <c r="H33" i="34"/>
  <c r="G33" i="34"/>
  <c r="G32" i="34"/>
  <c r="J31" i="34"/>
  <c r="H31" i="34"/>
  <c r="G31" i="34"/>
  <c r="J30" i="34"/>
  <c r="H30" i="34"/>
  <c r="G30" i="34"/>
  <c r="G29" i="34"/>
  <c r="J28" i="34"/>
  <c r="H28" i="34"/>
  <c r="G28" i="34"/>
  <c r="J27" i="34"/>
  <c r="H27" i="34"/>
  <c r="G27" i="34"/>
  <c r="G26" i="34"/>
  <c r="J25" i="34"/>
  <c r="H25" i="34"/>
  <c r="G25" i="34"/>
  <c r="J24" i="34"/>
  <c r="H24" i="34"/>
  <c r="G24" i="34"/>
  <c r="G23" i="34"/>
  <c r="J22" i="34"/>
  <c r="H22" i="34"/>
  <c r="G22" i="34"/>
  <c r="J21" i="34"/>
  <c r="H21" i="34"/>
  <c r="G21" i="34"/>
  <c r="G20" i="34"/>
  <c r="H20" i="34" s="1"/>
  <c r="H19" i="34"/>
  <c r="G19" i="34"/>
  <c r="G18" i="34"/>
  <c r="J17" i="34"/>
  <c r="H17" i="34"/>
  <c r="G17" i="34"/>
  <c r="J16" i="34"/>
  <c r="H16" i="34"/>
  <c r="G16" i="34"/>
  <c r="G15" i="34"/>
  <c r="G14" i="34"/>
  <c r="H13" i="34"/>
  <c r="G13" i="34"/>
  <c r="J13" i="34" s="1"/>
  <c r="G12" i="34"/>
  <c r="J12" i="34" s="1"/>
  <c r="G11" i="34"/>
  <c r="H10" i="34"/>
  <c r="G10" i="34"/>
  <c r="J10" i="34" s="1"/>
  <c r="G9" i="34"/>
  <c r="G68" i="33"/>
  <c r="G67" i="33"/>
  <c r="G66" i="33"/>
  <c r="G65" i="33"/>
  <c r="E60" i="33"/>
  <c r="D60" i="33"/>
  <c r="C60" i="33"/>
  <c r="E59" i="33"/>
  <c r="D59" i="33"/>
  <c r="C59" i="33"/>
  <c r="G53" i="33"/>
  <c r="H53" i="33" s="1"/>
  <c r="H52" i="33"/>
  <c r="G52" i="33"/>
  <c r="G51" i="33"/>
  <c r="H51" i="33" s="1"/>
  <c r="F44" i="33"/>
  <c r="E44" i="33"/>
  <c r="D44" i="33"/>
  <c r="C44" i="33"/>
  <c r="G43" i="33"/>
  <c r="J43" i="33" s="1"/>
  <c r="J42" i="33"/>
  <c r="G42" i="33"/>
  <c r="H41" i="33"/>
  <c r="G41" i="33"/>
  <c r="J41" i="33" s="1"/>
  <c r="H40" i="33"/>
  <c r="G40" i="33"/>
  <c r="J39" i="33"/>
  <c r="H39" i="33"/>
  <c r="G39" i="33"/>
  <c r="G38" i="33"/>
  <c r="J37" i="33"/>
  <c r="H37" i="33"/>
  <c r="G37" i="33"/>
  <c r="J36" i="33"/>
  <c r="H36" i="33"/>
  <c r="G36" i="33"/>
  <c r="G35" i="33"/>
  <c r="J34" i="33"/>
  <c r="H34" i="33"/>
  <c r="G34" i="33"/>
  <c r="J33" i="33"/>
  <c r="H33" i="33"/>
  <c r="G33" i="33"/>
  <c r="G32" i="33"/>
  <c r="J31" i="33"/>
  <c r="H31" i="33"/>
  <c r="G31" i="33"/>
  <c r="J30" i="33"/>
  <c r="H30" i="33"/>
  <c r="G30" i="33"/>
  <c r="G29" i="33"/>
  <c r="J28" i="33"/>
  <c r="H28" i="33"/>
  <c r="G28" i="33"/>
  <c r="J27" i="33"/>
  <c r="H27" i="33"/>
  <c r="G27" i="33"/>
  <c r="G26" i="33"/>
  <c r="J25" i="33"/>
  <c r="H25" i="33"/>
  <c r="G25" i="33"/>
  <c r="J24" i="33"/>
  <c r="H24" i="33"/>
  <c r="G24" i="33"/>
  <c r="G23" i="33"/>
  <c r="J22" i="33"/>
  <c r="H22" i="33"/>
  <c r="G22" i="33"/>
  <c r="J21" i="33"/>
  <c r="H21" i="33"/>
  <c r="G21" i="33"/>
  <c r="G20" i="33"/>
  <c r="G19" i="33"/>
  <c r="H18" i="33"/>
  <c r="G18" i="33"/>
  <c r="J18" i="33" s="1"/>
  <c r="G17" i="33"/>
  <c r="J17" i="33" s="1"/>
  <c r="G16" i="33"/>
  <c r="H15" i="33"/>
  <c r="G15" i="33"/>
  <c r="J15" i="33" s="1"/>
  <c r="G14" i="33"/>
  <c r="J14" i="33" s="1"/>
  <c r="G13" i="33"/>
  <c r="G12" i="33"/>
  <c r="J11" i="33"/>
  <c r="H11" i="33"/>
  <c r="G11" i="33"/>
  <c r="H10" i="33"/>
  <c r="G10" i="33"/>
  <c r="H9" i="33"/>
  <c r="G9" i="33"/>
  <c r="G69" i="32"/>
  <c r="G68" i="32"/>
  <c r="G67" i="32"/>
  <c r="G66" i="32"/>
  <c r="E61" i="32"/>
  <c r="D61" i="32"/>
  <c r="C61" i="32"/>
  <c r="E60" i="32"/>
  <c r="D60" i="32"/>
  <c r="C60" i="32"/>
  <c r="H54" i="32"/>
  <c r="G54" i="32"/>
  <c r="G53" i="32"/>
  <c r="H53" i="32" s="1"/>
  <c r="H52" i="32"/>
  <c r="G52" i="32"/>
  <c r="F45" i="32"/>
  <c r="E45" i="32"/>
  <c r="D45" i="32"/>
  <c r="C45" i="32"/>
  <c r="G44" i="32"/>
  <c r="G43" i="32"/>
  <c r="J42" i="32"/>
  <c r="H42" i="32"/>
  <c r="G42" i="32"/>
  <c r="J41" i="32"/>
  <c r="H41" i="32"/>
  <c r="G41" i="32"/>
  <c r="G40" i="32"/>
  <c r="H40" i="32" s="1"/>
  <c r="G39" i="32"/>
  <c r="H38" i="32"/>
  <c r="G38" i="32"/>
  <c r="J38" i="32" s="1"/>
  <c r="G37" i="32"/>
  <c r="J37" i="32" s="1"/>
  <c r="H36" i="32"/>
  <c r="G36" i="32"/>
  <c r="G35" i="32"/>
  <c r="H35" i="32" s="1"/>
  <c r="H34" i="32"/>
  <c r="G34" i="32"/>
  <c r="G33" i="32"/>
  <c r="G32" i="32"/>
  <c r="H31" i="32"/>
  <c r="G31" i="32"/>
  <c r="J31" i="32" s="1"/>
  <c r="G30" i="32"/>
  <c r="J30" i="32" s="1"/>
  <c r="G29" i="32"/>
  <c r="H28" i="32"/>
  <c r="G28" i="32"/>
  <c r="J28" i="32" s="1"/>
  <c r="J27" i="32"/>
  <c r="H27" i="32"/>
  <c r="G27" i="32"/>
  <c r="G26" i="32"/>
  <c r="H25" i="32"/>
  <c r="G25" i="32"/>
  <c r="J25" i="32" s="1"/>
  <c r="J24" i="32"/>
  <c r="H24" i="32"/>
  <c r="G24" i="32"/>
  <c r="J23" i="32"/>
  <c r="G23" i="32"/>
  <c r="H22" i="32"/>
  <c r="G22" i="32"/>
  <c r="J22" i="32" s="1"/>
  <c r="J21" i="32"/>
  <c r="H21" i="32"/>
  <c r="G21" i="32"/>
  <c r="G20" i="32"/>
  <c r="J19" i="32"/>
  <c r="H19" i="32"/>
  <c r="G19" i="32"/>
  <c r="J18" i="32"/>
  <c r="H18" i="32"/>
  <c r="G18" i="32"/>
  <c r="G17" i="32"/>
  <c r="J16" i="32"/>
  <c r="H16" i="32"/>
  <c r="G16" i="32"/>
  <c r="J15" i="32"/>
  <c r="H15" i="32"/>
  <c r="G15" i="32"/>
  <c r="G14" i="32"/>
  <c r="J13" i="32"/>
  <c r="H13" i="32"/>
  <c r="G13" i="32"/>
  <c r="J12" i="32"/>
  <c r="H12" i="32"/>
  <c r="G12" i="32"/>
  <c r="G11" i="32"/>
  <c r="J10" i="32"/>
  <c r="H10" i="32"/>
  <c r="G10" i="32"/>
  <c r="J9" i="32"/>
  <c r="H9" i="32"/>
  <c r="G9" i="32"/>
  <c r="G65" i="31"/>
  <c r="G64" i="31"/>
  <c r="G63" i="31"/>
  <c r="G62" i="31"/>
  <c r="E57" i="31"/>
  <c r="D57" i="31"/>
  <c r="C57" i="31"/>
  <c r="E56" i="31"/>
  <c r="D56" i="31"/>
  <c r="C56" i="31"/>
  <c r="H50" i="31"/>
  <c r="G50" i="31"/>
  <c r="H49" i="31"/>
  <c r="G49" i="31"/>
  <c r="G48" i="31"/>
  <c r="H48" i="31" s="1"/>
  <c r="G41" i="31"/>
  <c r="F41" i="31"/>
  <c r="E41" i="31"/>
  <c r="D41" i="31"/>
  <c r="C41" i="31"/>
  <c r="H40" i="31"/>
  <c r="G40" i="31"/>
  <c r="I40" i="31" s="1"/>
  <c r="G39" i="31"/>
  <c r="H39" i="31" s="1"/>
  <c r="J38" i="31"/>
  <c r="G38" i="31"/>
  <c r="H37" i="31"/>
  <c r="G37" i="31"/>
  <c r="J37" i="31" s="1"/>
  <c r="G36" i="31"/>
  <c r="H36" i="31" s="1"/>
  <c r="J35" i="31"/>
  <c r="G35" i="31"/>
  <c r="H34" i="31"/>
  <c r="G34" i="31"/>
  <c r="J34" i="31" s="1"/>
  <c r="G33" i="31"/>
  <c r="H33" i="31" s="1"/>
  <c r="I32" i="31"/>
  <c r="H32" i="31"/>
  <c r="G32" i="31"/>
  <c r="J31" i="31"/>
  <c r="G31" i="31"/>
  <c r="J30" i="31"/>
  <c r="H30" i="31"/>
  <c r="G30" i="31"/>
  <c r="J29" i="31"/>
  <c r="H29" i="31"/>
  <c r="G29" i="31"/>
  <c r="J28" i="31"/>
  <c r="G28" i="31"/>
  <c r="J27" i="31"/>
  <c r="H27" i="31"/>
  <c r="G27" i="31"/>
  <c r="J26" i="31"/>
  <c r="I26" i="31"/>
  <c r="H26" i="31"/>
  <c r="G26" i="31"/>
  <c r="J25" i="31"/>
  <c r="G25" i="31"/>
  <c r="J24" i="31"/>
  <c r="H24" i="31"/>
  <c r="G24" i="31"/>
  <c r="J23" i="31"/>
  <c r="H23" i="31"/>
  <c r="G23" i="31"/>
  <c r="J22" i="31"/>
  <c r="G22" i="31"/>
  <c r="J21" i="31"/>
  <c r="H21" i="31"/>
  <c r="G21" i="31"/>
  <c r="J20" i="31"/>
  <c r="I20" i="31"/>
  <c r="H20" i="31"/>
  <c r="G20" i="31"/>
  <c r="J19" i="31"/>
  <c r="G19" i="31"/>
  <c r="J18" i="31"/>
  <c r="H18" i="31"/>
  <c r="G18" i="31"/>
  <c r="J17" i="31"/>
  <c r="H17" i="31"/>
  <c r="G17" i="31"/>
  <c r="J16" i="31"/>
  <c r="G16" i="31"/>
  <c r="J15" i="31"/>
  <c r="H15" i="31"/>
  <c r="G15" i="31"/>
  <c r="J14" i="31"/>
  <c r="I14" i="31"/>
  <c r="H14" i="31"/>
  <c r="G14" i="31"/>
  <c r="J13" i="31"/>
  <c r="G13" i="31"/>
  <c r="J12" i="31"/>
  <c r="H12" i="31"/>
  <c r="G12" i="31"/>
  <c r="J11" i="31"/>
  <c r="H11" i="31"/>
  <c r="G11" i="31"/>
  <c r="J10" i="31"/>
  <c r="G10" i="31"/>
  <c r="G9" i="31"/>
  <c r="G62" i="30"/>
  <c r="G61" i="30"/>
  <c r="G60" i="30"/>
  <c r="G59" i="30"/>
  <c r="E54" i="30"/>
  <c r="D54" i="30"/>
  <c r="C54" i="30"/>
  <c r="E53" i="30"/>
  <c r="D53" i="30"/>
  <c r="C53" i="30"/>
  <c r="G47" i="30"/>
  <c r="H47" i="30" s="1"/>
  <c r="G46" i="30"/>
  <c r="H46" i="30" s="1"/>
  <c r="H45" i="30"/>
  <c r="G45" i="30"/>
  <c r="F38" i="30"/>
  <c r="E38" i="30"/>
  <c r="D38" i="30"/>
  <c r="C38" i="30"/>
  <c r="H37" i="30"/>
  <c r="G37" i="30"/>
  <c r="G36" i="30"/>
  <c r="J35" i="30"/>
  <c r="H35" i="30"/>
  <c r="G35" i="30"/>
  <c r="H34" i="30"/>
  <c r="G34" i="30"/>
  <c r="J34" i="30" s="1"/>
  <c r="G33" i="30"/>
  <c r="H33" i="30" s="1"/>
  <c r="J32" i="30"/>
  <c r="G32" i="30"/>
  <c r="H32" i="30" s="1"/>
  <c r="G31" i="30"/>
  <c r="G30" i="30"/>
  <c r="H29" i="30"/>
  <c r="G29" i="30"/>
  <c r="J29" i="30" s="1"/>
  <c r="J28" i="30"/>
  <c r="G28" i="30"/>
  <c r="H28" i="30" s="1"/>
  <c r="J27" i="30"/>
  <c r="G27" i="30"/>
  <c r="H26" i="30"/>
  <c r="G26" i="30"/>
  <c r="J26" i="30" s="1"/>
  <c r="J25" i="30"/>
  <c r="G25" i="30"/>
  <c r="H25" i="30" s="1"/>
  <c r="G24" i="30"/>
  <c r="G23" i="30"/>
  <c r="J22" i="30"/>
  <c r="H22" i="30"/>
  <c r="G22" i="30"/>
  <c r="G21" i="30"/>
  <c r="H21" i="30" s="1"/>
  <c r="J20" i="30"/>
  <c r="G20" i="30"/>
  <c r="J19" i="30"/>
  <c r="H19" i="30"/>
  <c r="G19" i="30"/>
  <c r="G18" i="30"/>
  <c r="H18" i="30" s="1"/>
  <c r="G17" i="30"/>
  <c r="J16" i="30"/>
  <c r="H16" i="30"/>
  <c r="G16" i="30"/>
  <c r="G15" i="30"/>
  <c r="H15" i="30" s="1"/>
  <c r="G14" i="30"/>
  <c r="J13" i="30"/>
  <c r="H13" i="30"/>
  <c r="G13" i="30"/>
  <c r="G12" i="30"/>
  <c r="H12" i="30" s="1"/>
  <c r="J11" i="30"/>
  <c r="G11" i="30"/>
  <c r="J10" i="30"/>
  <c r="H10" i="30"/>
  <c r="G10" i="30"/>
  <c r="G9" i="30"/>
  <c r="J9" i="30" s="1"/>
  <c r="G67" i="29"/>
  <c r="G66" i="29"/>
  <c r="G65" i="29"/>
  <c r="G64" i="29"/>
  <c r="E59" i="29"/>
  <c r="D59" i="29"/>
  <c r="C59" i="29"/>
  <c r="E58" i="29"/>
  <c r="D58" i="29"/>
  <c r="C58" i="29"/>
  <c r="G52" i="29"/>
  <c r="H52" i="29" s="1"/>
  <c r="H51" i="29"/>
  <c r="G51" i="29"/>
  <c r="G50" i="29"/>
  <c r="H50" i="29" s="1"/>
  <c r="F43" i="29"/>
  <c r="E43" i="29"/>
  <c r="D43" i="29"/>
  <c r="C43" i="29"/>
  <c r="H42" i="29"/>
  <c r="G42" i="29"/>
  <c r="H41" i="29"/>
  <c r="G41" i="29"/>
  <c r="H40" i="29"/>
  <c r="G40" i="29"/>
  <c r="H39" i="29"/>
  <c r="G39" i="29"/>
  <c r="G38" i="29"/>
  <c r="H38" i="29" s="1"/>
  <c r="G37" i="29"/>
  <c r="J36" i="29"/>
  <c r="H36" i="29"/>
  <c r="G36" i="29"/>
  <c r="G35" i="29"/>
  <c r="H35" i="29" s="1"/>
  <c r="G34" i="29"/>
  <c r="H33" i="29"/>
  <c r="G33" i="29"/>
  <c r="J33" i="29" s="1"/>
  <c r="G32" i="29"/>
  <c r="H32" i="29" s="1"/>
  <c r="G31" i="29"/>
  <c r="H30" i="29"/>
  <c r="G30" i="29"/>
  <c r="J30" i="29" s="1"/>
  <c r="G29" i="29"/>
  <c r="H29" i="29" s="1"/>
  <c r="G28" i="29"/>
  <c r="G27" i="29"/>
  <c r="J26" i="29"/>
  <c r="H26" i="29"/>
  <c r="G26" i="29"/>
  <c r="J25" i="29"/>
  <c r="G25" i="29"/>
  <c r="H25" i="29" s="1"/>
  <c r="G24" i="29"/>
  <c r="J23" i="29"/>
  <c r="H23" i="29"/>
  <c r="G23" i="29"/>
  <c r="J22" i="29"/>
  <c r="G22" i="29"/>
  <c r="H22" i="29" s="1"/>
  <c r="G21" i="29"/>
  <c r="J20" i="29"/>
  <c r="H20" i="29"/>
  <c r="G20" i="29"/>
  <c r="J19" i="29"/>
  <c r="G19" i="29"/>
  <c r="H19" i="29" s="1"/>
  <c r="J18" i="29"/>
  <c r="G18" i="29"/>
  <c r="J17" i="29"/>
  <c r="H17" i="29"/>
  <c r="G17" i="29"/>
  <c r="J16" i="29"/>
  <c r="G16" i="29"/>
  <c r="H16" i="29" s="1"/>
  <c r="G15" i="29"/>
  <c r="J14" i="29"/>
  <c r="H14" i="29"/>
  <c r="G14" i="29"/>
  <c r="J13" i="29"/>
  <c r="G13" i="29"/>
  <c r="H13" i="29" s="1"/>
  <c r="G12" i="29"/>
  <c r="J11" i="29"/>
  <c r="H11" i="29"/>
  <c r="G11" i="29"/>
  <c r="J10" i="29"/>
  <c r="G10" i="29"/>
  <c r="H10" i="29" s="1"/>
  <c r="J9" i="29"/>
  <c r="G9" i="29"/>
  <c r="G62" i="28"/>
  <c r="G61" i="28"/>
  <c r="G60" i="28"/>
  <c r="G59" i="28"/>
  <c r="E54" i="28"/>
  <c r="D54" i="28"/>
  <c r="C54" i="28"/>
  <c r="E53" i="28"/>
  <c r="D53" i="28"/>
  <c r="C53" i="28"/>
  <c r="G47" i="28"/>
  <c r="H47" i="28" s="1"/>
  <c r="G46" i="28"/>
  <c r="H46" i="28" s="1"/>
  <c r="H45" i="28"/>
  <c r="G45" i="28"/>
  <c r="F38" i="28"/>
  <c r="E38" i="28"/>
  <c r="D38" i="28"/>
  <c r="C38" i="28"/>
  <c r="G37" i="28"/>
  <c r="H37" i="28" s="1"/>
  <c r="G36" i="28"/>
  <c r="H36" i="28" s="1"/>
  <c r="G35" i="28"/>
  <c r="H34" i="28"/>
  <c r="G34" i="28"/>
  <c r="J34" i="28" s="1"/>
  <c r="H33" i="28"/>
  <c r="G33" i="28"/>
  <c r="H32" i="28"/>
  <c r="G32" i="28"/>
  <c r="J31" i="28"/>
  <c r="G31" i="28"/>
  <c r="H31" i="28" s="1"/>
  <c r="J30" i="28"/>
  <c r="G30" i="28"/>
  <c r="H29" i="28"/>
  <c r="G29" i="28"/>
  <c r="J29" i="28" s="1"/>
  <c r="J28" i="28"/>
  <c r="G28" i="28"/>
  <c r="H28" i="28" s="1"/>
  <c r="G27" i="28"/>
  <c r="H27" i="28" s="1"/>
  <c r="G26" i="28"/>
  <c r="G25" i="28"/>
  <c r="G24" i="28"/>
  <c r="J23" i="28"/>
  <c r="H23" i="28"/>
  <c r="G23" i="28"/>
  <c r="G22" i="28"/>
  <c r="H22" i="28" s="1"/>
  <c r="J21" i="28"/>
  <c r="G21" i="28"/>
  <c r="J20" i="28"/>
  <c r="H20" i="28"/>
  <c r="G20" i="28"/>
  <c r="H19" i="28"/>
  <c r="G19" i="28"/>
  <c r="H18" i="28"/>
  <c r="G18" i="28"/>
  <c r="G17" i="28"/>
  <c r="H17" i="28" s="1"/>
  <c r="G16" i="28"/>
  <c r="H16" i="28" s="1"/>
  <c r="G15" i="28"/>
  <c r="H14" i="28"/>
  <c r="G14" i="28"/>
  <c r="J14" i="28" s="1"/>
  <c r="H13" i="28"/>
  <c r="G13" i="28"/>
  <c r="H12" i="28"/>
  <c r="G12" i="28"/>
  <c r="J11" i="28"/>
  <c r="G11" i="28"/>
  <c r="H11" i="28" s="1"/>
  <c r="J10" i="28"/>
  <c r="G10" i="28"/>
  <c r="G9" i="28"/>
  <c r="G72" i="27"/>
  <c r="G71" i="27"/>
  <c r="G70" i="27"/>
  <c r="G69" i="27"/>
  <c r="E64" i="27"/>
  <c r="D64" i="27"/>
  <c r="C64" i="27"/>
  <c r="E63" i="27"/>
  <c r="D63" i="27"/>
  <c r="C63" i="27"/>
  <c r="G57" i="27"/>
  <c r="H57" i="27" s="1"/>
  <c r="G56" i="27"/>
  <c r="H56" i="27" s="1"/>
  <c r="H55" i="27"/>
  <c r="G55" i="27"/>
  <c r="F48" i="27"/>
  <c r="E48" i="27"/>
  <c r="D48" i="27"/>
  <c r="C48" i="27"/>
  <c r="G47" i="27"/>
  <c r="H47" i="27" s="1"/>
  <c r="G46" i="27"/>
  <c r="H46" i="27" s="1"/>
  <c r="G45" i="27"/>
  <c r="H45" i="27" s="1"/>
  <c r="G44" i="27"/>
  <c r="H44" i="27" s="1"/>
  <c r="G43" i="27"/>
  <c r="H42" i="27"/>
  <c r="G42" i="27"/>
  <c r="J42" i="27" s="1"/>
  <c r="J41" i="27"/>
  <c r="G41" i="27"/>
  <c r="H41" i="27" s="1"/>
  <c r="G40" i="27"/>
  <c r="H40" i="27" s="1"/>
  <c r="G39" i="27"/>
  <c r="H39" i="27" s="1"/>
  <c r="G38" i="27"/>
  <c r="H38" i="27" s="1"/>
  <c r="J37" i="27"/>
  <c r="G37" i="27"/>
  <c r="H36" i="27"/>
  <c r="G36" i="27"/>
  <c r="J36" i="27" s="1"/>
  <c r="G35" i="27"/>
  <c r="J35" i="27" s="1"/>
  <c r="J34" i="27"/>
  <c r="G34" i="27"/>
  <c r="H33" i="27"/>
  <c r="G33" i="27"/>
  <c r="J33" i="27" s="1"/>
  <c r="G32" i="27"/>
  <c r="J32" i="27" s="1"/>
  <c r="J31" i="27"/>
  <c r="G31" i="27"/>
  <c r="H30" i="27"/>
  <c r="G30" i="27"/>
  <c r="J30" i="27" s="1"/>
  <c r="G29" i="27"/>
  <c r="J29" i="27" s="1"/>
  <c r="J28" i="27"/>
  <c r="G28" i="27"/>
  <c r="J27" i="27"/>
  <c r="H27" i="27"/>
  <c r="G27" i="27"/>
  <c r="J26" i="27"/>
  <c r="H26" i="27"/>
  <c r="G26" i="27"/>
  <c r="J25" i="27"/>
  <c r="G25" i="27"/>
  <c r="J24" i="27"/>
  <c r="H24" i="27"/>
  <c r="G24" i="27"/>
  <c r="G23" i="27"/>
  <c r="J23" i="27" s="1"/>
  <c r="J22" i="27"/>
  <c r="G22" i="27"/>
  <c r="J21" i="27"/>
  <c r="H21" i="27"/>
  <c r="G21" i="27"/>
  <c r="H20" i="27"/>
  <c r="G20" i="27"/>
  <c r="J20" i="27" s="1"/>
  <c r="J19" i="27"/>
  <c r="G19" i="27"/>
  <c r="J18" i="27"/>
  <c r="H18" i="27"/>
  <c r="G18" i="27"/>
  <c r="J17" i="27"/>
  <c r="H17" i="27"/>
  <c r="G17" i="27"/>
  <c r="J16" i="27"/>
  <c r="G16" i="27"/>
  <c r="J15" i="27"/>
  <c r="H15" i="27"/>
  <c r="G15" i="27"/>
  <c r="J14" i="27"/>
  <c r="H14" i="27"/>
  <c r="G14" i="27"/>
  <c r="J13" i="27"/>
  <c r="G13" i="27"/>
  <c r="J12" i="27"/>
  <c r="H12" i="27"/>
  <c r="G12" i="27"/>
  <c r="J11" i="27"/>
  <c r="H11" i="27"/>
  <c r="G11" i="27"/>
  <c r="J10" i="27"/>
  <c r="G10" i="27"/>
  <c r="J9" i="27"/>
  <c r="H9" i="27"/>
  <c r="G9" i="27"/>
  <c r="G61" i="26"/>
  <c r="G60" i="26"/>
  <c r="G59" i="26"/>
  <c r="G58" i="26"/>
  <c r="E53" i="26"/>
  <c r="D53" i="26"/>
  <c r="C53" i="26"/>
  <c r="E52" i="26"/>
  <c r="D52" i="26"/>
  <c r="C52" i="26"/>
  <c r="H46" i="26"/>
  <c r="G46" i="26"/>
  <c r="G45" i="26"/>
  <c r="H45" i="26" s="1"/>
  <c r="G44" i="26"/>
  <c r="H44" i="26" s="1"/>
  <c r="F37" i="26"/>
  <c r="E37" i="26"/>
  <c r="D37" i="26"/>
  <c r="C37" i="26"/>
  <c r="G36" i="26"/>
  <c r="J35" i="26"/>
  <c r="H35" i="26"/>
  <c r="G35" i="26"/>
  <c r="H34" i="26"/>
  <c r="G34" i="26"/>
  <c r="J34" i="26" s="1"/>
  <c r="G33" i="26"/>
  <c r="G32" i="26"/>
  <c r="G31" i="26"/>
  <c r="G30" i="26"/>
  <c r="G29" i="26"/>
  <c r="J28" i="26"/>
  <c r="H28" i="26"/>
  <c r="G28" i="26"/>
  <c r="G27" i="26"/>
  <c r="H27" i="26" s="1"/>
  <c r="J26" i="26"/>
  <c r="G26" i="26"/>
  <c r="J25" i="26"/>
  <c r="H25" i="26"/>
  <c r="G25" i="26"/>
  <c r="H24" i="26"/>
  <c r="G24" i="26"/>
  <c r="H23" i="26"/>
  <c r="G23" i="26"/>
  <c r="H22" i="26"/>
  <c r="G22" i="26"/>
  <c r="H21" i="26"/>
  <c r="G21" i="26"/>
  <c r="H20" i="26"/>
  <c r="G20" i="26"/>
  <c r="H19" i="26"/>
  <c r="G19" i="26"/>
  <c r="H18" i="26"/>
  <c r="G18" i="26"/>
  <c r="H17" i="26"/>
  <c r="G17" i="26"/>
  <c r="G16" i="26"/>
  <c r="H16" i="26" s="1"/>
  <c r="G15" i="26"/>
  <c r="H15" i="26" s="1"/>
  <c r="G14" i="26"/>
  <c r="J13" i="26"/>
  <c r="H13" i="26"/>
  <c r="G13" i="26"/>
  <c r="H12" i="26"/>
  <c r="G12" i="26"/>
  <c r="J11" i="26"/>
  <c r="G11" i="26"/>
  <c r="H11" i="26" s="1"/>
  <c r="J10" i="26"/>
  <c r="G10" i="26"/>
  <c r="G9" i="26"/>
  <c r="G63" i="25"/>
  <c r="G62" i="25"/>
  <c r="G61" i="25"/>
  <c r="G60" i="25"/>
  <c r="E55" i="25"/>
  <c r="D55" i="25"/>
  <c r="C55" i="25"/>
  <c r="E54" i="25"/>
  <c r="D54" i="25"/>
  <c r="C54" i="25"/>
  <c r="G48" i="25"/>
  <c r="H48" i="25" s="1"/>
  <c r="G47" i="25"/>
  <c r="H47" i="25" s="1"/>
  <c r="H46" i="25"/>
  <c r="G46" i="25"/>
  <c r="F39" i="25"/>
  <c r="E39" i="25"/>
  <c r="D39" i="25"/>
  <c r="D40" i="25" s="1"/>
  <c r="C39" i="25"/>
  <c r="G38" i="25"/>
  <c r="H38" i="25" s="1"/>
  <c r="G37" i="25"/>
  <c r="H37" i="25" s="1"/>
  <c r="J36" i="25"/>
  <c r="G36" i="25"/>
  <c r="H35" i="25"/>
  <c r="G35" i="25"/>
  <c r="J35" i="25" s="1"/>
  <c r="H34" i="25"/>
  <c r="G34" i="25"/>
  <c r="H33" i="25"/>
  <c r="G33" i="25"/>
  <c r="H32" i="25"/>
  <c r="G32" i="25"/>
  <c r="G31" i="25"/>
  <c r="H31" i="25" s="1"/>
  <c r="J30" i="25"/>
  <c r="G30" i="25"/>
  <c r="H29" i="25"/>
  <c r="G29" i="25"/>
  <c r="J29" i="25" s="1"/>
  <c r="G28" i="25"/>
  <c r="H28" i="25" s="1"/>
  <c r="J27" i="25"/>
  <c r="G27" i="25"/>
  <c r="J26" i="25"/>
  <c r="H26" i="25"/>
  <c r="G26" i="25"/>
  <c r="H25" i="25"/>
  <c r="G25" i="25"/>
  <c r="J25" i="25" s="1"/>
  <c r="G24" i="25"/>
  <c r="J23" i="25"/>
  <c r="H23" i="25"/>
  <c r="G23" i="25"/>
  <c r="I23" i="25" s="1"/>
  <c r="J22" i="25"/>
  <c r="H22" i="25"/>
  <c r="G22" i="25"/>
  <c r="G21" i="25"/>
  <c r="J20" i="25"/>
  <c r="H20" i="25"/>
  <c r="G20" i="25"/>
  <c r="H19" i="25"/>
  <c r="G19" i="25"/>
  <c r="J18" i="25"/>
  <c r="G18" i="25"/>
  <c r="H18" i="25" s="1"/>
  <c r="J17" i="25"/>
  <c r="G17" i="25"/>
  <c r="H16" i="25"/>
  <c r="G16" i="25"/>
  <c r="J16" i="25" s="1"/>
  <c r="G15" i="25"/>
  <c r="J15" i="25" s="1"/>
  <c r="J14" i="25"/>
  <c r="G14" i="25"/>
  <c r="H13" i="25"/>
  <c r="G13" i="25"/>
  <c r="J13" i="25" s="1"/>
  <c r="G12" i="25"/>
  <c r="J12" i="25" s="1"/>
  <c r="J11" i="25"/>
  <c r="G11" i="25"/>
  <c r="H10" i="25"/>
  <c r="G10" i="25"/>
  <c r="J10" i="25" s="1"/>
  <c r="J9" i="25"/>
  <c r="G9" i="25"/>
  <c r="G39" i="25" s="1"/>
  <c r="G67" i="24"/>
  <c r="G66" i="24"/>
  <c r="G65" i="24"/>
  <c r="G64" i="24"/>
  <c r="E59" i="24"/>
  <c r="D59" i="24"/>
  <c r="C59" i="24"/>
  <c r="E58" i="24"/>
  <c r="D58" i="24"/>
  <c r="C58" i="24"/>
  <c r="G52" i="24"/>
  <c r="H52" i="24" s="1"/>
  <c r="H51" i="24"/>
  <c r="G51" i="24"/>
  <c r="G50" i="24"/>
  <c r="H50" i="24" s="1"/>
  <c r="F43" i="24"/>
  <c r="E43" i="24"/>
  <c r="D43" i="24"/>
  <c r="C43" i="24"/>
  <c r="H42" i="24"/>
  <c r="G42" i="24"/>
  <c r="J42" i="24" s="1"/>
  <c r="H41" i="24"/>
  <c r="G41" i="24"/>
  <c r="J40" i="24"/>
  <c r="G40" i="24"/>
  <c r="H39" i="24"/>
  <c r="G39" i="24"/>
  <c r="J39" i="24" s="1"/>
  <c r="H38" i="24"/>
  <c r="G38" i="24"/>
  <c r="H37" i="24"/>
  <c r="G37" i="24"/>
  <c r="H36" i="24"/>
  <c r="G36" i="24"/>
  <c r="H35" i="24"/>
  <c r="G35" i="24"/>
  <c r="H34" i="24"/>
  <c r="G34" i="24"/>
  <c r="H33" i="24"/>
  <c r="G33" i="24"/>
  <c r="J32" i="24"/>
  <c r="H32" i="24"/>
  <c r="G32" i="24"/>
  <c r="G31" i="24"/>
  <c r="H31" i="24" s="1"/>
  <c r="G30" i="24"/>
  <c r="H29" i="24"/>
  <c r="G29" i="24"/>
  <c r="J29" i="24" s="1"/>
  <c r="G28" i="24"/>
  <c r="J28" i="24" s="1"/>
  <c r="G27" i="24"/>
  <c r="G26" i="24"/>
  <c r="J25" i="24"/>
  <c r="H25" i="24"/>
  <c r="G25" i="24"/>
  <c r="H24" i="24"/>
  <c r="G24" i="24"/>
  <c r="H23" i="24"/>
  <c r="G23" i="24"/>
  <c r="H22" i="24"/>
  <c r="G22" i="24"/>
  <c r="G21" i="24"/>
  <c r="J21" i="24" s="1"/>
  <c r="J20" i="24"/>
  <c r="G20" i="24"/>
  <c r="G19" i="24"/>
  <c r="G18" i="24"/>
  <c r="H17" i="24"/>
  <c r="G17" i="24"/>
  <c r="J17" i="24" s="1"/>
  <c r="H16" i="24"/>
  <c r="G16" i="24"/>
  <c r="J15" i="24"/>
  <c r="G15" i="24"/>
  <c r="H15" i="24" s="1"/>
  <c r="G14" i="24"/>
  <c r="G13" i="24"/>
  <c r="G12" i="24"/>
  <c r="H11" i="24"/>
  <c r="G11" i="24"/>
  <c r="J11" i="24" s="1"/>
  <c r="J10" i="24"/>
  <c r="G10" i="24"/>
  <c r="H10" i="24" s="1"/>
  <c r="G9" i="24"/>
  <c r="H9" i="24" s="1"/>
  <c r="G65" i="23"/>
  <c r="G64" i="23"/>
  <c r="G63" i="23"/>
  <c r="G62" i="23"/>
  <c r="E57" i="23"/>
  <c r="D57" i="23"/>
  <c r="C57" i="23"/>
  <c r="E56" i="23"/>
  <c r="D56" i="23"/>
  <c r="C56" i="23"/>
  <c r="G50" i="23"/>
  <c r="H50" i="23" s="1"/>
  <c r="H49" i="23"/>
  <c r="G49" i="23"/>
  <c r="G48" i="23"/>
  <c r="H48" i="23" s="1"/>
  <c r="F41" i="23"/>
  <c r="E41" i="23"/>
  <c r="D41" i="23"/>
  <c r="C41" i="23"/>
  <c r="H40" i="23"/>
  <c r="G40" i="23"/>
  <c r="J39" i="23"/>
  <c r="G39" i="23"/>
  <c r="H39" i="23" s="1"/>
  <c r="G38" i="23"/>
  <c r="G37" i="23"/>
  <c r="H36" i="23"/>
  <c r="G36" i="23"/>
  <c r="J36" i="23" s="1"/>
  <c r="H35" i="23"/>
  <c r="G35" i="23"/>
  <c r="H34" i="23"/>
  <c r="G34" i="23"/>
  <c r="J33" i="23"/>
  <c r="G33" i="23"/>
  <c r="H33" i="23" s="1"/>
  <c r="G32" i="23"/>
  <c r="H31" i="23"/>
  <c r="G31" i="23"/>
  <c r="J31" i="23" s="1"/>
  <c r="G30" i="23"/>
  <c r="J30" i="23" s="1"/>
  <c r="G29" i="23"/>
  <c r="H28" i="23"/>
  <c r="G28" i="23"/>
  <c r="J28" i="23" s="1"/>
  <c r="G27" i="23"/>
  <c r="J27" i="23" s="1"/>
  <c r="G26" i="23"/>
  <c r="H25" i="23"/>
  <c r="G25" i="23"/>
  <c r="J25" i="23" s="1"/>
  <c r="H24" i="23"/>
  <c r="G24" i="23"/>
  <c r="G23" i="23"/>
  <c r="H23" i="23" s="1"/>
  <c r="G22" i="23"/>
  <c r="G21" i="23"/>
  <c r="H20" i="23"/>
  <c r="G20" i="23"/>
  <c r="J20" i="23" s="1"/>
  <c r="J19" i="23"/>
  <c r="G19" i="23"/>
  <c r="H19" i="23" s="1"/>
  <c r="J18" i="23"/>
  <c r="G18" i="23"/>
  <c r="H17" i="23"/>
  <c r="G17" i="23"/>
  <c r="J17" i="23" s="1"/>
  <c r="G16" i="23"/>
  <c r="J16" i="23" s="1"/>
  <c r="J15" i="23"/>
  <c r="G15" i="23"/>
  <c r="H14" i="23"/>
  <c r="G14" i="23"/>
  <c r="J14" i="23" s="1"/>
  <c r="G13" i="23"/>
  <c r="J13" i="23" s="1"/>
  <c r="J12" i="23"/>
  <c r="G12" i="23"/>
  <c r="G11" i="23"/>
  <c r="G10" i="23"/>
  <c r="J9" i="23"/>
  <c r="H9" i="23"/>
  <c r="G9" i="23"/>
  <c r="G54" i="22"/>
  <c r="G53" i="22"/>
  <c r="G52" i="22"/>
  <c r="G51" i="22"/>
  <c r="E46" i="22"/>
  <c r="D46" i="22"/>
  <c r="C46" i="22"/>
  <c r="E45" i="22"/>
  <c r="D45" i="22"/>
  <c r="C45" i="22"/>
  <c r="H39" i="22"/>
  <c r="G39" i="22"/>
  <c r="G38" i="22"/>
  <c r="H38" i="22" s="1"/>
  <c r="G37" i="22"/>
  <c r="H37" i="22" s="1"/>
  <c r="F30" i="22"/>
  <c r="E30" i="22"/>
  <c r="D30" i="22"/>
  <c r="C30" i="22"/>
  <c r="G29" i="22"/>
  <c r="J28" i="22"/>
  <c r="H28" i="22"/>
  <c r="G28" i="22"/>
  <c r="H27" i="22"/>
  <c r="G27" i="22"/>
  <c r="J27" i="22" s="1"/>
  <c r="G26" i="22"/>
  <c r="H26" i="22" s="1"/>
  <c r="J25" i="22"/>
  <c r="G25" i="22"/>
  <c r="H24" i="22"/>
  <c r="G24" i="22"/>
  <c r="J24" i="22" s="1"/>
  <c r="G23" i="22"/>
  <c r="J23" i="22" s="1"/>
  <c r="J22" i="22"/>
  <c r="G22" i="22"/>
  <c r="H21" i="22"/>
  <c r="G21" i="22"/>
  <c r="J21" i="22" s="1"/>
  <c r="J20" i="22"/>
  <c r="G20" i="22"/>
  <c r="H20" i="22" s="1"/>
  <c r="G19" i="22"/>
  <c r="H18" i="22"/>
  <c r="G18" i="22"/>
  <c r="J18" i="22" s="1"/>
  <c r="G17" i="22"/>
  <c r="J17" i="22" s="1"/>
  <c r="G16" i="22"/>
  <c r="H15" i="22"/>
  <c r="G15" i="22"/>
  <c r="J15" i="22" s="1"/>
  <c r="G14" i="22"/>
  <c r="J14" i="22" s="1"/>
  <c r="G13" i="22"/>
  <c r="H12" i="22"/>
  <c r="G12" i="22"/>
  <c r="J12" i="22" s="1"/>
  <c r="G11" i="22"/>
  <c r="J11" i="22" s="1"/>
  <c r="G10" i="22"/>
  <c r="G9" i="22"/>
  <c r="G70" i="21"/>
  <c r="G69" i="21"/>
  <c r="G68" i="21"/>
  <c r="G67" i="21"/>
  <c r="E62" i="21"/>
  <c r="D62" i="21"/>
  <c r="C62" i="21"/>
  <c r="E61" i="21"/>
  <c r="D61" i="21"/>
  <c r="C61" i="21"/>
  <c r="G55" i="21"/>
  <c r="H55" i="21" s="1"/>
  <c r="G54" i="21"/>
  <c r="H54" i="21" s="1"/>
  <c r="H53" i="21"/>
  <c r="G53" i="21"/>
  <c r="F46" i="21"/>
  <c r="E46" i="21"/>
  <c r="D46" i="21"/>
  <c r="C46" i="21"/>
  <c r="J45" i="21"/>
  <c r="G45" i="21"/>
  <c r="H44" i="21"/>
  <c r="G44" i="21"/>
  <c r="J44" i="21" s="1"/>
  <c r="G43" i="21"/>
  <c r="H43" i="21" s="1"/>
  <c r="G42" i="21"/>
  <c r="H42" i="21" s="1"/>
  <c r="G41" i="21"/>
  <c r="H41" i="21" s="1"/>
  <c r="G40" i="21"/>
  <c r="H39" i="21"/>
  <c r="G39" i="21"/>
  <c r="J39" i="21" s="1"/>
  <c r="G38" i="21"/>
  <c r="H38" i="21" s="1"/>
  <c r="G37" i="21"/>
  <c r="H36" i="21"/>
  <c r="G36" i="21"/>
  <c r="J36" i="21" s="1"/>
  <c r="J35" i="21"/>
  <c r="H35" i="21"/>
  <c r="G35" i="21"/>
  <c r="J34" i="21"/>
  <c r="G34" i="21"/>
  <c r="G33" i="21"/>
  <c r="J32" i="21"/>
  <c r="H32" i="21"/>
  <c r="G32" i="21"/>
  <c r="G31" i="21"/>
  <c r="H31" i="21" s="1"/>
  <c r="G30" i="21"/>
  <c r="J29" i="21"/>
  <c r="H29" i="21"/>
  <c r="G29" i="21"/>
  <c r="G28" i="21"/>
  <c r="H28" i="21" s="1"/>
  <c r="J27" i="21"/>
  <c r="G27" i="21"/>
  <c r="J26" i="21"/>
  <c r="H26" i="21"/>
  <c r="G26" i="21"/>
  <c r="G25" i="21"/>
  <c r="H25" i="21" s="1"/>
  <c r="G24" i="21"/>
  <c r="J23" i="21"/>
  <c r="H23" i="21"/>
  <c r="G23" i="21"/>
  <c r="G22" i="21"/>
  <c r="H22" i="21" s="1"/>
  <c r="G21" i="21"/>
  <c r="J21" i="21" s="1"/>
  <c r="J20" i="21"/>
  <c r="H20" i="21"/>
  <c r="G20" i="21"/>
  <c r="G19" i="21"/>
  <c r="H19" i="21" s="1"/>
  <c r="G18" i="21"/>
  <c r="H18" i="21" s="1"/>
  <c r="G17" i="21"/>
  <c r="H16" i="21"/>
  <c r="G16" i="21"/>
  <c r="J16" i="21" s="1"/>
  <c r="J15" i="21"/>
  <c r="G15" i="21"/>
  <c r="H15" i="21" s="1"/>
  <c r="J14" i="21"/>
  <c r="G14" i="21"/>
  <c r="H13" i="21"/>
  <c r="G13" i="21"/>
  <c r="J13" i="21" s="1"/>
  <c r="J12" i="21"/>
  <c r="G12" i="21"/>
  <c r="H12" i="21" s="1"/>
  <c r="G11" i="21"/>
  <c r="H11" i="21" s="1"/>
  <c r="G10" i="21"/>
  <c r="H10" i="21" s="1"/>
  <c r="G9" i="21"/>
  <c r="G66" i="20"/>
  <c r="G65" i="20"/>
  <c r="G64" i="20"/>
  <c r="G63" i="20"/>
  <c r="E58" i="20"/>
  <c r="D58" i="20"/>
  <c r="C58" i="20"/>
  <c r="E57" i="20"/>
  <c r="D57" i="20"/>
  <c r="C57" i="20"/>
  <c r="G51" i="20"/>
  <c r="H51" i="20" s="1"/>
  <c r="H50" i="20"/>
  <c r="G50" i="20"/>
  <c r="G49" i="20"/>
  <c r="H49" i="20" s="1"/>
  <c r="F42" i="20"/>
  <c r="E42" i="20"/>
  <c r="D42" i="20"/>
  <c r="C42" i="20"/>
  <c r="G41" i="20"/>
  <c r="H41" i="20" s="1"/>
  <c r="G40" i="20"/>
  <c r="H40" i="20" s="1"/>
  <c r="G39" i="20"/>
  <c r="H38" i="20"/>
  <c r="G38" i="20"/>
  <c r="J38" i="20" s="1"/>
  <c r="J37" i="20"/>
  <c r="G37" i="20"/>
  <c r="H37" i="20" s="1"/>
  <c r="G36" i="20"/>
  <c r="H36" i="20" s="1"/>
  <c r="G35" i="20"/>
  <c r="H35" i="20" s="1"/>
  <c r="G34" i="20"/>
  <c r="H34" i="20" s="1"/>
  <c r="G33" i="20"/>
  <c r="H33" i="20" s="1"/>
  <c r="G32" i="20"/>
  <c r="H31" i="20"/>
  <c r="G31" i="20"/>
  <c r="J31" i="20" s="1"/>
  <c r="H30" i="20"/>
  <c r="G30" i="20"/>
  <c r="G29" i="20"/>
  <c r="H29" i="20" s="1"/>
  <c r="J28" i="20"/>
  <c r="G28" i="20"/>
  <c r="J27" i="20"/>
  <c r="H27" i="20"/>
  <c r="G27" i="20"/>
  <c r="G26" i="20"/>
  <c r="H26" i="20" s="1"/>
  <c r="G25" i="20"/>
  <c r="J24" i="20"/>
  <c r="H24" i="20"/>
  <c r="G24" i="20"/>
  <c r="H23" i="20"/>
  <c r="G23" i="20"/>
  <c r="J22" i="20"/>
  <c r="G22" i="20"/>
  <c r="H22" i="20" s="1"/>
  <c r="G21" i="20"/>
  <c r="H20" i="20"/>
  <c r="G20" i="20"/>
  <c r="J20" i="20" s="1"/>
  <c r="J19" i="20"/>
  <c r="G19" i="20"/>
  <c r="H19" i="20" s="1"/>
  <c r="J18" i="20"/>
  <c r="G18" i="20"/>
  <c r="H17" i="20"/>
  <c r="G17" i="20"/>
  <c r="J17" i="20" s="1"/>
  <c r="J16" i="20"/>
  <c r="G16" i="20"/>
  <c r="H16" i="20" s="1"/>
  <c r="G15" i="20"/>
  <c r="H14" i="20"/>
  <c r="G14" i="20"/>
  <c r="J14" i="20" s="1"/>
  <c r="J13" i="20"/>
  <c r="G13" i="20"/>
  <c r="H13" i="20" s="1"/>
  <c r="G12" i="20"/>
  <c r="H11" i="20"/>
  <c r="G11" i="20"/>
  <c r="J11" i="20" s="1"/>
  <c r="J10" i="20"/>
  <c r="G10" i="20"/>
  <c r="H10" i="20" s="1"/>
  <c r="J9" i="20"/>
  <c r="G9" i="20"/>
  <c r="G45" i="19"/>
  <c r="G44" i="19"/>
  <c r="G43" i="19"/>
  <c r="G42" i="19"/>
  <c r="E37" i="19"/>
  <c r="D37" i="19"/>
  <c r="C37" i="19"/>
  <c r="E36" i="19"/>
  <c r="D36" i="19"/>
  <c r="C36" i="19"/>
  <c r="G30" i="19"/>
  <c r="H30" i="19" s="1"/>
  <c r="G29" i="19"/>
  <c r="H29" i="19" s="1"/>
  <c r="H28" i="19"/>
  <c r="G28" i="19"/>
  <c r="F21" i="19"/>
  <c r="E21" i="19"/>
  <c r="D21" i="19"/>
  <c r="C21" i="19"/>
  <c r="G20" i="19"/>
  <c r="H20" i="19" s="1"/>
  <c r="J19" i="19"/>
  <c r="G19" i="19"/>
  <c r="H18" i="19"/>
  <c r="G18" i="19"/>
  <c r="J18" i="19" s="1"/>
  <c r="H17" i="19"/>
  <c r="G17" i="19"/>
  <c r="J16" i="19"/>
  <c r="G16" i="19"/>
  <c r="H16" i="19" s="1"/>
  <c r="J15" i="19"/>
  <c r="G15" i="19"/>
  <c r="J14" i="19"/>
  <c r="H14" i="19"/>
  <c r="G14" i="19"/>
  <c r="J13" i="19"/>
  <c r="G13" i="19"/>
  <c r="H13" i="19" s="1"/>
  <c r="G12" i="19"/>
  <c r="H11" i="19"/>
  <c r="G11" i="19"/>
  <c r="J11" i="19" s="1"/>
  <c r="J10" i="19"/>
  <c r="G10" i="19"/>
  <c r="H10" i="19" s="1"/>
  <c r="J9" i="19"/>
  <c r="G9" i="19"/>
  <c r="G62" i="18"/>
  <c r="G61" i="18"/>
  <c r="G60" i="18"/>
  <c r="G59" i="18"/>
  <c r="E54" i="18"/>
  <c r="D54" i="18"/>
  <c r="C54" i="18"/>
  <c r="E53" i="18"/>
  <c r="D53" i="18"/>
  <c r="C53" i="18"/>
  <c r="G47" i="18"/>
  <c r="H47" i="18" s="1"/>
  <c r="G46" i="18"/>
  <c r="H46" i="18" s="1"/>
  <c r="H45" i="18"/>
  <c r="G45" i="18"/>
  <c r="F38" i="18"/>
  <c r="E38" i="18"/>
  <c r="D38" i="18"/>
  <c r="C38" i="18"/>
  <c r="G37" i="18"/>
  <c r="H37" i="18" s="1"/>
  <c r="J36" i="18"/>
  <c r="G36" i="18"/>
  <c r="H35" i="18"/>
  <c r="G35" i="18"/>
  <c r="J35" i="18" s="1"/>
  <c r="G34" i="18"/>
  <c r="H34" i="18" s="1"/>
  <c r="J33" i="18"/>
  <c r="G33" i="18"/>
  <c r="H32" i="18"/>
  <c r="G32" i="18"/>
  <c r="J32" i="18" s="1"/>
  <c r="G31" i="18"/>
  <c r="H31" i="18" s="1"/>
  <c r="J30" i="18"/>
  <c r="G30" i="18"/>
  <c r="H29" i="18"/>
  <c r="G29" i="18"/>
  <c r="J29" i="18" s="1"/>
  <c r="G28" i="18"/>
  <c r="H28" i="18" s="1"/>
  <c r="J27" i="18"/>
  <c r="G27" i="18"/>
  <c r="H26" i="18"/>
  <c r="G26" i="18"/>
  <c r="J26" i="18" s="1"/>
  <c r="G25" i="18"/>
  <c r="H25" i="18" s="1"/>
  <c r="J24" i="18"/>
  <c r="G24" i="18"/>
  <c r="H23" i="18"/>
  <c r="G23" i="18"/>
  <c r="J23" i="18" s="1"/>
  <c r="G22" i="18"/>
  <c r="H22" i="18" s="1"/>
  <c r="J21" i="18"/>
  <c r="G21" i="18"/>
  <c r="J20" i="18"/>
  <c r="H20" i="18"/>
  <c r="G20" i="18"/>
  <c r="G19" i="18"/>
  <c r="H19" i="18" s="1"/>
  <c r="G18" i="18"/>
  <c r="J17" i="18"/>
  <c r="H17" i="18"/>
  <c r="G17" i="18"/>
  <c r="G16" i="18"/>
  <c r="H16" i="18" s="1"/>
  <c r="G15" i="18"/>
  <c r="J14" i="18"/>
  <c r="H14" i="18"/>
  <c r="G14" i="18"/>
  <c r="H13" i="18"/>
  <c r="G13" i="18"/>
  <c r="J12" i="18"/>
  <c r="G12" i="18"/>
  <c r="H12" i="18" s="1"/>
  <c r="J11" i="18"/>
  <c r="G11" i="18"/>
  <c r="H10" i="18"/>
  <c r="G10" i="18"/>
  <c r="J10" i="18" s="1"/>
  <c r="J9" i="18"/>
  <c r="G9" i="18"/>
  <c r="G68" i="17"/>
  <c r="G67" i="17"/>
  <c r="G66" i="17"/>
  <c r="G65" i="17"/>
  <c r="E60" i="17"/>
  <c r="D60" i="17"/>
  <c r="C60" i="17"/>
  <c r="E59" i="17"/>
  <c r="D59" i="17"/>
  <c r="C59" i="17"/>
  <c r="G53" i="17"/>
  <c r="H53" i="17" s="1"/>
  <c r="H52" i="17"/>
  <c r="G52" i="17"/>
  <c r="G51" i="17"/>
  <c r="H51" i="17" s="1"/>
  <c r="F44" i="17"/>
  <c r="E44" i="17"/>
  <c r="D44" i="17"/>
  <c r="C44" i="17"/>
  <c r="H43" i="17"/>
  <c r="G43" i="17"/>
  <c r="H42" i="17"/>
  <c r="G42" i="17"/>
  <c r="J41" i="17"/>
  <c r="H41" i="17"/>
  <c r="G41" i="17"/>
  <c r="G40" i="17"/>
  <c r="J40" i="17" s="1"/>
  <c r="J39" i="17"/>
  <c r="H39" i="17"/>
  <c r="G39" i="17"/>
  <c r="H38" i="17"/>
  <c r="G38" i="17"/>
  <c r="H37" i="17"/>
  <c r="G37" i="17"/>
  <c r="H36" i="17"/>
  <c r="G36" i="17"/>
  <c r="H35" i="17"/>
  <c r="G35" i="17"/>
  <c r="J34" i="17"/>
  <c r="H34" i="17"/>
  <c r="G34" i="17"/>
  <c r="G33" i="17"/>
  <c r="J32" i="17"/>
  <c r="H32" i="17"/>
  <c r="G32" i="17"/>
  <c r="J31" i="17"/>
  <c r="H31" i="17"/>
  <c r="G31" i="17"/>
  <c r="G30" i="17"/>
  <c r="J29" i="17"/>
  <c r="H29" i="17"/>
  <c r="G29" i="17"/>
  <c r="J28" i="17"/>
  <c r="H28" i="17"/>
  <c r="G28" i="17"/>
  <c r="G27" i="17"/>
  <c r="J26" i="17"/>
  <c r="H26" i="17"/>
  <c r="G26" i="17"/>
  <c r="J25" i="17"/>
  <c r="H25" i="17"/>
  <c r="G25" i="17"/>
  <c r="G24" i="17"/>
  <c r="J23" i="17"/>
  <c r="H23" i="17"/>
  <c r="G23" i="17"/>
  <c r="J22" i="17"/>
  <c r="H22" i="17"/>
  <c r="G22" i="17"/>
  <c r="G21" i="17"/>
  <c r="J20" i="17"/>
  <c r="H20" i="17"/>
  <c r="G20" i="17"/>
  <c r="J19" i="17"/>
  <c r="H19" i="17"/>
  <c r="G19" i="17"/>
  <c r="G18" i="17"/>
  <c r="J17" i="17"/>
  <c r="H17" i="17"/>
  <c r="G17" i="17"/>
  <c r="J16" i="17"/>
  <c r="H16" i="17"/>
  <c r="G16" i="17"/>
  <c r="G15" i="17"/>
  <c r="J14" i="17"/>
  <c r="H14" i="17"/>
  <c r="G14" i="17"/>
  <c r="J13" i="17"/>
  <c r="H13" i="17"/>
  <c r="G13" i="17"/>
  <c r="G12" i="17"/>
  <c r="J11" i="17"/>
  <c r="H11" i="17"/>
  <c r="G11" i="17"/>
  <c r="J10" i="17"/>
  <c r="H10" i="17"/>
  <c r="G10" i="17"/>
  <c r="G9" i="17"/>
  <c r="G63" i="16"/>
  <c r="G62" i="16"/>
  <c r="G61" i="16"/>
  <c r="G60" i="16"/>
  <c r="E55" i="16"/>
  <c r="D55" i="16"/>
  <c r="C55" i="16"/>
  <c r="E54" i="16"/>
  <c r="D54" i="16"/>
  <c r="C54" i="16"/>
  <c r="G48" i="16"/>
  <c r="H48" i="16" s="1"/>
  <c r="H47" i="16"/>
  <c r="G47" i="16"/>
  <c r="H46" i="16"/>
  <c r="G46" i="16"/>
  <c r="F39" i="16"/>
  <c r="E39" i="16"/>
  <c r="D39" i="16"/>
  <c r="C39" i="16"/>
  <c r="J38" i="16"/>
  <c r="G38" i="16"/>
  <c r="J37" i="16"/>
  <c r="H37" i="16"/>
  <c r="G37" i="16"/>
  <c r="J36" i="16"/>
  <c r="H36" i="16"/>
  <c r="G36" i="16"/>
  <c r="J35" i="16"/>
  <c r="G35" i="16"/>
  <c r="J34" i="16"/>
  <c r="H34" i="16"/>
  <c r="G34" i="16"/>
  <c r="J33" i="16"/>
  <c r="H33" i="16"/>
  <c r="G33" i="16"/>
  <c r="J32" i="16"/>
  <c r="G32" i="16"/>
  <c r="J31" i="16"/>
  <c r="H31" i="16"/>
  <c r="G31" i="16"/>
  <c r="J30" i="16"/>
  <c r="H30" i="16"/>
  <c r="G30" i="16"/>
  <c r="J29" i="16"/>
  <c r="G29" i="16"/>
  <c r="J28" i="16"/>
  <c r="H28" i="16"/>
  <c r="G28" i="16"/>
  <c r="J27" i="16"/>
  <c r="H27" i="16"/>
  <c r="G27" i="16"/>
  <c r="G26" i="16"/>
  <c r="H26" i="16" s="1"/>
  <c r="G25" i="16"/>
  <c r="H24" i="16"/>
  <c r="G24" i="16"/>
  <c r="J24" i="16" s="1"/>
  <c r="G23" i="16"/>
  <c r="H23" i="16" s="1"/>
  <c r="G22" i="16"/>
  <c r="J22" i="16" s="1"/>
  <c r="H21" i="16"/>
  <c r="G21" i="16"/>
  <c r="J21" i="16" s="1"/>
  <c r="G20" i="16"/>
  <c r="H20" i="16" s="1"/>
  <c r="G19" i="16"/>
  <c r="H18" i="16"/>
  <c r="G18" i="16"/>
  <c r="J18" i="16" s="1"/>
  <c r="G17" i="16"/>
  <c r="H17" i="16" s="1"/>
  <c r="G16" i="16"/>
  <c r="J16" i="16" s="1"/>
  <c r="H15" i="16"/>
  <c r="G15" i="16"/>
  <c r="J15" i="16" s="1"/>
  <c r="G14" i="16"/>
  <c r="H14" i="16" s="1"/>
  <c r="G13" i="16"/>
  <c r="H12" i="16"/>
  <c r="G12" i="16"/>
  <c r="J12" i="16" s="1"/>
  <c r="G11" i="16"/>
  <c r="H11" i="16" s="1"/>
  <c r="G10" i="16"/>
  <c r="H9" i="16"/>
  <c r="G9" i="16"/>
  <c r="G63" i="15"/>
  <c r="G62" i="15"/>
  <c r="G61" i="15"/>
  <c r="G60" i="15"/>
  <c r="E55" i="15"/>
  <c r="D55" i="15"/>
  <c r="C55" i="15"/>
  <c r="E54" i="15"/>
  <c r="D54" i="15"/>
  <c r="C54" i="15"/>
  <c r="H48" i="15"/>
  <c r="G48" i="15"/>
  <c r="G47" i="15"/>
  <c r="H47" i="15" s="1"/>
  <c r="G46" i="15"/>
  <c r="H46" i="15" s="1"/>
  <c r="F39" i="15"/>
  <c r="E39" i="15"/>
  <c r="D39" i="15"/>
  <c r="C39" i="15"/>
  <c r="G38" i="15"/>
  <c r="G37" i="15"/>
  <c r="H36" i="15"/>
  <c r="G36" i="15"/>
  <c r="J36" i="15" s="1"/>
  <c r="G35" i="15"/>
  <c r="H35" i="15" s="1"/>
  <c r="H34" i="15"/>
  <c r="G34" i="15"/>
  <c r="G33" i="15"/>
  <c r="H33" i="15" s="1"/>
  <c r="H32" i="15"/>
  <c r="G32" i="15"/>
  <c r="G31" i="15"/>
  <c r="J30" i="15"/>
  <c r="H30" i="15"/>
  <c r="G30" i="15"/>
  <c r="J29" i="15"/>
  <c r="H29" i="15"/>
  <c r="G29" i="15"/>
  <c r="J28" i="15"/>
  <c r="G28" i="15"/>
  <c r="J27" i="15"/>
  <c r="H27" i="15"/>
  <c r="G27" i="15"/>
  <c r="J26" i="15"/>
  <c r="H26" i="15"/>
  <c r="G26" i="15"/>
  <c r="G25" i="15"/>
  <c r="H25" i="15" s="1"/>
  <c r="H24" i="15"/>
  <c r="G24" i="15"/>
  <c r="G23" i="15"/>
  <c r="H23" i="15" s="1"/>
  <c r="G22" i="15"/>
  <c r="J22" i="15" s="1"/>
  <c r="H21" i="15"/>
  <c r="G21" i="15"/>
  <c r="J21" i="15" s="1"/>
  <c r="G20" i="15"/>
  <c r="H20" i="15" s="1"/>
  <c r="H19" i="15"/>
  <c r="G19" i="15"/>
  <c r="G18" i="15"/>
  <c r="H18" i="15" s="1"/>
  <c r="G17" i="15"/>
  <c r="G16" i="15"/>
  <c r="J15" i="15"/>
  <c r="H15" i="15"/>
  <c r="G15" i="15"/>
  <c r="J14" i="15"/>
  <c r="H14" i="15"/>
  <c r="G14" i="15"/>
  <c r="G13" i="15"/>
  <c r="H13" i="15" s="1"/>
  <c r="G12" i="15"/>
  <c r="H11" i="15"/>
  <c r="G11" i="15"/>
  <c r="J11" i="15" s="1"/>
  <c r="G10" i="15"/>
  <c r="H10" i="15" s="1"/>
  <c r="H9" i="15"/>
  <c r="G9" i="15"/>
  <c r="G59" i="14"/>
  <c r="G58" i="14"/>
  <c r="G57" i="14"/>
  <c r="G56" i="14"/>
  <c r="E51" i="14"/>
  <c r="D51" i="14"/>
  <c r="C51" i="14"/>
  <c r="E50" i="14"/>
  <c r="D50" i="14"/>
  <c r="C50" i="14"/>
  <c r="H44" i="14"/>
  <c r="G44" i="14"/>
  <c r="H43" i="14"/>
  <c r="G43" i="14"/>
  <c r="G42" i="14"/>
  <c r="H42" i="14" s="1"/>
  <c r="F35" i="14"/>
  <c r="E35" i="14"/>
  <c r="D35" i="14"/>
  <c r="C35" i="14"/>
  <c r="H34" i="14"/>
  <c r="G34" i="14"/>
  <c r="G33" i="14"/>
  <c r="H33" i="14" s="1"/>
  <c r="G32" i="14"/>
  <c r="H31" i="14"/>
  <c r="G31" i="14"/>
  <c r="J31" i="14" s="1"/>
  <c r="G30" i="14"/>
  <c r="H30" i="14" s="1"/>
  <c r="G29" i="14"/>
  <c r="H28" i="14"/>
  <c r="G28" i="14"/>
  <c r="J28" i="14" s="1"/>
  <c r="G27" i="14"/>
  <c r="H27" i="14" s="1"/>
  <c r="G26" i="14"/>
  <c r="H25" i="14"/>
  <c r="G25" i="14"/>
  <c r="J25" i="14" s="1"/>
  <c r="H24" i="14"/>
  <c r="G24" i="14"/>
  <c r="J23" i="14"/>
  <c r="G23" i="14"/>
  <c r="H23" i="14" s="1"/>
  <c r="G22" i="14"/>
  <c r="J21" i="14"/>
  <c r="H21" i="14"/>
  <c r="G21" i="14"/>
  <c r="J20" i="14"/>
  <c r="H20" i="14"/>
  <c r="G20" i="14"/>
  <c r="G19" i="14"/>
  <c r="J18" i="14"/>
  <c r="H18" i="14"/>
  <c r="G18" i="14"/>
  <c r="J17" i="14"/>
  <c r="H17" i="14"/>
  <c r="G17" i="14"/>
  <c r="G16" i="14"/>
  <c r="J16" i="14" s="1"/>
  <c r="J15" i="14"/>
  <c r="H15" i="14"/>
  <c r="G15" i="14"/>
  <c r="J14" i="14"/>
  <c r="H14" i="14"/>
  <c r="G14" i="14"/>
  <c r="G13" i="14"/>
  <c r="J13" i="14" s="1"/>
  <c r="J12" i="14"/>
  <c r="H12" i="14"/>
  <c r="G12" i="14"/>
  <c r="J11" i="14"/>
  <c r="H11" i="14"/>
  <c r="G11" i="14"/>
  <c r="G10" i="14"/>
  <c r="G35" i="14" s="1"/>
  <c r="G9" i="14"/>
  <c r="G73" i="13"/>
  <c r="G72" i="13"/>
  <c r="G71" i="13"/>
  <c r="G70" i="13"/>
  <c r="E65" i="13"/>
  <c r="D65" i="13"/>
  <c r="C65" i="13"/>
  <c r="E64" i="13"/>
  <c r="D64" i="13"/>
  <c r="C64" i="13"/>
  <c r="G58" i="13"/>
  <c r="H58" i="13" s="1"/>
  <c r="G57" i="13"/>
  <c r="H57" i="13" s="1"/>
  <c r="H56" i="13"/>
  <c r="G56" i="13"/>
  <c r="F49" i="13"/>
  <c r="E49" i="13"/>
  <c r="D49" i="13"/>
  <c r="C49" i="13"/>
  <c r="G48" i="13"/>
  <c r="H48" i="13" s="1"/>
  <c r="G47" i="13"/>
  <c r="H47" i="13" s="1"/>
  <c r="G46" i="13"/>
  <c r="J46" i="13" s="1"/>
  <c r="G45" i="13"/>
  <c r="G44" i="13"/>
  <c r="H43" i="13"/>
  <c r="G43" i="13"/>
  <c r="J43" i="13" s="1"/>
  <c r="G42" i="13"/>
  <c r="H42" i="13" s="1"/>
  <c r="G41" i="13"/>
  <c r="G40" i="13"/>
  <c r="H39" i="13"/>
  <c r="G39" i="13"/>
  <c r="J39" i="13" s="1"/>
  <c r="J38" i="13"/>
  <c r="G38" i="13"/>
  <c r="H38" i="13" s="1"/>
  <c r="G37" i="13"/>
  <c r="H37" i="13" s="1"/>
  <c r="G36" i="13"/>
  <c r="J36" i="13" s="1"/>
  <c r="H35" i="13"/>
  <c r="G35" i="13"/>
  <c r="J35" i="13" s="1"/>
  <c r="G34" i="13"/>
  <c r="H34" i="13" s="1"/>
  <c r="G33" i="13"/>
  <c r="H32" i="13"/>
  <c r="G32" i="13"/>
  <c r="J32" i="13" s="1"/>
  <c r="G31" i="13"/>
  <c r="H31" i="13" s="1"/>
  <c r="G30" i="13"/>
  <c r="J30" i="13" s="1"/>
  <c r="H29" i="13"/>
  <c r="G29" i="13"/>
  <c r="J29" i="13" s="1"/>
  <c r="G28" i="13"/>
  <c r="H28" i="13" s="1"/>
  <c r="G27" i="13"/>
  <c r="J27" i="13" s="1"/>
  <c r="H26" i="13"/>
  <c r="G26" i="13"/>
  <c r="J26" i="13" s="1"/>
  <c r="G25" i="13"/>
  <c r="H25" i="13" s="1"/>
  <c r="G24" i="13"/>
  <c r="H23" i="13"/>
  <c r="G23" i="13"/>
  <c r="J23" i="13" s="1"/>
  <c r="G22" i="13"/>
  <c r="H22" i="13" s="1"/>
  <c r="G21" i="13"/>
  <c r="J21" i="13" s="1"/>
  <c r="H20" i="13"/>
  <c r="G20" i="13"/>
  <c r="J20" i="13" s="1"/>
  <c r="G19" i="13"/>
  <c r="H19" i="13" s="1"/>
  <c r="G18" i="13"/>
  <c r="H17" i="13"/>
  <c r="G17" i="13"/>
  <c r="J17" i="13" s="1"/>
  <c r="G16" i="13"/>
  <c r="H16" i="13" s="1"/>
  <c r="G15" i="13"/>
  <c r="J15" i="13" s="1"/>
  <c r="H14" i="13"/>
  <c r="G14" i="13"/>
  <c r="J14" i="13" s="1"/>
  <c r="G13" i="13"/>
  <c r="H13" i="13" s="1"/>
  <c r="G12" i="13"/>
  <c r="H11" i="13"/>
  <c r="G11" i="13"/>
  <c r="J11" i="13" s="1"/>
  <c r="G10" i="13"/>
  <c r="H10" i="13" s="1"/>
  <c r="G9" i="13"/>
  <c r="J9" i="13" s="1"/>
  <c r="G64" i="12"/>
  <c r="G63" i="12"/>
  <c r="G62" i="12"/>
  <c r="G61" i="12"/>
  <c r="E56" i="12"/>
  <c r="D56" i="12"/>
  <c r="C56" i="12"/>
  <c r="E55" i="12"/>
  <c r="D55" i="12"/>
  <c r="C55" i="12"/>
  <c r="G49" i="12"/>
  <c r="H49" i="12" s="1"/>
  <c r="G48" i="12"/>
  <c r="H48" i="12" s="1"/>
  <c r="H47" i="12"/>
  <c r="G47" i="12"/>
  <c r="F40" i="12"/>
  <c r="E40" i="12"/>
  <c r="D40" i="12"/>
  <c r="C40" i="12"/>
  <c r="G39" i="12"/>
  <c r="H39" i="12" s="1"/>
  <c r="G38" i="12"/>
  <c r="H38" i="12" s="1"/>
  <c r="G37" i="12"/>
  <c r="H36" i="12"/>
  <c r="G36" i="12"/>
  <c r="J36" i="12" s="1"/>
  <c r="H35" i="12"/>
  <c r="G35" i="12"/>
  <c r="J34" i="12"/>
  <c r="G34" i="12"/>
  <c r="H34" i="12" s="1"/>
  <c r="J33" i="12"/>
  <c r="G33" i="12"/>
  <c r="H32" i="12"/>
  <c r="G32" i="12"/>
  <c r="J32" i="12" s="1"/>
  <c r="J31" i="12"/>
  <c r="G31" i="12"/>
  <c r="H31" i="12" s="1"/>
  <c r="G30" i="12"/>
  <c r="J30" i="12" s="1"/>
  <c r="G29" i="12"/>
  <c r="H28" i="12"/>
  <c r="G28" i="12"/>
  <c r="J28" i="12" s="1"/>
  <c r="H27" i="12"/>
  <c r="G27" i="12"/>
  <c r="H26" i="12"/>
  <c r="G26" i="12"/>
  <c r="G25" i="12"/>
  <c r="H25" i="12" s="1"/>
  <c r="J24" i="12"/>
  <c r="G24" i="12"/>
  <c r="G23" i="12"/>
  <c r="H22" i="12"/>
  <c r="G22" i="12"/>
  <c r="J22" i="12" s="1"/>
  <c r="J21" i="12"/>
  <c r="H21" i="12"/>
  <c r="G21" i="12"/>
  <c r="G20" i="12"/>
  <c r="G19" i="12"/>
  <c r="G18" i="12"/>
  <c r="J17" i="12"/>
  <c r="H17" i="12"/>
  <c r="G17" i="12"/>
  <c r="H16" i="12"/>
  <c r="G16" i="12"/>
  <c r="G15" i="12"/>
  <c r="H15" i="12" s="1"/>
  <c r="J14" i="12"/>
  <c r="G14" i="12"/>
  <c r="H13" i="12"/>
  <c r="G13" i="12"/>
  <c r="J13" i="12" s="1"/>
  <c r="G12" i="12"/>
  <c r="H12" i="12" s="1"/>
  <c r="J11" i="12"/>
  <c r="G11" i="12"/>
  <c r="H10" i="12"/>
  <c r="G10" i="12"/>
  <c r="J10" i="12" s="1"/>
  <c r="H9" i="12"/>
  <c r="G9" i="12"/>
  <c r="G65" i="11"/>
  <c r="G64" i="11"/>
  <c r="G63" i="11"/>
  <c r="G62" i="11"/>
  <c r="E57" i="11"/>
  <c r="D57" i="11"/>
  <c r="C57" i="11"/>
  <c r="E56" i="11"/>
  <c r="D56" i="11"/>
  <c r="C56" i="11"/>
  <c r="H50" i="11"/>
  <c r="G50" i="11"/>
  <c r="G49" i="11"/>
  <c r="H49" i="11" s="1"/>
  <c r="G48" i="11"/>
  <c r="H48" i="11" s="1"/>
  <c r="F41" i="11"/>
  <c r="E41" i="11"/>
  <c r="D41" i="11"/>
  <c r="C41" i="11"/>
  <c r="G40" i="11"/>
  <c r="G39" i="11"/>
  <c r="G38" i="11"/>
  <c r="J37" i="11"/>
  <c r="H37" i="11"/>
  <c r="G37" i="11"/>
  <c r="G36" i="11"/>
  <c r="H36" i="11" s="1"/>
  <c r="G35" i="11"/>
  <c r="H35" i="11" s="1"/>
  <c r="J34" i="11"/>
  <c r="G34" i="11"/>
  <c r="H33" i="11"/>
  <c r="G33" i="11"/>
  <c r="J33" i="11" s="1"/>
  <c r="J32" i="11"/>
  <c r="G32" i="11"/>
  <c r="H32" i="11" s="1"/>
  <c r="G31" i="11"/>
  <c r="H30" i="11"/>
  <c r="G30" i="11"/>
  <c r="J30" i="11" s="1"/>
  <c r="J29" i="11"/>
  <c r="G29" i="11"/>
  <c r="H29" i="11" s="1"/>
  <c r="G28" i="11"/>
  <c r="J28" i="11" s="1"/>
  <c r="H27" i="11"/>
  <c r="G27" i="11"/>
  <c r="J27" i="11" s="1"/>
  <c r="H26" i="11"/>
  <c r="G26" i="11"/>
  <c r="H25" i="11"/>
  <c r="G25" i="11"/>
  <c r="J24" i="11"/>
  <c r="G24" i="11"/>
  <c r="H24" i="11" s="1"/>
  <c r="G23" i="11"/>
  <c r="H22" i="11"/>
  <c r="G22" i="11"/>
  <c r="J22" i="11" s="1"/>
  <c r="J21" i="11"/>
  <c r="G21" i="11"/>
  <c r="H21" i="11" s="1"/>
  <c r="G20" i="11"/>
  <c r="H20" i="11" s="1"/>
  <c r="G19" i="11"/>
  <c r="H19" i="11" s="1"/>
  <c r="J18" i="11"/>
  <c r="G18" i="11"/>
  <c r="G17" i="11"/>
  <c r="J16" i="11"/>
  <c r="H16" i="11"/>
  <c r="G16" i="11"/>
  <c r="G15" i="11"/>
  <c r="H15" i="11" s="1"/>
  <c r="G14" i="11"/>
  <c r="J13" i="11"/>
  <c r="H13" i="11"/>
  <c r="G13" i="11"/>
  <c r="G12" i="11"/>
  <c r="H12" i="11" s="1"/>
  <c r="J11" i="11"/>
  <c r="G11" i="11"/>
  <c r="G10" i="11"/>
  <c r="G9" i="11"/>
  <c r="G71" i="10"/>
  <c r="G70" i="10"/>
  <c r="G69" i="10"/>
  <c r="G68" i="10"/>
  <c r="E63" i="10"/>
  <c r="D63" i="10"/>
  <c r="C63" i="10"/>
  <c r="E62" i="10"/>
  <c r="D62" i="10"/>
  <c r="C62" i="10"/>
  <c r="G56" i="10"/>
  <c r="H56" i="10" s="1"/>
  <c r="G55" i="10"/>
  <c r="H55" i="10" s="1"/>
  <c r="H54" i="10"/>
  <c r="G54" i="10"/>
  <c r="F47" i="10"/>
  <c r="E47" i="10"/>
  <c r="D47" i="10"/>
  <c r="C47" i="10"/>
  <c r="J46" i="10"/>
  <c r="G46" i="10"/>
  <c r="J45" i="10"/>
  <c r="H45" i="10"/>
  <c r="G45" i="10"/>
  <c r="H44" i="10"/>
  <c r="G44" i="10"/>
  <c r="J43" i="10"/>
  <c r="G43" i="10"/>
  <c r="H43" i="10" s="1"/>
  <c r="G42" i="10"/>
  <c r="H41" i="10"/>
  <c r="G41" i="10"/>
  <c r="J41" i="10" s="1"/>
  <c r="J40" i="10"/>
  <c r="G40" i="10"/>
  <c r="H40" i="10" s="1"/>
  <c r="G39" i="10"/>
  <c r="H39" i="10" s="1"/>
  <c r="G38" i="10"/>
  <c r="H38" i="10" s="1"/>
  <c r="J37" i="10"/>
  <c r="G37" i="10"/>
  <c r="H36" i="10"/>
  <c r="G36" i="10"/>
  <c r="J36" i="10" s="1"/>
  <c r="J35" i="10"/>
  <c r="G35" i="10"/>
  <c r="H35" i="10" s="1"/>
  <c r="G34" i="10"/>
  <c r="H33" i="10"/>
  <c r="G33" i="10"/>
  <c r="J33" i="10" s="1"/>
  <c r="J32" i="10"/>
  <c r="G32" i="10"/>
  <c r="H32" i="10" s="1"/>
  <c r="G31" i="10"/>
  <c r="H30" i="10"/>
  <c r="G30" i="10"/>
  <c r="J30" i="10" s="1"/>
  <c r="J29" i="10"/>
  <c r="G29" i="10"/>
  <c r="H29" i="10" s="1"/>
  <c r="J28" i="10"/>
  <c r="G28" i="10"/>
  <c r="H27" i="10"/>
  <c r="G27" i="10"/>
  <c r="J27" i="10" s="1"/>
  <c r="J26" i="10"/>
  <c r="G26" i="10"/>
  <c r="H26" i="10" s="1"/>
  <c r="J25" i="10"/>
  <c r="G25" i="10"/>
  <c r="H24" i="10"/>
  <c r="G24" i="10"/>
  <c r="J24" i="10" s="1"/>
  <c r="J23" i="10"/>
  <c r="G23" i="10"/>
  <c r="H23" i="10" s="1"/>
  <c r="G22" i="10"/>
  <c r="J21" i="10"/>
  <c r="H21" i="10"/>
  <c r="G21" i="10"/>
  <c r="J20" i="10"/>
  <c r="H20" i="10"/>
  <c r="G20" i="10"/>
  <c r="G19" i="10"/>
  <c r="J18" i="10"/>
  <c r="H18" i="10"/>
  <c r="G18" i="10"/>
  <c r="J17" i="10"/>
  <c r="H17" i="10"/>
  <c r="G17" i="10"/>
  <c r="G16" i="10"/>
  <c r="J15" i="10"/>
  <c r="H15" i="10"/>
  <c r="G15" i="10"/>
  <c r="J14" i="10"/>
  <c r="H14" i="10"/>
  <c r="G14" i="10"/>
  <c r="G13" i="10"/>
  <c r="J12" i="10"/>
  <c r="H12" i="10"/>
  <c r="G12" i="10"/>
  <c r="J11" i="10"/>
  <c r="H11" i="10"/>
  <c r="G11" i="10"/>
  <c r="G10" i="10"/>
  <c r="J9" i="10"/>
  <c r="H9" i="10"/>
  <c r="G9" i="10"/>
  <c r="G47" i="10" s="1"/>
  <c r="I39" i="10" s="1"/>
  <c r="G60" i="9"/>
  <c r="G59" i="9"/>
  <c r="G58" i="9"/>
  <c r="G57" i="9"/>
  <c r="E52" i="9"/>
  <c r="D52" i="9"/>
  <c r="C52" i="9"/>
  <c r="E51" i="9"/>
  <c r="D51" i="9"/>
  <c r="C51" i="9"/>
  <c r="H45" i="9"/>
  <c r="G45" i="9"/>
  <c r="G44" i="9"/>
  <c r="H44" i="9" s="1"/>
  <c r="H43" i="9"/>
  <c r="G43" i="9"/>
  <c r="F36" i="9"/>
  <c r="F37" i="9" s="1"/>
  <c r="E36" i="9"/>
  <c r="D36" i="9"/>
  <c r="C36" i="9"/>
  <c r="C37" i="9" s="1"/>
  <c r="H35" i="9"/>
  <c r="G35" i="9"/>
  <c r="J35" i="9" s="1"/>
  <c r="J34" i="9"/>
  <c r="G34" i="9"/>
  <c r="H34" i="9" s="1"/>
  <c r="J33" i="9"/>
  <c r="G33" i="9"/>
  <c r="G32" i="9"/>
  <c r="G31" i="9"/>
  <c r="H30" i="9"/>
  <c r="G30" i="9"/>
  <c r="J30" i="9" s="1"/>
  <c r="J29" i="9"/>
  <c r="G29" i="9"/>
  <c r="H29" i="9" s="1"/>
  <c r="J28" i="9"/>
  <c r="G28" i="9"/>
  <c r="J27" i="9"/>
  <c r="H27" i="9"/>
  <c r="G27" i="9"/>
  <c r="J26" i="9"/>
  <c r="H26" i="9"/>
  <c r="G26" i="9"/>
  <c r="J25" i="9"/>
  <c r="G25" i="9"/>
  <c r="J24" i="9"/>
  <c r="H24" i="9"/>
  <c r="G24" i="9"/>
  <c r="J23" i="9"/>
  <c r="H23" i="9"/>
  <c r="G23" i="9"/>
  <c r="J22" i="9"/>
  <c r="G22" i="9"/>
  <c r="G21" i="9"/>
  <c r="H20" i="9"/>
  <c r="G20" i="9"/>
  <c r="J20" i="9" s="1"/>
  <c r="G19" i="9"/>
  <c r="H19" i="9" s="1"/>
  <c r="J18" i="9"/>
  <c r="G18" i="9"/>
  <c r="H17" i="9"/>
  <c r="G17" i="9"/>
  <c r="J17" i="9" s="1"/>
  <c r="G16" i="9"/>
  <c r="H16" i="9" s="1"/>
  <c r="J15" i="9"/>
  <c r="G15" i="9"/>
  <c r="H14" i="9"/>
  <c r="G14" i="9"/>
  <c r="J14" i="9" s="1"/>
  <c r="G13" i="9"/>
  <c r="H13" i="9" s="1"/>
  <c r="H12" i="9"/>
  <c r="G12" i="9"/>
  <c r="G11" i="9"/>
  <c r="J10" i="9"/>
  <c r="H10" i="9"/>
  <c r="G10" i="9"/>
  <c r="J9" i="9"/>
  <c r="H9" i="9"/>
  <c r="G9" i="9"/>
  <c r="G36" i="9" s="1"/>
  <c r="G65" i="8"/>
  <c r="G64" i="8"/>
  <c r="G63" i="8"/>
  <c r="G62" i="8"/>
  <c r="E57" i="8"/>
  <c r="D57" i="8"/>
  <c r="C57" i="8"/>
  <c r="E56" i="8"/>
  <c r="D56" i="8"/>
  <c r="C56" i="8"/>
  <c r="H50" i="8"/>
  <c r="G50" i="8"/>
  <c r="H49" i="8"/>
  <c r="G49" i="8"/>
  <c r="G48" i="8"/>
  <c r="H48" i="8" s="1"/>
  <c r="F41" i="8"/>
  <c r="E41" i="8"/>
  <c r="D41" i="8"/>
  <c r="C41" i="8"/>
  <c r="H40" i="8"/>
  <c r="G40" i="8"/>
  <c r="H39" i="8"/>
  <c r="G39" i="8"/>
  <c r="J38" i="8"/>
  <c r="G38" i="8"/>
  <c r="H38" i="8" s="1"/>
  <c r="G37" i="8"/>
  <c r="G41" i="8" s="1"/>
  <c r="H36" i="8"/>
  <c r="G36" i="8"/>
  <c r="J36" i="8" s="1"/>
  <c r="J35" i="8"/>
  <c r="G35" i="8"/>
  <c r="H35" i="8" s="1"/>
  <c r="J34" i="8"/>
  <c r="G34" i="8"/>
  <c r="J33" i="8"/>
  <c r="H33" i="8"/>
  <c r="G33" i="8"/>
  <c r="J32" i="8"/>
  <c r="H32" i="8"/>
  <c r="G32" i="8"/>
  <c r="J31" i="8"/>
  <c r="G31" i="8"/>
  <c r="J30" i="8"/>
  <c r="H30" i="8"/>
  <c r="G30" i="8"/>
  <c r="J29" i="8"/>
  <c r="H29" i="8"/>
  <c r="G29" i="8"/>
  <c r="J28" i="8"/>
  <c r="G28" i="8"/>
  <c r="J27" i="8"/>
  <c r="H27" i="8"/>
  <c r="G27" i="8"/>
  <c r="J26" i="8"/>
  <c r="H26" i="8"/>
  <c r="G26" i="8"/>
  <c r="J25" i="8"/>
  <c r="G25" i="8"/>
  <c r="J24" i="8"/>
  <c r="H24" i="8"/>
  <c r="G24" i="8"/>
  <c r="J23" i="8"/>
  <c r="H23" i="8"/>
  <c r="G23" i="8"/>
  <c r="J22" i="8"/>
  <c r="G22" i="8"/>
  <c r="J21" i="8"/>
  <c r="H21" i="8"/>
  <c r="G21" i="8"/>
  <c r="J20" i="8"/>
  <c r="H20" i="8"/>
  <c r="G20" i="8"/>
  <c r="J19" i="8"/>
  <c r="G19" i="8"/>
  <c r="J18" i="8"/>
  <c r="H18" i="8"/>
  <c r="G18" i="8"/>
  <c r="J17" i="8"/>
  <c r="H17" i="8"/>
  <c r="G17" i="8"/>
  <c r="J16" i="8"/>
  <c r="G16" i="8"/>
  <c r="J15" i="8"/>
  <c r="H15" i="8"/>
  <c r="G15" i="8"/>
  <c r="J14" i="8"/>
  <c r="H14" i="8"/>
  <c r="G14" i="8"/>
  <c r="J13" i="8"/>
  <c r="G13" i="8"/>
  <c r="J12" i="8"/>
  <c r="H12" i="8"/>
  <c r="G12" i="8"/>
  <c r="J11" i="8"/>
  <c r="H11" i="8"/>
  <c r="G11" i="8"/>
  <c r="J10" i="8"/>
  <c r="G10" i="8"/>
  <c r="J9" i="8"/>
  <c r="H9" i="8"/>
  <c r="G9" i="8"/>
  <c r="G64" i="7"/>
  <c r="G63" i="7"/>
  <c r="G62" i="7"/>
  <c r="G61" i="7"/>
  <c r="E56" i="7"/>
  <c r="D56" i="7"/>
  <c r="C56" i="7"/>
  <c r="E55" i="7"/>
  <c r="D55" i="7"/>
  <c r="C55" i="7"/>
  <c r="H49" i="7"/>
  <c r="G49" i="7"/>
  <c r="G48" i="7"/>
  <c r="H48" i="7" s="1"/>
  <c r="H47" i="7"/>
  <c r="G47" i="7"/>
  <c r="F40" i="7"/>
  <c r="E40" i="7"/>
  <c r="D40" i="7"/>
  <c r="C40" i="7"/>
  <c r="G39" i="7"/>
  <c r="H38" i="7"/>
  <c r="G38" i="7"/>
  <c r="J38" i="7" s="1"/>
  <c r="H37" i="7"/>
  <c r="G37" i="7"/>
  <c r="J36" i="7"/>
  <c r="H36" i="7"/>
  <c r="G36" i="7"/>
  <c r="G35" i="7"/>
  <c r="J34" i="7"/>
  <c r="H34" i="7"/>
  <c r="G34" i="7"/>
  <c r="J33" i="7"/>
  <c r="H33" i="7"/>
  <c r="G33" i="7"/>
  <c r="G32" i="7"/>
  <c r="J32" i="7" s="1"/>
  <c r="J31" i="7"/>
  <c r="H31" i="7"/>
  <c r="G31" i="7"/>
  <c r="J30" i="7"/>
  <c r="H30" i="7"/>
  <c r="G30" i="7"/>
  <c r="G29" i="7"/>
  <c r="J28" i="7"/>
  <c r="H28" i="7"/>
  <c r="G28" i="7"/>
  <c r="J27" i="7"/>
  <c r="H27" i="7"/>
  <c r="G27" i="7"/>
  <c r="G26" i="7"/>
  <c r="J26" i="7" s="1"/>
  <c r="J25" i="7"/>
  <c r="H25" i="7"/>
  <c r="G25" i="7"/>
  <c r="J24" i="7"/>
  <c r="H24" i="7"/>
  <c r="G24" i="7"/>
  <c r="G23" i="7"/>
  <c r="J22" i="7"/>
  <c r="H22" i="7"/>
  <c r="G22" i="7"/>
  <c r="J21" i="7"/>
  <c r="H21" i="7"/>
  <c r="G21" i="7"/>
  <c r="G20" i="7"/>
  <c r="J19" i="7"/>
  <c r="H19" i="7"/>
  <c r="G19" i="7"/>
  <c r="J18" i="7"/>
  <c r="H18" i="7"/>
  <c r="G18" i="7"/>
  <c r="G17" i="7"/>
  <c r="J17" i="7" s="1"/>
  <c r="J16" i="7"/>
  <c r="H16" i="7"/>
  <c r="G16" i="7"/>
  <c r="J15" i="7"/>
  <c r="H15" i="7"/>
  <c r="G15" i="7"/>
  <c r="G14" i="7"/>
  <c r="G13" i="7"/>
  <c r="H12" i="7"/>
  <c r="G12" i="7"/>
  <c r="J12" i="7" s="1"/>
  <c r="G11" i="7"/>
  <c r="H11" i="7" s="1"/>
  <c r="J10" i="7"/>
  <c r="G10" i="7"/>
  <c r="H9" i="7"/>
  <c r="G9" i="7"/>
  <c r="J9" i="7" s="1"/>
  <c r="G65" i="6"/>
  <c r="G64" i="6"/>
  <c r="G63" i="6"/>
  <c r="G62" i="6"/>
  <c r="E57" i="6"/>
  <c r="D57" i="6"/>
  <c r="C57" i="6"/>
  <c r="E56" i="6"/>
  <c r="D56" i="6"/>
  <c r="C56" i="6"/>
  <c r="H50" i="6"/>
  <c r="G50" i="6"/>
  <c r="G49" i="6"/>
  <c r="H49" i="6" s="1"/>
  <c r="G48" i="6"/>
  <c r="H48" i="6" s="1"/>
  <c r="F41" i="6"/>
  <c r="E41" i="6"/>
  <c r="D41" i="6"/>
  <c r="C41" i="6"/>
  <c r="G40" i="6"/>
  <c r="G39" i="6"/>
  <c r="H38" i="6"/>
  <c r="G38" i="6"/>
  <c r="J38" i="6" s="1"/>
  <c r="G37" i="6"/>
  <c r="H37" i="6" s="1"/>
  <c r="J36" i="6"/>
  <c r="G36" i="6"/>
  <c r="H35" i="6"/>
  <c r="G35" i="6"/>
  <c r="J35" i="6" s="1"/>
  <c r="G34" i="6"/>
  <c r="H34" i="6" s="1"/>
  <c r="J33" i="6"/>
  <c r="G33" i="6"/>
  <c r="H32" i="6"/>
  <c r="G32" i="6"/>
  <c r="J32" i="6" s="1"/>
  <c r="G31" i="6"/>
  <c r="H31" i="6" s="1"/>
  <c r="J30" i="6"/>
  <c r="G30" i="6"/>
  <c r="H29" i="6"/>
  <c r="G29" i="6"/>
  <c r="J29" i="6" s="1"/>
  <c r="G28" i="6"/>
  <c r="H28" i="6" s="1"/>
  <c r="J27" i="6"/>
  <c r="G27" i="6"/>
  <c r="H26" i="6"/>
  <c r="G26" i="6"/>
  <c r="J26" i="6" s="1"/>
  <c r="G25" i="6"/>
  <c r="H25" i="6" s="1"/>
  <c r="J24" i="6"/>
  <c r="G24" i="6"/>
  <c r="H23" i="6"/>
  <c r="G23" i="6"/>
  <c r="J23" i="6" s="1"/>
  <c r="G22" i="6"/>
  <c r="H22" i="6" s="1"/>
  <c r="J21" i="6"/>
  <c r="G21" i="6"/>
  <c r="H20" i="6"/>
  <c r="G20" i="6"/>
  <c r="J20" i="6" s="1"/>
  <c r="G19" i="6"/>
  <c r="H19" i="6" s="1"/>
  <c r="J18" i="6"/>
  <c r="G18" i="6"/>
  <c r="H17" i="6"/>
  <c r="G17" i="6"/>
  <c r="J17" i="6" s="1"/>
  <c r="G16" i="6"/>
  <c r="H16" i="6" s="1"/>
  <c r="J15" i="6"/>
  <c r="G15" i="6"/>
  <c r="H14" i="6"/>
  <c r="G14" i="6"/>
  <c r="J14" i="6" s="1"/>
  <c r="G13" i="6"/>
  <c r="H13" i="6" s="1"/>
  <c r="J12" i="6"/>
  <c r="G12" i="6"/>
  <c r="H11" i="6"/>
  <c r="G11" i="6"/>
  <c r="J11" i="6" s="1"/>
  <c r="G10" i="6"/>
  <c r="H10" i="6" s="1"/>
  <c r="J9" i="6"/>
  <c r="G9" i="6"/>
  <c r="G72" i="5"/>
  <c r="G71" i="5"/>
  <c r="G70" i="5"/>
  <c r="G69" i="5"/>
  <c r="E64" i="5"/>
  <c r="D64" i="5"/>
  <c r="C64" i="5"/>
  <c r="E63" i="5"/>
  <c r="D63" i="5"/>
  <c r="C63" i="5"/>
  <c r="G57" i="5"/>
  <c r="H57" i="5" s="1"/>
  <c r="G56" i="5"/>
  <c r="H56" i="5" s="1"/>
  <c r="H55" i="5"/>
  <c r="G55" i="5"/>
  <c r="F48" i="5"/>
  <c r="E48" i="5"/>
  <c r="D48" i="5"/>
  <c r="C48" i="5"/>
  <c r="J47" i="5"/>
  <c r="G47" i="5"/>
  <c r="J46" i="5"/>
  <c r="H46" i="5"/>
  <c r="G46" i="5"/>
  <c r="G45" i="5"/>
  <c r="H45" i="5" s="1"/>
  <c r="G44" i="5"/>
  <c r="H44" i="5" s="1"/>
  <c r="G43" i="5"/>
  <c r="H42" i="5"/>
  <c r="G42" i="5"/>
  <c r="J42" i="5" s="1"/>
  <c r="J41" i="5"/>
  <c r="G41" i="5"/>
  <c r="H41" i="5" s="1"/>
  <c r="G40" i="5"/>
  <c r="H39" i="5"/>
  <c r="G39" i="5"/>
  <c r="J39" i="5" s="1"/>
  <c r="J38" i="5"/>
  <c r="G38" i="5"/>
  <c r="H38" i="5" s="1"/>
  <c r="J37" i="5"/>
  <c r="H37" i="5"/>
  <c r="G37" i="5"/>
  <c r="H36" i="5"/>
  <c r="G36" i="5"/>
  <c r="J36" i="5" s="1"/>
  <c r="J35" i="5"/>
  <c r="G35" i="5"/>
  <c r="H35" i="5" s="1"/>
  <c r="J34" i="5"/>
  <c r="H34" i="5"/>
  <c r="G34" i="5"/>
  <c r="H33" i="5"/>
  <c r="G33" i="5"/>
  <c r="J33" i="5" s="1"/>
  <c r="J32" i="5"/>
  <c r="G32" i="5"/>
  <c r="H32" i="5" s="1"/>
  <c r="G31" i="5"/>
  <c r="H31" i="5" s="1"/>
  <c r="H30" i="5"/>
  <c r="G30" i="5"/>
  <c r="J30" i="5" s="1"/>
  <c r="J29" i="5"/>
  <c r="G29" i="5"/>
  <c r="H29" i="5" s="1"/>
  <c r="J28" i="5"/>
  <c r="H28" i="5"/>
  <c r="G28" i="5"/>
  <c r="H27" i="5"/>
  <c r="G27" i="5"/>
  <c r="J27" i="5" s="1"/>
  <c r="J26" i="5"/>
  <c r="H26" i="5"/>
  <c r="G26" i="5"/>
  <c r="J25" i="5"/>
  <c r="G25" i="5"/>
  <c r="H24" i="5"/>
  <c r="G24" i="5"/>
  <c r="J24" i="5" s="1"/>
  <c r="J23" i="5"/>
  <c r="H23" i="5"/>
  <c r="G23" i="5"/>
  <c r="J22" i="5"/>
  <c r="H22" i="5"/>
  <c r="G22" i="5"/>
  <c r="G21" i="5"/>
  <c r="G20" i="5"/>
  <c r="J19" i="5"/>
  <c r="H19" i="5"/>
  <c r="G19" i="5"/>
  <c r="J18" i="5"/>
  <c r="H18" i="5"/>
  <c r="G18" i="5"/>
  <c r="G17" i="5"/>
  <c r="J16" i="5"/>
  <c r="H16" i="5"/>
  <c r="G16" i="5"/>
  <c r="J15" i="5"/>
  <c r="H15" i="5"/>
  <c r="G15" i="5"/>
  <c r="J14" i="5"/>
  <c r="H14" i="5"/>
  <c r="G14" i="5"/>
  <c r="G13" i="5"/>
  <c r="H12" i="5"/>
  <c r="G12" i="5"/>
  <c r="G11" i="5"/>
  <c r="H10" i="5"/>
  <c r="G10" i="5"/>
  <c r="J10" i="5" s="1"/>
  <c r="H9" i="5"/>
  <c r="G9" i="5"/>
  <c r="G66" i="4"/>
  <c r="G65" i="4"/>
  <c r="G64" i="4"/>
  <c r="G63" i="4"/>
  <c r="E58" i="4"/>
  <c r="D58" i="4"/>
  <c r="C58" i="4"/>
  <c r="E57" i="4"/>
  <c r="D57" i="4"/>
  <c r="C57" i="4"/>
  <c r="H51" i="4"/>
  <c r="G51" i="4"/>
  <c r="G50" i="4"/>
  <c r="H50" i="4" s="1"/>
  <c r="H49" i="4"/>
  <c r="G49" i="4"/>
  <c r="F42" i="4"/>
  <c r="E42" i="4"/>
  <c r="D42" i="4"/>
  <c r="C42" i="4"/>
  <c r="G41" i="4"/>
  <c r="H40" i="4"/>
  <c r="G40" i="4"/>
  <c r="J40" i="4" s="1"/>
  <c r="G39" i="4"/>
  <c r="G38" i="4"/>
  <c r="H37" i="4"/>
  <c r="G37" i="4"/>
  <c r="J37" i="4" s="1"/>
  <c r="G36" i="4"/>
  <c r="H35" i="4"/>
  <c r="G35" i="4"/>
  <c r="G34" i="4"/>
  <c r="H34" i="4" s="1"/>
  <c r="G33" i="4"/>
  <c r="H32" i="4"/>
  <c r="G32" i="4"/>
  <c r="J32" i="4" s="1"/>
  <c r="G31" i="4"/>
  <c r="G30" i="4"/>
  <c r="J30" i="4" s="1"/>
  <c r="H29" i="4"/>
  <c r="G29" i="4"/>
  <c r="J29" i="4" s="1"/>
  <c r="G28" i="4"/>
  <c r="J27" i="4"/>
  <c r="G27" i="4"/>
  <c r="H26" i="4"/>
  <c r="G26" i="4"/>
  <c r="J26" i="4" s="1"/>
  <c r="G25" i="4"/>
  <c r="J24" i="4"/>
  <c r="G24" i="4"/>
  <c r="H23" i="4"/>
  <c r="G23" i="4"/>
  <c r="J23" i="4" s="1"/>
  <c r="G22" i="4"/>
  <c r="G21" i="4"/>
  <c r="J21" i="4" s="1"/>
  <c r="H20" i="4"/>
  <c r="G20" i="4"/>
  <c r="J20" i="4" s="1"/>
  <c r="G19" i="4"/>
  <c r="J18" i="4"/>
  <c r="G18" i="4"/>
  <c r="H17" i="4"/>
  <c r="G17" i="4"/>
  <c r="J17" i="4" s="1"/>
  <c r="G16" i="4"/>
  <c r="G15" i="4"/>
  <c r="J14" i="4"/>
  <c r="H14" i="4"/>
  <c r="G14" i="4"/>
  <c r="G13" i="4"/>
  <c r="J12" i="4"/>
  <c r="G12" i="4"/>
  <c r="J11" i="4"/>
  <c r="H11" i="4"/>
  <c r="G11" i="4"/>
  <c r="G10" i="4"/>
  <c r="G9" i="4"/>
  <c r="G67" i="3"/>
  <c r="G66" i="3"/>
  <c r="G65" i="3"/>
  <c r="G64" i="3"/>
  <c r="E59" i="3"/>
  <c r="D59" i="3"/>
  <c r="C59" i="3"/>
  <c r="E58" i="3"/>
  <c r="D58" i="3"/>
  <c r="C58" i="3"/>
  <c r="G52" i="3"/>
  <c r="H52" i="3" s="1"/>
  <c r="G51" i="3"/>
  <c r="H51" i="3" s="1"/>
  <c r="H50" i="3"/>
  <c r="G50" i="3"/>
  <c r="F43" i="3"/>
  <c r="E43" i="3"/>
  <c r="D43" i="3"/>
  <c r="C43" i="3"/>
  <c r="G42" i="3"/>
  <c r="H42" i="3" s="1"/>
  <c r="J41" i="3"/>
  <c r="G41" i="3"/>
  <c r="H40" i="3"/>
  <c r="G40" i="3"/>
  <c r="J40" i="3" s="1"/>
  <c r="J39" i="3"/>
  <c r="G39" i="3"/>
  <c r="H39" i="3" s="1"/>
  <c r="G38" i="3"/>
  <c r="H38" i="3" s="1"/>
  <c r="J37" i="3"/>
  <c r="G37" i="3"/>
  <c r="J36" i="3"/>
  <c r="H36" i="3"/>
  <c r="G36" i="3"/>
  <c r="H35" i="3"/>
  <c r="G35" i="3"/>
  <c r="H34" i="3"/>
  <c r="G34" i="3"/>
  <c r="G33" i="3"/>
  <c r="G32" i="3"/>
  <c r="J32" i="3" s="1"/>
  <c r="J31" i="3"/>
  <c r="H31" i="3"/>
  <c r="G31" i="3"/>
  <c r="G30" i="3"/>
  <c r="G29" i="3"/>
  <c r="J28" i="3"/>
  <c r="H28" i="3"/>
  <c r="G28" i="3"/>
  <c r="G27" i="3"/>
  <c r="J27" i="3" s="1"/>
  <c r="J26" i="3"/>
  <c r="G26" i="3"/>
  <c r="J25" i="3"/>
  <c r="H25" i="3"/>
  <c r="G25" i="3"/>
  <c r="G24" i="3"/>
  <c r="J24" i="3" s="1"/>
  <c r="G23" i="3"/>
  <c r="H23" i="3" s="1"/>
  <c r="J22" i="3"/>
  <c r="H22" i="3"/>
  <c r="G22" i="3"/>
  <c r="J21" i="3"/>
  <c r="H21" i="3"/>
  <c r="G21" i="3"/>
  <c r="G20" i="3"/>
  <c r="J20" i="3" s="1"/>
  <c r="J19" i="3"/>
  <c r="H19" i="3"/>
  <c r="G19" i="3"/>
  <c r="J18" i="3"/>
  <c r="H18" i="3"/>
  <c r="G18" i="3"/>
  <c r="G17" i="3"/>
  <c r="J17" i="3" s="1"/>
  <c r="J16" i="3"/>
  <c r="H16" i="3"/>
  <c r="G16" i="3"/>
  <c r="J15" i="3"/>
  <c r="H15" i="3"/>
  <c r="G15" i="3"/>
  <c r="G14" i="3"/>
  <c r="J14" i="3" s="1"/>
  <c r="J13" i="3"/>
  <c r="H13" i="3"/>
  <c r="G13" i="3"/>
  <c r="J12" i="3"/>
  <c r="H12" i="3"/>
  <c r="G12" i="3"/>
  <c r="G11" i="3"/>
  <c r="J11" i="3" s="1"/>
  <c r="J10" i="3"/>
  <c r="H10" i="3"/>
  <c r="G10" i="3"/>
  <c r="J9" i="3"/>
  <c r="H9" i="3"/>
  <c r="G9" i="3"/>
  <c r="G62" i="2"/>
  <c r="G61" i="2"/>
  <c r="G60" i="2"/>
  <c r="G59" i="2"/>
  <c r="E54" i="2"/>
  <c r="D54" i="2"/>
  <c r="C54" i="2"/>
  <c r="E53" i="2"/>
  <c r="D53" i="2"/>
  <c r="C53" i="2"/>
  <c r="H47" i="2"/>
  <c r="G47" i="2"/>
  <c r="H46" i="2"/>
  <c r="G46" i="2"/>
  <c r="G45" i="2"/>
  <c r="H45" i="2" s="1"/>
  <c r="F38" i="2"/>
  <c r="E38" i="2"/>
  <c r="D38" i="2"/>
  <c r="C38" i="2"/>
  <c r="H37" i="2"/>
  <c r="G37" i="2"/>
  <c r="H36" i="2"/>
  <c r="G36" i="2"/>
  <c r="J35" i="2"/>
  <c r="H35" i="2"/>
  <c r="G35" i="2"/>
  <c r="G34" i="2"/>
  <c r="J34" i="2" s="1"/>
  <c r="G33" i="2"/>
  <c r="H32" i="2"/>
  <c r="G32" i="2"/>
  <c r="J32" i="2" s="1"/>
  <c r="G31" i="2"/>
  <c r="J31" i="2" s="1"/>
  <c r="J30" i="2"/>
  <c r="G30" i="2"/>
  <c r="G29" i="2"/>
  <c r="J28" i="2"/>
  <c r="H28" i="2"/>
  <c r="G28" i="2"/>
  <c r="H27" i="2"/>
  <c r="G27" i="2"/>
  <c r="G26" i="2"/>
  <c r="J26" i="2" s="1"/>
  <c r="H25" i="2"/>
  <c r="G25" i="2"/>
  <c r="G24" i="2"/>
  <c r="H24" i="2" s="1"/>
  <c r="H23" i="2"/>
  <c r="G23" i="2"/>
  <c r="G22" i="2"/>
  <c r="J22" i="2" s="1"/>
  <c r="J21" i="2"/>
  <c r="H21" i="2"/>
  <c r="G21" i="2"/>
  <c r="J20" i="2"/>
  <c r="H20" i="2"/>
  <c r="G20" i="2"/>
  <c r="G19" i="2"/>
  <c r="H19" i="2" s="1"/>
  <c r="H18" i="2"/>
  <c r="G18" i="2"/>
  <c r="G17" i="2"/>
  <c r="J17" i="2" s="1"/>
  <c r="G16" i="2"/>
  <c r="H15" i="2"/>
  <c r="G15" i="2"/>
  <c r="J15" i="2" s="1"/>
  <c r="G14" i="2"/>
  <c r="J14" i="2" s="1"/>
  <c r="H13" i="2"/>
  <c r="G13" i="2"/>
  <c r="G12" i="2"/>
  <c r="J12" i="2" s="1"/>
  <c r="J11" i="2"/>
  <c r="H11" i="2"/>
  <c r="G11" i="2"/>
  <c r="J10" i="2"/>
  <c r="H10" i="2"/>
  <c r="G10" i="2"/>
  <c r="G9" i="2"/>
  <c r="H9" i="2" s="1"/>
  <c r="G66" i="1"/>
  <c r="G65" i="1"/>
  <c r="G64" i="1"/>
  <c r="G63" i="1"/>
  <c r="E58" i="1"/>
  <c r="D58" i="1"/>
  <c r="C58" i="1"/>
  <c r="E57" i="1"/>
  <c r="D57" i="1"/>
  <c r="C57" i="1"/>
  <c r="G51" i="1"/>
  <c r="H51" i="1" s="1"/>
  <c r="H50" i="1"/>
  <c r="G50" i="1"/>
  <c r="G49" i="1"/>
  <c r="H49" i="1" s="1"/>
  <c r="F42" i="1"/>
  <c r="F43" i="1" s="1"/>
  <c r="E42" i="1"/>
  <c r="E43" i="1" s="1"/>
  <c r="D42" i="1"/>
  <c r="C42" i="1"/>
  <c r="H41" i="1"/>
  <c r="G41" i="1"/>
  <c r="I41" i="1" s="1"/>
  <c r="J40" i="1"/>
  <c r="H40" i="1"/>
  <c r="G40" i="1"/>
  <c r="G39" i="1"/>
  <c r="J39" i="1" s="1"/>
  <c r="G38" i="1"/>
  <c r="I38" i="1" s="1"/>
  <c r="H37" i="1"/>
  <c r="G37" i="1"/>
  <c r="J37" i="1" s="1"/>
  <c r="G36" i="1"/>
  <c r="J36" i="1" s="1"/>
  <c r="H35" i="1"/>
  <c r="G35" i="1"/>
  <c r="G34" i="1"/>
  <c r="J34" i="1" s="1"/>
  <c r="J33" i="1"/>
  <c r="H33" i="1"/>
  <c r="G33" i="1"/>
  <c r="J32" i="1"/>
  <c r="H32" i="1"/>
  <c r="G32" i="1"/>
  <c r="G31" i="1"/>
  <c r="J31" i="1" s="1"/>
  <c r="J30" i="1"/>
  <c r="H30" i="1"/>
  <c r="G30" i="1"/>
  <c r="I30" i="1" s="1"/>
  <c r="J29" i="1"/>
  <c r="H29" i="1"/>
  <c r="G29" i="1"/>
  <c r="G28" i="1"/>
  <c r="J28" i="1" s="1"/>
  <c r="J27" i="1"/>
  <c r="H27" i="1"/>
  <c r="G27" i="1"/>
  <c r="H26" i="1"/>
  <c r="G26" i="1"/>
  <c r="H25" i="1"/>
  <c r="G25" i="1"/>
  <c r="I25" i="1" s="1"/>
  <c r="J24" i="1"/>
  <c r="H24" i="1"/>
  <c r="G24" i="1"/>
  <c r="G23" i="1"/>
  <c r="J23" i="1" s="1"/>
  <c r="J22" i="1"/>
  <c r="H22" i="1"/>
  <c r="G22" i="1"/>
  <c r="I22" i="1" s="1"/>
  <c r="J21" i="1"/>
  <c r="H21" i="1"/>
  <c r="G21" i="1"/>
  <c r="G20" i="1"/>
  <c r="J20" i="1" s="1"/>
  <c r="J19" i="1"/>
  <c r="H19" i="1"/>
  <c r="G19" i="1"/>
  <c r="J18" i="1"/>
  <c r="H18" i="1"/>
  <c r="G18" i="1"/>
  <c r="G17" i="1"/>
  <c r="H17" i="1" s="1"/>
  <c r="J16" i="1"/>
  <c r="G16" i="1"/>
  <c r="H15" i="1"/>
  <c r="G15" i="1"/>
  <c r="J15" i="1" s="1"/>
  <c r="G14" i="1"/>
  <c r="J14" i="1" s="1"/>
  <c r="H13" i="1"/>
  <c r="G13" i="1"/>
  <c r="G12" i="1"/>
  <c r="G42" i="1" s="1"/>
  <c r="J11" i="1"/>
  <c r="H11" i="1"/>
  <c r="G11" i="1"/>
  <c r="I11" i="1" s="1"/>
  <c r="H10" i="1"/>
  <c r="G10" i="1"/>
  <c r="H9" i="1"/>
  <c r="G9" i="1"/>
  <c r="I9" i="1" s="1"/>
  <c r="I25" i="4" l="1"/>
  <c r="E39" i="2"/>
  <c r="I14" i="1"/>
  <c r="I18" i="1"/>
  <c r="I33" i="1"/>
  <c r="I36" i="1"/>
  <c r="I17" i="1"/>
  <c r="I10" i="1"/>
  <c r="D43" i="1"/>
  <c r="I35" i="1"/>
  <c r="I32" i="1"/>
  <c r="I21" i="1"/>
  <c r="I13" i="1"/>
  <c r="I37" i="1"/>
  <c r="I26" i="1"/>
  <c r="I15" i="1"/>
  <c r="I40" i="1"/>
  <c r="I29" i="1"/>
  <c r="I24" i="1"/>
  <c r="I16" i="1"/>
  <c r="I19" i="1"/>
  <c r="I27" i="1"/>
  <c r="C43" i="1"/>
  <c r="I33" i="2"/>
  <c r="F43" i="4"/>
  <c r="I40" i="8"/>
  <c r="I39" i="8"/>
  <c r="I36" i="8"/>
  <c r="I30" i="8"/>
  <c r="I15" i="8"/>
  <c r="I12" i="8"/>
  <c r="I9" i="8"/>
  <c r="I38" i="8"/>
  <c r="I23" i="8"/>
  <c r="I17" i="8"/>
  <c r="I11" i="8"/>
  <c r="I29" i="8"/>
  <c r="D42" i="8"/>
  <c r="I35" i="8"/>
  <c r="I32" i="8"/>
  <c r="I26" i="8"/>
  <c r="I20" i="8"/>
  <c r="I14" i="8"/>
  <c r="I34" i="14"/>
  <c r="I31" i="14"/>
  <c r="I28" i="14"/>
  <c r="I25" i="14"/>
  <c r="I17" i="14"/>
  <c r="I11" i="14"/>
  <c r="I23" i="14"/>
  <c r="I33" i="14"/>
  <c r="I30" i="14"/>
  <c r="I20" i="14"/>
  <c r="I14" i="14"/>
  <c r="I27" i="14"/>
  <c r="D36" i="14"/>
  <c r="I30" i="2"/>
  <c r="I16" i="4"/>
  <c r="F41" i="7"/>
  <c r="H40" i="5"/>
  <c r="H23" i="7"/>
  <c r="H29" i="7"/>
  <c r="I35" i="7"/>
  <c r="H35" i="7"/>
  <c r="F42" i="8"/>
  <c r="I20" i="9"/>
  <c r="I17" i="9"/>
  <c r="I14" i="9"/>
  <c r="I13" i="10"/>
  <c r="H13" i="10"/>
  <c r="I19" i="10"/>
  <c r="H19" i="10"/>
  <c r="I31" i="10"/>
  <c r="H31" i="10"/>
  <c r="I44" i="10"/>
  <c r="E48" i="10"/>
  <c r="I14" i="11"/>
  <c r="H14" i="11"/>
  <c r="H40" i="13"/>
  <c r="I12" i="14"/>
  <c r="I18" i="14"/>
  <c r="I22" i="14"/>
  <c r="H22" i="14"/>
  <c r="F36" i="14"/>
  <c r="H16" i="15"/>
  <c r="D40" i="15"/>
  <c r="H15" i="18"/>
  <c r="I21" i="20"/>
  <c r="H21" i="20"/>
  <c r="H17" i="21"/>
  <c r="H30" i="21"/>
  <c r="I32" i="23"/>
  <c r="H32" i="23"/>
  <c r="J32" i="23"/>
  <c r="H26" i="24"/>
  <c r="H23" i="30"/>
  <c r="H29" i="34"/>
  <c r="J29" i="34"/>
  <c r="I41" i="79"/>
  <c r="H41" i="79"/>
  <c r="H12" i="1"/>
  <c r="H23" i="1"/>
  <c r="H28" i="1"/>
  <c r="H39" i="1"/>
  <c r="H12" i="2"/>
  <c r="H38" i="2" s="1"/>
  <c r="H17" i="2"/>
  <c r="H22" i="2"/>
  <c r="H29" i="2"/>
  <c r="H34" i="2"/>
  <c r="H11" i="3"/>
  <c r="H14" i="3"/>
  <c r="H43" i="3" s="1"/>
  <c r="H17" i="3"/>
  <c r="H20" i="3"/>
  <c r="H27" i="3"/>
  <c r="H29" i="3"/>
  <c r="I38" i="3"/>
  <c r="H13" i="4"/>
  <c r="J13" i="4"/>
  <c r="I15" i="4"/>
  <c r="H15" i="4"/>
  <c r="H28" i="4"/>
  <c r="J28" i="4"/>
  <c r="I33" i="4"/>
  <c r="H33" i="4"/>
  <c r="I38" i="4"/>
  <c r="H38" i="4"/>
  <c r="H11" i="5"/>
  <c r="H48" i="5" s="1"/>
  <c r="I20" i="5"/>
  <c r="J40" i="5"/>
  <c r="I43" i="5"/>
  <c r="H43" i="5"/>
  <c r="J23" i="7"/>
  <c r="J29" i="7"/>
  <c r="J35" i="7"/>
  <c r="J37" i="8"/>
  <c r="I11" i="9"/>
  <c r="H11" i="9"/>
  <c r="I13" i="9"/>
  <c r="I16" i="9"/>
  <c r="I19" i="9"/>
  <c r="I32" i="9"/>
  <c r="H32" i="9"/>
  <c r="I11" i="10"/>
  <c r="J13" i="10"/>
  <c r="I17" i="10"/>
  <c r="J19" i="10"/>
  <c r="I26" i="10"/>
  <c r="J31" i="10"/>
  <c r="I34" i="10"/>
  <c r="H34" i="10"/>
  <c r="H47" i="10" s="1"/>
  <c r="I42" i="10"/>
  <c r="H42" i="10"/>
  <c r="C48" i="10"/>
  <c r="J14" i="11"/>
  <c r="I17" i="11"/>
  <c r="H17" i="11"/>
  <c r="H23" i="11"/>
  <c r="I31" i="11"/>
  <c r="H31" i="11"/>
  <c r="I40" i="11"/>
  <c r="H40" i="11"/>
  <c r="H20" i="12"/>
  <c r="I37" i="12"/>
  <c r="H37" i="12"/>
  <c r="C41" i="12"/>
  <c r="I41" i="13"/>
  <c r="H41" i="13"/>
  <c r="H44" i="13"/>
  <c r="J10" i="14"/>
  <c r="J22" i="14"/>
  <c r="H39" i="15"/>
  <c r="H12" i="15"/>
  <c r="H17" i="15"/>
  <c r="I31" i="15"/>
  <c r="H31" i="15"/>
  <c r="G39" i="16"/>
  <c r="I35" i="16" s="1"/>
  <c r="H12" i="17"/>
  <c r="H18" i="17"/>
  <c r="H24" i="17"/>
  <c r="H30" i="17"/>
  <c r="J15" i="18"/>
  <c r="H18" i="18"/>
  <c r="D22" i="19"/>
  <c r="J21" i="20"/>
  <c r="H32" i="20"/>
  <c r="F43" i="20"/>
  <c r="J17" i="21"/>
  <c r="J30" i="21"/>
  <c r="I33" i="21"/>
  <c r="H33" i="21"/>
  <c r="G30" i="22"/>
  <c r="I9" i="22" s="1"/>
  <c r="H9" i="22"/>
  <c r="I10" i="23"/>
  <c r="H10" i="23"/>
  <c r="H41" i="23" s="1"/>
  <c r="G41" i="23"/>
  <c r="I21" i="23" s="1"/>
  <c r="H21" i="23"/>
  <c r="H29" i="23"/>
  <c r="J29" i="23"/>
  <c r="E42" i="23"/>
  <c r="E40" i="25"/>
  <c r="I13" i="26"/>
  <c r="H33" i="26"/>
  <c r="J33" i="26"/>
  <c r="H14" i="30"/>
  <c r="J14" i="30"/>
  <c r="H32" i="32"/>
  <c r="I13" i="33"/>
  <c r="H13" i="33"/>
  <c r="G44" i="33"/>
  <c r="I10" i="33" s="1"/>
  <c r="J13" i="33"/>
  <c r="G38" i="2"/>
  <c r="I23" i="3"/>
  <c r="H25" i="4"/>
  <c r="J25" i="4"/>
  <c r="I30" i="4"/>
  <c r="H30" i="4"/>
  <c r="I31" i="5"/>
  <c r="I17" i="7"/>
  <c r="H17" i="7"/>
  <c r="I37" i="7"/>
  <c r="I37" i="8"/>
  <c r="H37" i="8"/>
  <c r="I26" i="9"/>
  <c r="I31" i="9"/>
  <c r="H31" i="9"/>
  <c r="I45" i="10"/>
  <c r="I33" i="10"/>
  <c r="I30" i="10"/>
  <c r="I27" i="10"/>
  <c r="I24" i="10"/>
  <c r="I21" i="10"/>
  <c r="I18" i="10"/>
  <c r="I15" i="10"/>
  <c r="I12" i="10"/>
  <c r="I9" i="10"/>
  <c r="I23" i="10"/>
  <c r="H28" i="11"/>
  <c r="H39" i="11"/>
  <c r="I19" i="12"/>
  <c r="H19" i="12"/>
  <c r="I10" i="14"/>
  <c r="H10" i="14"/>
  <c r="I16" i="14"/>
  <c r="H16" i="14"/>
  <c r="H22" i="15"/>
  <c r="H28" i="29"/>
  <c r="J28" i="29"/>
  <c r="H30" i="30"/>
  <c r="I39" i="41"/>
  <c r="H39" i="41"/>
  <c r="J39" i="41"/>
  <c r="H20" i="1"/>
  <c r="H31" i="1"/>
  <c r="H34" i="1"/>
  <c r="I12" i="1"/>
  <c r="H14" i="1"/>
  <c r="I20" i="1"/>
  <c r="I23" i="1"/>
  <c r="I28" i="1"/>
  <c r="I31" i="1"/>
  <c r="I34" i="1"/>
  <c r="H36" i="1"/>
  <c r="I39" i="1"/>
  <c r="I12" i="2"/>
  <c r="H14" i="2"/>
  <c r="I17" i="2"/>
  <c r="I22" i="2"/>
  <c r="H26" i="2"/>
  <c r="H31" i="2"/>
  <c r="I34" i="2"/>
  <c r="I11" i="3"/>
  <c r="I14" i="3"/>
  <c r="J23" i="3"/>
  <c r="J29" i="3"/>
  <c r="H41" i="3"/>
  <c r="J15" i="4"/>
  <c r="I18" i="4"/>
  <c r="H18" i="4"/>
  <c r="I28" i="4"/>
  <c r="H31" i="4"/>
  <c r="J31" i="4"/>
  <c r="J33" i="4"/>
  <c r="H36" i="4"/>
  <c r="J36" i="4"/>
  <c r="J38" i="4"/>
  <c r="I41" i="4"/>
  <c r="H41" i="4"/>
  <c r="G48" i="5"/>
  <c r="I12" i="5"/>
  <c r="H20" i="5"/>
  <c r="H25" i="5"/>
  <c r="J31" i="5"/>
  <c r="J43" i="5"/>
  <c r="G41" i="6"/>
  <c r="H9" i="6"/>
  <c r="I12" i="6"/>
  <c r="H12" i="6"/>
  <c r="H15" i="6"/>
  <c r="H18" i="6"/>
  <c r="I21" i="6"/>
  <c r="H21" i="6"/>
  <c r="H24" i="6"/>
  <c r="H27" i="6"/>
  <c r="I30" i="6"/>
  <c r="H30" i="6"/>
  <c r="H33" i="6"/>
  <c r="H36" i="6"/>
  <c r="I39" i="6"/>
  <c r="H39" i="6"/>
  <c r="H10" i="7"/>
  <c r="H40" i="7" s="1"/>
  <c r="H13" i="7"/>
  <c r="I13" i="8"/>
  <c r="H13" i="8"/>
  <c r="I19" i="8"/>
  <c r="H19" i="8"/>
  <c r="I21" i="8"/>
  <c r="I25" i="8"/>
  <c r="H25" i="8"/>
  <c r="I27" i="8"/>
  <c r="I31" i="8"/>
  <c r="H31" i="8"/>
  <c r="I33" i="8"/>
  <c r="I9" i="9"/>
  <c r="J11" i="9"/>
  <c r="I25" i="9"/>
  <c r="H25" i="9"/>
  <c r="I27" i="9"/>
  <c r="I29" i="9"/>
  <c r="I33" i="9"/>
  <c r="H33" i="9"/>
  <c r="I29" i="10"/>
  <c r="J34" i="10"/>
  <c r="I37" i="10"/>
  <c r="H37" i="10"/>
  <c r="J42" i="10"/>
  <c r="D48" i="10"/>
  <c r="H18" i="11"/>
  <c r="J23" i="11"/>
  <c r="J31" i="11"/>
  <c r="I34" i="11"/>
  <c r="H34" i="11"/>
  <c r="H11" i="12"/>
  <c r="H40" i="12" s="1"/>
  <c r="I14" i="12"/>
  <c r="H14" i="12"/>
  <c r="I17" i="12"/>
  <c r="J20" i="12"/>
  <c r="H29" i="12"/>
  <c r="J37" i="12"/>
  <c r="J41" i="13"/>
  <c r="I45" i="13"/>
  <c r="H45" i="13"/>
  <c r="J12" i="15"/>
  <c r="J17" i="15"/>
  <c r="J31" i="15"/>
  <c r="I29" i="16"/>
  <c r="H29" i="16"/>
  <c r="H35" i="16"/>
  <c r="D40" i="16"/>
  <c r="J12" i="17"/>
  <c r="J18" i="17"/>
  <c r="J24" i="17"/>
  <c r="J30" i="17"/>
  <c r="H11" i="18"/>
  <c r="J18" i="18"/>
  <c r="H21" i="18"/>
  <c r="H24" i="18"/>
  <c r="H27" i="18"/>
  <c r="H30" i="18"/>
  <c r="H33" i="18"/>
  <c r="H36" i="18"/>
  <c r="G21" i="19"/>
  <c r="I9" i="19"/>
  <c r="H9" i="19"/>
  <c r="I19" i="19"/>
  <c r="H19" i="19"/>
  <c r="I9" i="20"/>
  <c r="H9" i="20"/>
  <c r="J32" i="20"/>
  <c r="G42" i="20"/>
  <c r="E43" i="20" s="1"/>
  <c r="J33" i="21"/>
  <c r="I29" i="22"/>
  <c r="H29" i="22"/>
  <c r="I26" i="23"/>
  <c r="H26" i="23"/>
  <c r="J26" i="23"/>
  <c r="I14" i="24"/>
  <c r="H14" i="24"/>
  <c r="J14" i="24"/>
  <c r="I21" i="25"/>
  <c r="H21" i="25"/>
  <c r="J21" i="25"/>
  <c r="I17" i="26"/>
  <c r="I20" i="26"/>
  <c r="H43" i="27"/>
  <c r="J43" i="27"/>
  <c r="I15" i="29"/>
  <c r="H15" i="29"/>
  <c r="J15" i="29"/>
  <c r="H28" i="35"/>
  <c r="J28" i="35"/>
  <c r="H27" i="37"/>
  <c r="J27" i="37"/>
  <c r="H35" i="44"/>
  <c r="J35" i="44"/>
  <c r="J12" i="1"/>
  <c r="H30" i="3"/>
  <c r="J30" i="3"/>
  <c r="I9" i="4"/>
  <c r="G42" i="4"/>
  <c r="I39" i="4" s="1"/>
  <c r="H9" i="4"/>
  <c r="I17" i="5"/>
  <c r="I21" i="5"/>
  <c r="H21" i="5"/>
  <c r="I14" i="7"/>
  <c r="H14" i="7"/>
  <c r="I20" i="7"/>
  <c r="H20" i="7"/>
  <c r="C42" i="8"/>
  <c r="I10" i="10"/>
  <c r="H10" i="10"/>
  <c r="I16" i="10"/>
  <c r="H16" i="10"/>
  <c r="I22" i="10"/>
  <c r="H22" i="10"/>
  <c r="I32" i="10"/>
  <c r="I40" i="10"/>
  <c r="I35" i="12"/>
  <c r="H12" i="13"/>
  <c r="H18" i="13"/>
  <c r="I24" i="13"/>
  <c r="H24" i="13"/>
  <c r="H33" i="13"/>
  <c r="I15" i="14"/>
  <c r="I19" i="14"/>
  <c r="H19" i="14"/>
  <c r="I26" i="14"/>
  <c r="H26" i="14"/>
  <c r="I29" i="14"/>
  <c r="H29" i="14"/>
  <c r="I32" i="14"/>
  <c r="H32" i="14"/>
  <c r="C36" i="14"/>
  <c r="H10" i="16"/>
  <c r="H13" i="16"/>
  <c r="I19" i="16"/>
  <c r="H19" i="16"/>
  <c r="H25" i="16"/>
  <c r="I12" i="19"/>
  <c r="H12" i="19"/>
  <c r="F22" i="19"/>
  <c r="I12" i="20"/>
  <c r="H12" i="20"/>
  <c r="I25" i="24"/>
  <c r="H15" i="28"/>
  <c r="J15" i="28"/>
  <c r="H25" i="28"/>
  <c r="H16" i="1"/>
  <c r="H42" i="1" s="1"/>
  <c r="H38" i="1"/>
  <c r="H16" i="2"/>
  <c r="H30" i="2"/>
  <c r="H33" i="2"/>
  <c r="G43" i="3"/>
  <c r="H24" i="3"/>
  <c r="H26" i="3"/>
  <c r="I30" i="3"/>
  <c r="I37" i="3"/>
  <c r="H37" i="3"/>
  <c r="J9" i="4"/>
  <c r="H19" i="4"/>
  <c r="J19" i="4"/>
  <c r="I24" i="4"/>
  <c r="H24" i="4"/>
  <c r="I34" i="4"/>
  <c r="I13" i="5"/>
  <c r="H13" i="5"/>
  <c r="H17" i="5"/>
  <c r="I19" i="5"/>
  <c r="I22" i="5"/>
  <c r="I28" i="5"/>
  <c r="I37" i="5"/>
  <c r="I47" i="5"/>
  <c r="H47" i="5"/>
  <c r="J14" i="7"/>
  <c r="J20" i="7"/>
  <c r="I39" i="7"/>
  <c r="H39" i="7"/>
  <c r="I10" i="9"/>
  <c r="I15" i="9"/>
  <c r="H15" i="9"/>
  <c r="I18" i="9"/>
  <c r="H18" i="9"/>
  <c r="H36" i="9" s="1"/>
  <c r="I21" i="9"/>
  <c r="H21" i="9"/>
  <c r="D37" i="9"/>
  <c r="J10" i="10"/>
  <c r="I14" i="10"/>
  <c r="J16" i="10"/>
  <c r="I20" i="10"/>
  <c r="J22" i="10"/>
  <c r="I25" i="10"/>
  <c r="H25" i="10"/>
  <c r="I35" i="10"/>
  <c r="I43" i="10"/>
  <c r="F48" i="10"/>
  <c r="I10" i="11"/>
  <c r="H10" i="11"/>
  <c r="G40" i="12"/>
  <c r="I24" i="12"/>
  <c r="H24" i="12"/>
  <c r="I27" i="12"/>
  <c r="I33" i="12"/>
  <c r="H33" i="12"/>
  <c r="F41" i="12"/>
  <c r="J12" i="13"/>
  <c r="J18" i="13"/>
  <c r="J24" i="13"/>
  <c r="J33" i="13"/>
  <c r="J19" i="14"/>
  <c r="J26" i="14"/>
  <c r="J29" i="14"/>
  <c r="J32" i="14"/>
  <c r="I28" i="15"/>
  <c r="H28" i="15"/>
  <c r="H38" i="15"/>
  <c r="J10" i="16"/>
  <c r="J13" i="16"/>
  <c r="J19" i="16"/>
  <c r="J25" i="16"/>
  <c r="F40" i="16"/>
  <c r="H9" i="17"/>
  <c r="I11" i="17"/>
  <c r="H15" i="17"/>
  <c r="H21" i="17"/>
  <c r="I23" i="17"/>
  <c r="H27" i="17"/>
  <c r="H33" i="17"/>
  <c r="I35" i="17"/>
  <c r="J12" i="19"/>
  <c r="J12" i="20"/>
  <c r="I15" i="20"/>
  <c r="H15" i="20"/>
  <c r="I25" i="20"/>
  <c r="H25" i="20"/>
  <c r="I39" i="20"/>
  <c r="H39" i="20"/>
  <c r="C43" i="20"/>
  <c r="I24" i="21"/>
  <c r="H24" i="21"/>
  <c r="I9" i="23"/>
  <c r="H18" i="24"/>
  <c r="I36" i="24"/>
  <c r="E44" i="24"/>
  <c r="H14" i="26"/>
  <c r="J14" i="26"/>
  <c r="H30" i="26"/>
  <c r="G38" i="28"/>
  <c r="H9" i="28"/>
  <c r="H24" i="29"/>
  <c r="J24" i="29"/>
  <c r="H34" i="29"/>
  <c r="J34" i="29"/>
  <c r="H14" i="32"/>
  <c r="J14" i="32"/>
  <c r="H16" i="36"/>
  <c r="J16" i="36"/>
  <c r="I13" i="51"/>
  <c r="I32" i="3"/>
  <c r="H32" i="3"/>
  <c r="F44" i="3"/>
  <c r="H16" i="4"/>
  <c r="J16" i="4"/>
  <c r="I21" i="4"/>
  <c r="H21" i="4"/>
  <c r="H39" i="4"/>
  <c r="J39" i="4"/>
  <c r="F49" i="5"/>
  <c r="I40" i="6"/>
  <c r="H40" i="6"/>
  <c r="H26" i="7"/>
  <c r="I32" i="7"/>
  <c r="H32" i="7"/>
  <c r="I34" i="7"/>
  <c r="I23" i="9"/>
  <c r="G41" i="11"/>
  <c r="H9" i="11"/>
  <c r="I23" i="12"/>
  <c r="H23" i="12"/>
  <c r="I30" i="12"/>
  <c r="H30" i="12"/>
  <c r="G49" i="13"/>
  <c r="H9" i="13"/>
  <c r="I15" i="13"/>
  <c r="H15" i="13"/>
  <c r="H21" i="13"/>
  <c r="H27" i="13"/>
  <c r="I30" i="13"/>
  <c r="H30" i="13"/>
  <c r="H36" i="13"/>
  <c r="H46" i="13"/>
  <c r="I13" i="14"/>
  <c r="H13" i="14"/>
  <c r="I21" i="14"/>
  <c r="H37" i="15"/>
  <c r="I16" i="16"/>
  <c r="H16" i="16"/>
  <c r="H22" i="16"/>
  <c r="H40" i="17"/>
  <c r="G38" i="18"/>
  <c r="I27" i="18" s="1"/>
  <c r="H21" i="21"/>
  <c r="I37" i="25"/>
  <c r="I31" i="25"/>
  <c r="I28" i="25"/>
  <c r="I25" i="25"/>
  <c r="I18" i="25"/>
  <c r="I15" i="25"/>
  <c r="I12" i="25"/>
  <c r="I38" i="25"/>
  <c r="I22" i="25"/>
  <c r="I9" i="25"/>
  <c r="I24" i="25"/>
  <c r="H24" i="25"/>
  <c r="J24" i="25"/>
  <c r="I12" i="28"/>
  <c r="H35" i="28"/>
  <c r="J35" i="28"/>
  <c r="I38" i="34"/>
  <c r="H38" i="34"/>
  <c r="I39" i="39"/>
  <c r="I36" i="39"/>
  <c r="I38" i="39"/>
  <c r="I34" i="39"/>
  <c r="I31" i="39"/>
  <c r="I28" i="39"/>
  <c r="I25" i="39"/>
  <c r="I22" i="39"/>
  <c r="I19" i="39"/>
  <c r="I16" i="39"/>
  <c r="I9" i="39"/>
  <c r="I35" i="39"/>
  <c r="I12" i="39"/>
  <c r="F44" i="39"/>
  <c r="I24" i="3"/>
  <c r="H33" i="3"/>
  <c r="J33" i="3"/>
  <c r="H10" i="4"/>
  <c r="J10" i="4"/>
  <c r="I12" i="4"/>
  <c r="H12" i="4"/>
  <c r="H22" i="4"/>
  <c r="J22" i="4"/>
  <c r="I27" i="4"/>
  <c r="H27" i="4"/>
  <c r="E43" i="4"/>
  <c r="I14" i="5"/>
  <c r="J17" i="5"/>
  <c r="D42" i="6"/>
  <c r="I10" i="8"/>
  <c r="H10" i="8"/>
  <c r="H41" i="8" s="1"/>
  <c r="I16" i="8"/>
  <c r="H16" i="8"/>
  <c r="I18" i="8"/>
  <c r="I22" i="8"/>
  <c r="H22" i="8"/>
  <c r="I24" i="8"/>
  <c r="I28" i="8"/>
  <c r="H28" i="8"/>
  <c r="I34" i="8"/>
  <c r="H34" i="8"/>
  <c r="E42" i="8"/>
  <c r="I12" i="9"/>
  <c r="I22" i="9"/>
  <c r="H22" i="9"/>
  <c r="I24" i="9"/>
  <c r="I28" i="9"/>
  <c r="H28" i="9"/>
  <c r="I34" i="9"/>
  <c r="E37" i="9"/>
  <c r="I28" i="10"/>
  <c r="H28" i="10"/>
  <c r="I38" i="10"/>
  <c r="I46" i="10"/>
  <c r="H46" i="10"/>
  <c r="I11" i="11"/>
  <c r="H11" i="11"/>
  <c r="I38" i="11"/>
  <c r="H38" i="11"/>
  <c r="I18" i="12"/>
  <c r="H18" i="12"/>
  <c r="I9" i="14"/>
  <c r="H9" i="14"/>
  <c r="I24" i="14"/>
  <c r="E36" i="14"/>
  <c r="I28" i="16"/>
  <c r="H32" i="16"/>
  <c r="I34" i="16"/>
  <c r="H38" i="16"/>
  <c r="J9" i="17"/>
  <c r="J15" i="17"/>
  <c r="J21" i="17"/>
  <c r="J27" i="17"/>
  <c r="J33" i="17"/>
  <c r="G44" i="17"/>
  <c r="I15" i="19"/>
  <c r="H15" i="19"/>
  <c r="J15" i="20"/>
  <c r="I18" i="20"/>
  <c r="H18" i="20"/>
  <c r="J25" i="20"/>
  <c r="I28" i="20"/>
  <c r="H28" i="20"/>
  <c r="J39" i="20"/>
  <c r="H14" i="21"/>
  <c r="J24" i="21"/>
  <c r="I27" i="21"/>
  <c r="H27" i="21"/>
  <c r="I38" i="23"/>
  <c r="H38" i="23"/>
  <c r="J38" i="23"/>
  <c r="I20" i="25"/>
  <c r="I32" i="25"/>
  <c r="H31" i="29"/>
  <c r="J31" i="29"/>
  <c r="I31" i="36"/>
  <c r="H31" i="36"/>
  <c r="J31" i="36"/>
  <c r="H20" i="37"/>
  <c r="J20" i="37"/>
  <c r="G44" i="37"/>
  <c r="H17" i="38"/>
  <c r="J17" i="38"/>
  <c r="I40" i="3"/>
  <c r="I9" i="5"/>
  <c r="I24" i="5"/>
  <c r="I27" i="5"/>
  <c r="I30" i="5"/>
  <c r="I33" i="5"/>
  <c r="I36" i="5"/>
  <c r="I39" i="5"/>
  <c r="I42" i="5"/>
  <c r="J45" i="5"/>
  <c r="J10" i="6"/>
  <c r="J13" i="6"/>
  <c r="J16" i="6"/>
  <c r="J19" i="6"/>
  <c r="J22" i="6"/>
  <c r="J25" i="6"/>
  <c r="J28" i="6"/>
  <c r="J31" i="6"/>
  <c r="J34" i="6"/>
  <c r="J37" i="6"/>
  <c r="J11" i="7"/>
  <c r="G40" i="7"/>
  <c r="I31" i="7" s="1"/>
  <c r="J13" i="9"/>
  <c r="J16" i="9"/>
  <c r="J19" i="9"/>
  <c r="I30" i="9"/>
  <c r="I35" i="9"/>
  <c r="I36" i="10"/>
  <c r="I41" i="10"/>
  <c r="J12" i="11"/>
  <c r="J15" i="11"/>
  <c r="I22" i="11"/>
  <c r="I27" i="11"/>
  <c r="I30" i="11"/>
  <c r="I33" i="11"/>
  <c r="J36" i="11"/>
  <c r="I9" i="12"/>
  <c r="J12" i="12"/>
  <c r="J15" i="12"/>
  <c r="I22" i="12"/>
  <c r="J25" i="12"/>
  <c r="I32" i="12"/>
  <c r="J10" i="13"/>
  <c r="J13" i="13"/>
  <c r="J16" i="13"/>
  <c r="J19" i="13"/>
  <c r="J22" i="13"/>
  <c r="J25" i="13"/>
  <c r="J28" i="13"/>
  <c r="J31" i="13"/>
  <c r="J34" i="13"/>
  <c r="J42" i="13"/>
  <c r="J27" i="14"/>
  <c r="J30" i="14"/>
  <c r="J33" i="14"/>
  <c r="J10" i="15"/>
  <c r="J20" i="15"/>
  <c r="J35" i="15"/>
  <c r="J11" i="16"/>
  <c r="J14" i="16"/>
  <c r="J17" i="16"/>
  <c r="J20" i="16"/>
  <c r="J23" i="16"/>
  <c r="J16" i="18"/>
  <c r="J19" i="18"/>
  <c r="J22" i="18"/>
  <c r="J25" i="18"/>
  <c r="J28" i="18"/>
  <c r="J31" i="18"/>
  <c r="J34" i="18"/>
  <c r="J26" i="20"/>
  <c r="J29" i="20"/>
  <c r="J41" i="20"/>
  <c r="J19" i="21"/>
  <c r="J22" i="21"/>
  <c r="J25" i="21"/>
  <c r="J28" i="21"/>
  <c r="J31" i="21"/>
  <c r="I37" i="21"/>
  <c r="H37" i="21"/>
  <c r="H40" i="21"/>
  <c r="I22" i="23"/>
  <c r="H22" i="23"/>
  <c r="F42" i="23"/>
  <c r="H12" i="24"/>
  <c r="H43" i="24" s="1"/>
  <c r="I19" i="24"/>
  <c r="H19" i="24"/>
  <c r="F44" i="24"/>
  <c r="I31" i="26"/>
  <c r="H31" i="26"/>
  <c r="D38" i="26"/>
  <c r="I21" i="27"/>
  <c r="H26" i="28"/>
  <c r="I12" i="29"/>
  <c r="H12" i="29"/>
  <c r="I21" i="29"/>
  <c r="H21" i="29"/>
  <c r="H37" i="29"/>
  <c r="C44" i="29"/>
  <c r="I24" i="30"/>
  <c r="H24" i="30"/>
  <c r="H36" i="30"/>
  <c r="J36" i="30"/>
  <c r="I39" i="31"/>
  <c r="I36" i="31"/>
  <c r="I33" i="31"/>
  <c r="H17" i="32"/>
  <c r="J17" i="32"/>
  <c r="H44" i="32"/>
  <c r="F45" i="33"/>
  <c r="H14" i="34"/>
  <c r="H23" i="34"/>
  <c r="J23" i="34"/>
  <c r="I31" i="34"/>
  <c r="H14" i="35"/>
  <c r="I38" i="42"/>
  <c r="H38" i="42"/>
  <c r="J38" i="42"/>
  <c r="H9" i="18"/>
  <c r="J37" i="21"/>
  <c r="J40" i="21"/>
  <c r="D47" i="21"/>
  <c r="J22" i="23"/>
  <c r="I34" i="23"/>
  <c r="I37" i="23"/>
  <c r="H37" i="23"/>
  <c r="I40" i="23"/>
  <c r="I13" i="24"/>
  <c r="H13" i="24"/>
  <c r="H20" i="24"/>
  <c r="I23" i="24"/>
  <c r="I34" i="24"/>
  <c r="I37" i="24"/>
  <c r="H40" i="24"/>
  <c r="G43" i="24"/>
  <c r="I27" i="25"/>
  <c r="H27" i="25"/>
  <c r="I30" i="25"/>
  <c r="H30" i="25"/>
  <c r="I33" i="25"/>
  <c r="I36" i="25"/>
  <c r="H36" i="25"/>
  <c r="C40" i="25"/>
  <c r="I28" i="26"/>
  <c r="H32" i="26"/>
  <c r="E38" i="26"/>
  <c r="G48" i="27"/>
  <c r="I43" i="27" s="1"/>
  <c r="I13" i="27"/>
  <c r="H13" i="27"/>
  <c r="H48" i="27" s="1"/>
  <c r="H19" i="27"/>
  <c r="I28" i="27"/>
  <c r="H28" i="27"/>
  <c r="H31" i="27"/>
  <c r="H34" i="27"/>
  <c r="I37" i="27"/>
  <c r="H37" i="27"/>
  <c r="J26" i="28"/>
  <c r="J12" i="29"/>
  <c r="J21" i="29"/>
  <c r="J37" i="29"/>
  <c r="I11" i="30"/>
  <c r="H11" i="30"/>
  <c r="J24" i="30"/>
  <c r="H27" i="30"/>
  <c r="H20" i="32"/>
  <c r="J20" i="32"/>
  <c r="H39" i="32"/>
  <c r="J39" i="32"/>
  <c r="H11" i="34"/>
  <c r="J11" i="34"/>
  <c r="I26" i="34"/>
  <c r="H26" i="34"/>
  <c r="J26" i="34"/>
  <c r="H11" i="35"/>
  <c r="H40" i="35" s="1"/>
  <c r="J11" i="35"/>
  <c r="E41" i="35"/>
  <c r="I21" i="36"/>
  <c r="H21" i="36"/>
  <c r="H26" i="38"/>
  <c r="J26" i="38"/>
  <c r="F45" i="38"/>
  <c r="I10" i="39"/>
  <c r="I42" i="39"/>
  <c r="H42" i="39"/>
  <c r="D47" i="42"/>
  <c r="I9" i="44"/>
  <c r="H9" i="44"/>
  <c r="J9" i="44"/>
  <c r="G39" i="15"/>
  <c r="G46" i="21"/>
  <c r="I34" i="21"/>
  <c r="F47" i="21"/>
  <c r="H10" i="22"/>
  <c r="I13" i="22"/>
  <c r="H13" i="22"/>
  <c r="I16" i="22"/>
  <c r="H16" i="22"/>
  <c r="H19" i="22"/>
  <c r="I11" i="23"/>
  <c r="H11" i="23"/>
  <c r="I35" i="23"/>
  <c r="C42" i="23"/>
  <c r="H27" i="24"/>
  <c r="I30" i="24"/>
  <c r="H30" i="24"/>
  <c r="I35" i="24"/>
  <c r="I19" i="25"/>
  <c r="I34" i="25"/>
  <c r="I9" i="26"/>
  <c r="H9" i="26"/>
  <c r="H37" i="26" s="1"/>
  <c r="G37" i="26"/>
  <c r="F38" i="26" s="1"/>
  <c r="I26" i="26"/>
  <c r="H26" i="26"/>
  <c r="I22" i="27"/>
  <c r="H22" i="27"/>
  <c r="H10" i="28"/>
  <c r="H21" i="28"/>
  <c r="I30" i="28"/>
  <c r="H30" i="28"/>
  <c r="I17" i="30"/>
  <c r="H17" i="30"/>
  <c r="I31" i="30"/>
  <c r="H31" i="30"/>
  <c r="I11" i="31"/>
  <c r="I17" i="31"/>
  <c r="I23" i="31"/>
  <c r="I29" i="31"/>
  <c r="D42" i="31"/>
  <c r="H29" i="32"/>
  <c r="J29" i="32"/>
  <c r="I19" i="33"/>
  <c r="H19" i="33"/>
  <c r="C45" i="33"/>
  <c r="I22" i="34"/>
  <c r="I32" i="34"/>
  <c r="H32" i="34"/>
  <c r="J32" i="34"/>
  <c r="H11" i="37"/>
  <c r="J11" i="37"/>
  <c r="I35" i="38"/>
  <c r="H35" i="38"/>
  <c r="J35" i="38"/>
  <c r="I9" i="40"/>
  <c r="H33" i="43"/>
  <c r="J33" i="43"/>
  <c r="H26" i="44"/>
  <c r="J26" i="44"/>
  <c r="J31" i="52"/>
  <c r="I31" i="52"/>
  <c r="H31" i="52"/>
  <c r="J9" i="16"/>
  <c r="H9" i="21"/>
  <c r="H34" i="21"/>
  <c r="I45" i="21"/>
  <c r="H45" i="21"/>
  <c r="J10" i="22"/>
  <c r="J13" i="22"/>
  <c r="J16" i="22"/>
  <c r="J19" i="22"/>
  <c r="I22" i="22"/>
  <c r="H22" i="22"/>
  <c r="I25" i="22"/>
  <c r="H25" i="22"/>
  <c r="I12" i="23"/>
  <c r="H12" i="23"/>
  <c r="I15" i="23"/>
  <c r="H15" i="23"/>
  <c r="I18" i="23"/>
  <c r="H18" i="23"/>
  <c r="I24" i="23"/>
  <c r="J27" i="24"/>
  <c r="J30" i="24"/>
  <c r="I11" i="25"/>
  <c r="H11" i="25"/>
  <c r="I14" i="25"/>
  <c r="H14" i="25"/>
  <c r="I17" i="25"/>
  <c r="H17" i="25"/>
  <c r="I26" i="25"/>
  <c r="F40" i="25"/>
  <c r="I10" i="26"/>
  <c r="H10" i="26"/>
  <c r="I18" i="26"/>
  <c r="I24" i="26"/>
  <c r="I29" i="26"/>
  <c r="H29" i="26"/>
  <c r="I36" i="26"/>
  <c r="H36" i="26"/>
  <c r="I10" i="27"/>
  <c r="H10" i="27"/>
  <c r="I16" i="27"/>
  <c r="H16" i="27"/>
  <c r="H25" i="27"/>
  <c r="I27" i="27"/>
  <c r="I19" i="28"/>
  <c r="H24" i="28"/>
  <c r="H9" i="29"/>
  <c r="I18" i="29"/>
  <c r="H18" i="29"/>
  <c r="H27" i="29"/>
  <c r="G43" i="29"/>
  <c r="J17" i="30"/>
  <c r="I20" i="30"/>
  <c r="H20" i="30"/>
  <c r="H11" i="32"/>
  <c r="J11" i="32"/>
  <c r="I16" i="33"/>
  <c r="H16" i="33"/>
  <c r="J16" i="33"/>
  <c r="D45" i="33"/>
  <c r="I25" i="34"/>
  <c r="I35" i="34"/>
  <c r="H35" i="34"/>
  <c r="J35" i="34"/>
  <c r="H20" i="35"/>
  <c r="D36" i="36"/>
  <c r="C45" i="38"/>
  <c r="I11" i="39"/>
  <c r="H11" i="39"/>
  <c r="J11" i="39"/>
  <c r="E44" i="39"/>
  <c r="I29" i="40"/>
  <c r="H29" i="40"/>
  <c r="J29" i="40"/>
  <c r="H20" i="43"/>
  <c r="J20" i="43"/>
  <c r="G48" i="44"/>
  <c r="J38" i="21"/>
  <c r="J43" i="21"/>
  <c r="I18" i="22"/>
  <c r="I21" i="22"/>
  <c r="I24" i="22"/>
  <c r="I14" i="23"/>
  <c r="I17" i="23"/>
  <c r="I20" i="23"/>
  <c r="J23" i="23"/>
  <c r="I25" i="23"/>
  <c r="I28" i="23"/>
  <c r="I31" i="23"/>
  <c r="I10" i="25"/>
  <c r="I13" i="25"/>
  <c r="I16" i="25"/>
  <c r="J28" i="25"/>
  <c r="J31" i="25"/>
  <c r="I35" i="25"/>
  <c r="J16" i="26"/>
  <c r="J27" i="26"/>
  <c r="I30" i="27"/>
  <c r="I33" i="27"/>
  <c r="J17" i="28"/>
  <c r="J22" i="28"/>
  <c r="J29" i="29"/>
  <c r="J32" i="29"/>
  <c r="J35" i="29"/>
  <c r="J38" i="29"/>
  <c r="J12" i="30"/>
  <c r="J15" i="30"/>
  <c r="J18" i="30"/>
  <c r="J21" i="30"/>
  <c r="I9" i="31"/>
  <c r="H9" i="31"/>
  <c r="H26" i="32"/>
  <c r="H45" i="32" s="1"/>
  <c r="I20" i="33"/>
  <c r="H20" i="33"/>
  <c r="I26" i="33"/>
  <c r="H26" i="33"/>
  <c r="I28" i="33"/>
  <c r="I32" i="33"/>
  <c r="H32" i="33"/>
  <c r="I34" i="33"/>
  <c r="I38" i="33"/>
  <c r="H38" i="33"/>
  <c r="I40" i="33"/>
  <c r="I18" i="34"/>
  <c r="H18" i="34"/>
  <c r="H39" i="34"/>
  <c r="H32" i="35"/>
  <c r="I35" i="35"/>
  <c r="H35" i="35"/>
  <c r="H38" i="35"/>
  <c r="H25" i="36"/>
  <c r="E36" i="36"/>
  <c r="I14" i="37"/>
  <c r="H14" i="37"/>
  <c r="H31" i="37"/>
  <c r="H34" i="37"/>
  <c r="I37" i="37"/>
  <c r="H37" i="37"/>
  <c r="H42" i="37"/>
  <c r="I37" i="39"/>
  <c r="H37" i="39"/>
  <c r="H34" i="40"/>
  <c r="J34" i="40"/>
  <c r="I17" i="44"/>
  <c r="H17" i="44"/>
  <c r="J17" i="44"/>
  <c r="H25" i="45"/>
  <c r="J25" i="45"/>
  <c r="D42" i="45"/>
  <c r="J16" i="46"/>
  <c r="H16" i="46"/>
  <c r="J34" i="46"/>
  <c r="H34" i="46"/>
  <c r="J10" i="48"/>
  <c r="H10" i="48"/>
  <c r="G48" i="48"/>
  <c r="I26" i="48" s="1"/>
  <c r="J23" i="48"/>
  <c r="I23" i="48"/>
  <c r="H23" i="48"/>
  <c r="J26" i="48"/>
  <c r="H26" i="48"/>
  <c r="I29" i="48"/>
  <c r="H29" i="48"/>
  <c r="J46" i="48"/>
  <c r="H46" i="48"/>
  <c r="J20" i="50"/>
  <c r="I20" i="50"/>
  <c r="H20" i="50"/>
  <c r="J40" i="50"/>
  <c r="H40" i="50"/>
  <c r="J43" i="50"/>
  <c r="I43" i="50"/>
  <c r="H43" i="50"/>
  <c r="H39" i="54"/>
  <c r="C40" i="58"/>
  <c r="H11" i="22"/>
  <c r="H14" i="22"/>
  <c r="H17" i="22"/>
  <c r="H23" i="22"/>
  <c r="H13" i="23"/>
  <c r="H16" i="23"/>
  <c r="H27" i="23"/>
  <c r="H30" i="23"/>
  <c r="H21" i="24"/>
  <c r="H28" i="24"/>
  <c r="H9" i="25"/>
  <c r="H12" i="25"/>
  <c r="H15" i="25"/>
  <c r="H23" i="27"/>
  <c r="H29" i="27"/>
  <c r="H32" i="27"/>
  <c r="H35" i="27"/>
  <c r="I32" i="30"/>
  <c r="F39" i="30"/>
  <c r="I10" i="31"/>
  <c r="H10" i="31"/>
  <c r="I12" i="31"/>
  <c r="I16" i="31"/>
  <c r="H16" i="31"/>
  <c r="I18" i="31"/>
  <c r="I22" i="31"/>
  <c r="H22" i="31"/>
  <c r="I24" i="31"/>
  <c r="I28" i="31"/>
  <c r="H28" i="31"/>
  <c r="I30" i="31"/>
  <c r="I35" i="31"/>
  <c r="H35" i="31"/>
  <c r="I38" i="31"/>
  <c r="H38" i="31"/>
  <c r="C42" i="31"/>
  <c r="J26" i="32"/>
  <c r="I11" i="33"/>
  <c r="J20" i="33"/>
  <c r="J26" i="33"/>
  <c r="J32" i="33"/>
  <c r="J38" i="33"/>
  <c r="J18" i="34"/>
  <c r="H19" i="35"/>
  <c r="J32" i="35"/>
  <c r="J35" i="35"/>
  <c r="J38" i="35"/>
  <c r="G35" i="36"/>
  <c r="I22" i="36" s="1"/>
  <c r="I9" i="36"/>
  <c r="H9" i="36"/>
  <c r="I11" i="36"/>
  <c r="H20" i="36"/>
  <c r="J25" i="36"/>
  <c r="I34" i="36"/>
  <c r="J14" i="37"/>
  <c r="I17" i="37"/>
  <c r="H17" i="37"/>
  <c r="J31" i="37"/>
  <c r="J34" i="37"/>
  <c r="J37" i="37"/>
  <c r="J42" i="37"/>
  <c r="F45" i="37"/>
  <c r="H11" i="38"/>
  <c r="H44" i="38" s="1"/>
  <c r="H20" i="38"/>
  <c r="I29" i="38"/>
  <c r="H29" i="38"/>
  <c r="H38" i="38"/>
  <c r="I13" i="39"/>
  <c r="I18" i="39"/>
  <c r="H18" i="39"/>
  <c r="H43" i="39" s="1"/>
  <c r="I21" i="39"/>
  <c r="H21" i="39"/>
  <c r="I24" i="39"/>
  <c r="H24" i="39"/>
  <c r="I27" i="39"/>
  <c r="H27" i="39"/>
  <c r="I30" i="39"/>
  <c r="H30" i="39"/>
  <c r="I33" i="39"/>
  <c r="H33" i="39"/>
  <c r="J37" i="39"/>
  <c r="D44" i="39"/>
  <c r="H11" i="40"/>
  <c r="I17" i="40"/>
  <c r="H17" i="40"/>
  <c r="I23" i="40"/>
  <c r="H23" i="40"/>
  <c r="G39" i="40"/>
  <c r="H42" i="41"/>
  <c r="I41" i="42"/>
  <c r="H41" i="42"/>
  <c r="J41" i="42"/>
  <c r="I39" i="21"/>
  <c r="I44" i="21"/>
  <c r="I11" i="24"/>
  <c r="I29" i="25"/>
  <c r="G38" i="30"/>
  <c r="I14" i="30" s="1"/>
  <c r="E42" i="31"/>
  <c r="H33" i="32"/>
  <c r="I9" i="33"/>
  <c r="I23" i="33"/>
  <c r="H23" i="33"/>
  <c r="I25" i="33"/>
  <c r="I29" i="33"/>
  <c r="H29" i="33"/>
  <c r="I31" i="33"/>
  <c r="I35" i="33"/>
  <c r="H35" i="33"/>
  <c r="I37" i="33"/>
  <c r="I15" i="34"/>
  <c r="H15" i="34"/>
  <c r="H15" i="35"/>
  <c r="I21" i="35"/>
  <c r="H21" i="35"/>
  <c r="I24" i="35"/>
  <c r="H24" i="35"/>
  <c r="H22" i="36"/>
  <c r="I24" i="36"/>
  <c r="I29" i="36"/>
  <c r="H29" i="36"/>
  <c r="H14" i="38"/>
  <c r="H23" i="38"/>
  <c r="I32" i="38"/>
  <c r="H32" i="38"/>
  <c r="H41" i="38"/>
  <c r="G44" i="38"/>
  <c r="I40" i="39"/>
  <c r="H40" i="39"/>
  <c r="I26" i="40"/>
  <c r="H26" i="40"/>
  <c r="I33" i="40"/>
  <c r="I11" i="41"/>
  <c r="H11" i="41"/>
  <c r="J11" i="41"/>
  <c r="H14" i="43"/>
  <c r="H39" i="43" s="1"/>
  <c r="J14" i="43"/>
  <c r="I11" i="45"/>
  <c r="H11" i="45"/>
  <c r="J11" i="45"/>
  <c r="J25" i="46"/>
  <c r="H25" i="46"/>
  <c r="I46" i="47"/>
  <c r="I43" i="47"/>
  <c r="I12" i="47"/>
  <c r="I36" i="47"/>
  <c r="I21" i="47"/>
  <c r="I9" i="47"/>
  <c r="C49" i="47"/>
  <c r="I18" i="47"/>
  <c r="I33" i="47"/>
  <c r="I30" i="47"/>
  <c r="I27" i="47"/>
  <c r="I24" i="47"/>
  <c r="I15" i="47"/>
  <c r="J15" i="48"/>
  <c r="I15" i="48"/>
  <c r="H15" i="48"/>
  <c r="H48" i="48" s="1"/>
  <c r="J18" i="48"/>
  <c r="I18" i="48"/>
  <c r="H18" i="48"/>
  <c r="J13" i="52"/>
  <c r="I13" i="52"/>
  <c r="H13" i="52"/>
  <c r="H9" i="30"/>
  <c r="C39" i="30"/>
  <c r="I13" i="31"/>
  <c r="H13" i="31"/>
  <c r="I15" i="31"/>
  <c r="I19" i="31"/>
  <c r="H19" i="31"/>
  <c r="I21" i="31"/>
  <c r="I25" i="31"/>
  <c r="H25" i="31"/>
  <c r="I27" i="31"/>
  <c r="I31" i="31"/>
  <c r="H31" i="31"/>
  <c r="F42" i="31"/>
  <c r="G45" i="32"/>
  <c r="H23" i="32"/>
  <c r="J33" i="32"/>
  <c r="H43" i="32"/>
  <c r="I12" i="33"/>
  <c r="H12" i="33"/>
  <c r="J23" i="33"/>
  <c r="J29" i="33"/>
  <c r="J35" i="33"/>
  <c r="I42" i="33"/>
  <c r="H42" i="33"/>
  <c r="E45" i="33"/>
  <c r="G40" i="34"/>
  <c r="J15" i="34"/>
  <c r="I9" i="35"/>
  <c r="J15" i="35"/>
  <c r="J21" i="35"/>
  <c r="J24" i="35"/>
  <c r="I12" i="36"/>
  <c r="H12" i="36"/>
  <c r="I14" i="36"/>
  <c r="J22" i="36"/>
  <c r="I30" i="36"/>
  <c r="H30" i="36"/>
  <c r="H10" i="37"/>
  <c r="H44" i="37" s="1"/>
  <c r="H23" i="37"/>
  <c r="J14" i="38"/>
  <c r="J23" i="38"/>
  <c r="J32" i="38"/>
  <c r="J41" i="38"/>
  <c r="I14" i="39"/>
  <c r="H14" i="39"/>
  <c r="I41" i="39"/>
  <c r="H41" i="39"/>
  <c r="I14" i="40"/>
  <c r="H14" i="40"/>
  <c r="H39" i="40" s="1"/>
  <c r="I20" i="40"/>
  <c r="H20" i="40"/>
  <c r="J26" i="40"/>
  <c r="D40" i="40"/>
  <c r="E44" i="41"/>
  <c r="J22" i="52"/>
  <c r="H22" i="52"/>
  <c r="J33" i="31"/>
  <c r="J36" i="31"/>
  <c r="J39" i="31"/>
  <c r="I15" i="33"/>
  <c r="I18" i="33"/>
  <c r="I41" i="33"/>
  <c r="I10" i="34"/>
  <c r="I13" i="34"/>
  <c r="I10" i="35"/>
  <c r="I13" i="35"/>
  <c r="I34" i="35"/>
  <c r="I37" i="35"/>
  <c r="I15" i="36"/>
  <c r="I30" i="37"/>
  <c r="I10" i="38"/>
  <c r="I13" i="38"/>
  <c r="I16" i="38"/>
  <c r="I28" i="38"/>
  <c r="I31" i="38"/>
  <c r="I34" i="38"/>
  <c r="J9" i="39"/>
  <c r="I17" i="39"/>
  <c r="I20" i="39"/>
  <c r="I23" i="39"/>
  <c r="I26" i="39"/>
  <c r="I29" i="39"/>
  <c r="I32" i="39"/>
  <c r="I30" i="41"/>
  <c r="H30" i="41"/>
  <c r="G46" i="42"/>
  <c r="I13" i="42" s="1"/>
  <c r="H13" i="42"/>
  <c r="I19" i="42"/>
  <c r="H19" i="42"/>
  <c r="I25" i="42"/>
  <c r="H25" i="42"/>
  <c r="H31" i="42"/>
  <c r="E47" i="42"/>
  <c r="G39" i="43"/>
  <c r="F40" i="43" s="1"/>
  <c r="I23" i="43"/>
  <c r="H23" i="43"/>
  <c r="H29" i="43"/>
  <c r="I20" i="44"/>
  <c r="H20" i="44"/>
  <c r="H38" i="44"/>
  <c r="I46" i="44"/>
  <c r="H46" i="44"/>
  <c r="E49" i="44"/>
  <c r="H14" i="45"/>
  <c r="J10" i="46"/>
  <c r="H10" i="46"/>
  <c r="H43" i="46" s="1"/>
  <c r="G43" i="46"/>
  <c r="J28" i="46"/>
  <c r="H28" i="46"/>
  <c r="J14" i="47"/>
  <c r="I14" i="47"/>
  <c r="H14" i="47"/>
  <c r="D49" i="47"/>
  <c r="J25" i="49"/>
  <c r="I25" i="49"/>
  <c r="H25" i="49"/>
  <c r="J28" i="49"/>
  <c r="H28" i="49"/>
  <c r="J23" i="50"/>
  <c r="I23" i="50"/>
  <c r="H23" i="50"/>
  <c r="J10" i="52"/>
  <c r="H10" i="52"/>
  <c r="J28" i="52"/>
  <c r="H28" i="52"/>
  <c r="J36" i="54"/>
  <c r="H36" i="54"/>
  <c r="I11" i="55"/>
  <c r="H11" i="55"/>
  <c r="I25" i="57"/>
  <c r="I18" i="57"/>
  <c r="I15" i="57"/>
  <c r="I12" i="57"/>
  <c r="I20" i="57"/>
  <c r="I9" i="57"/>
  <c r="D28" i="57"/>
  <c r="J16" i="59"/>
  <c r="H16" i="59"/>
  <c r="J33" i="59"/>
  <c r="H33" i="59"/>
  <c r="H30" i="32"/>
  <c r="H37" i="32"/>
  <c r="H14" i="33"/>
  <c r="H44" i="33" s="1"/>
  <c r="H17" i="33"/>
  <c r="H43" i="33"/>
  <c r="H9" i="34"/>
  <c r="H12" i="34"/>
  <c r="H12" i="35"/>
  <c r="H22" i="35"/>
  <c r="H33" i="35"/>
  <c r="H36" i="35"/>
  <c r="G40" i="35"/>
  <c r="H27" i="36"/>
  <c r="H32" i="37"/>
  <c r="H35" i="37"/>
  <c r="H43" i="37"/>
  <c r="H16" i="39"/>
  <c r="H19" i="39"/>
  <c r="H22" i="39"/>
  <c r="H25" i="39"/>
  <c r="H28" i="39"/>
  <c r="H31" i="39"/>
  <c r="I36" i="40"/>
  <c r="C40" i="40"/>
  <c r="J30" i="41"/>
  <c r="J13" i="42"/>
  <c r="J19" i="42"/>
  <c r="J25" i="42"/>
  <c r="J31" i="42"/>
  <c r="H24" i="43"/>
  <c r="I30" i="43"/>
  <c r="H30" i="43"/>
  <c r="J20" i="44"/>
  <c r="H23" i="44"/>
  <c r="J38" i="44"/>
  <c r="I41" i="44"/>
  <c r="H41" i="44"/>
  <c r="J46" i="44"/>
  <c r="F49" i="44"/>
  <c r="J14" i="45"/>
  <c r="I17" i="45"/>
  <c r="H17" i="45"/>
  <c r="J13" i="46"/>
  <c r="H13" i="46"/>
  <c r="J31" i="46"/>
  <c r="I31" i="46"/>
  <c r="H31" i="46"/>
  <c r="J23" i="47"/>
  <c r="I23" i="47"/>
  <c r="H23" i="47"/>
  <c r="J26" i="47"/>
  <c r="I26" i="47"/>
  <c r="H26" i="47"/>
  <c r="J29" i="47"/>
  <c r="I29" i="47"/>
  <c r="H29" i="47"/>
  <c r="J32" i="47"/>
  <c r="I32" i="47"/>
  <c r="H32" i="47"/>
  <c r="G40" i="49"/>
  <c r="D41" i="49"/>
  <c r="J26" i="50"/>
  <c r="I26" i="50"/>
  <c r="H26" i="50"/>
  <c r="J25" i="52"/>
  <c r="H25" i="52"/>
  <c r="D40" i="52"/>
  <c r="J12" i="53"/>
  <c r="H12" i="53"/>
  <c r="I19" i="53"/>
  <c r="H19" i="53"/>
  <c r="H19" i="58"/>
  <c r="J27" i="67"/>
  <c r="I27" i="67"/>
  <c r="H27" i="67"/>
  <c r="J30" i="67"/>
  <c r="H30" i="67"/>
  <c r="I34" i="31"/>
  <c r="I37" i="31"/>
  <c r="J9" i="34"/>
  <c r="I32" i="40"/>
  <c r="I37" i="40"/>
  <c r="E40" i="40"/>
  <c r="G43" i="41"/>
  <c r="I13" i="41" s="1"/>
  <c r="I14" i="41"/>
  <c r="H14" i="41"/>
  <c r="H43" i="41" s="1"/>
  <c r="H27" i="41"/>
  <c r="H34" i="41"/>
  <c r="I10" i="42"/>
  <c r="H10" i="42"/>
  <c r="I16" i="42"/>
  <c r="H16" i="42"/>
  <c r="I22" i="42"/>
  <c r="H22" i="42"/>
  <c r="H46" i="42" s="1"/>
  <c r="I28" i="42"/>
  <c r="H28" i="42"/>
  <c r="I34" i="42"/>
  <c r="H34" i="42"/>
  <c r="H18" i="43"/>
  <c r="I36" i="43"/>
  <c r="H36" i="43"/>
  <c r="H29" i="44"/>
  <c r="I23" i="45"/>
  <c r="I28" i="45"/>
  <c r="H28" i="45"/>
  <c r="J19" i="46"/>
  <c r="H19" i="46"/>
  <c r="I27" i="46"/>
  <c r="J37" i="46"/>
  <c r="H37" i="46"/>
  <c r="I13" i="47"/>
  <c r="I40" i="47"/>
  <c r="H40" i="47"/>
  <c r="I47" i="47"/>
  <c r="J35" i="50"/>
  <c r="H35" i="50"/>
  <c r="F39" i="51"/>
  <c r="J19" i="52"/>
  <c r="H19" i="52"/>
  <c r="J43" i="56"/>
  <c r="I43" i="56"/>
  <c r="H43" i="56"/>
  <c r="E42" i="61"/>
  <c r="J24" i="63"/>
  <c r="H24" i="63"/>
  <c r="F40" i="40"/>
  <c r="H17" i="41"/>
  <c r="I20" i="41"/>
  <c r="H20" i="41"/>
  <c r="H23" i="41"/>
  <c r="I37" i="42"/>
  <c r="H37" i="42"/>
  <c r="I11" i="43"/>
  <c r="H11" i="43"/>
  <c r="H19" i="43"/>
  <c r="D40" i="43"/>
  <c r="I14" i="44"/>
  <c r="H14" i="44"/>
  <c r="H32" i="44"/>
  <c r="C49" i="44"/>
  <c r="I21" i="45"/>
  <c r="H21" i="45"/>
  <c r="H31" i="45"/>
  <c r="J22" i="46"/>
  <c r="H22" i="46"/>
  <c r="I30" i="46"/>
  <c r="I22" i="47"/>
  <c r="I44" i="47"/>
  <c r="I16" i="49"/>
  <c r="H16" i="49"/>
  <c r="I23" i="49"/>
  <c r="H23" i="49"/>
  <c r="H36" i="51"/>
  <c r="J16" i="52"/>
  <c r="I16" i="52"/>
  <c r="H16" i="52"/>
  <c r="J34" i="52"/>
  <c r="H34" i="52"/>
  <c r="J15" i="54"/>
  <c r="H15" i="54"/>
  <c r="I19" i="41"/>
  <c r="I22" i="41"/>
  <c r="I33" i="41"/>
  <c r="G41" i="45"/>
  <c r="J11" i="47"/>
  <c r="I11" i="47"/>
  <c r="H11" i="47"/>
  <c r="I16" i="47"/>
  <c r="I39" i="47"/>
  <c r="J31" i="49"/>
  <c r="I31" i="49"/>
  <c r="E41" i="49"/>
  <c r="J32" i="50"/>
  <c r="I34" i="50"/>
  <c r="F45" i="50"/>
  <c r="G38" i="51"/>
  <c r="C39" i="51" s="1"/>
  <c r="H9" i="51"/>
  <c r="I12" i="51"/>
  <c r="J21" i="51"/>
  <c r="I21" i="51"/>
  <c r="I23" i="51"/>
  <c r="J14" i="53"/>
  <c r="I14" i="53"/>
  <c r="H14" i="53"/>
  <c r="I27" i="53"/>
  <c r="J21" i="54"/>
  <c r="H21" i="54"/>
  <c r="J22" i="55"/>
  <c r="H22" i="55"/>
  <c r="J25" i="55"/>
  <c r="H25" i="55"/>
  <c r="I23" i="57"/>
  <c r="C28" i="57"/>
  <c r="J10" i="59"/>
  <c r="G37" i="59"/>
  <c r="C45" i="60"/>
  <c r="J38" i="79"/>
  <c r="I38" i="79"/>
  <c r="H38" i="79"/>
  <c r="H18" i="41"/>
  <c r="H21" i="41"/>
  <c r="H32" i="41"/>
  <c r="H37" i="41"/>
  <c r="H40" i="41"/>
  <c r="H39" i="42"/>
  <c r="H21" i="43"/>
  <c r="H31" i="43"/>
  <c r="H34" i="43"/>
  <c r="H10" i="44"/>
  <c r="H15" i="44"/>
  <c r="H18" i="44"/>
  <c r="H21" i="44"/>
  <c r="H24" i="44"/>
  <c r="H27" i="44"/>
  <c r="H30" i="44"/>
  <c r="H33" i="44"/>
  <c r="H36" i="44"/>
  <c r="H39" i="44"/>
  <c r="H42" i="44"/>
  <c r="H47" i="44"/>
  <c r="H9" i="45"/>
  <c r="H12" i="45"/>
  <c r="H15" i="45"/>
  <c r="H26" i="45"/>
  <c r="H29" i="45"/>
  <c r="H36" i="45"/>
  <c r="J38" i="45"/>
  <c r="H38" i="45"/>
  <c r="I19" i="47"/>
  <c r="J42" i="47"/>
  <c r="I42" i="47"/>
  <c r="H42" i="47"/>
  <c r="J45" i="47"/>
  <c r="I45" i="47"/>
  <c r="H45" i="47"/>
  <c r="J32" i="48"/>
  <c r="I32" i="48"/>
  <c r="I34" i="48"/>
  <c r="J38" i="48"/>
  <c r="I38" i="48"/>
  <c r="H31" i="49"/>
  <c r="I35" i="49"/>
  <c r="H35" i="49"/>
  <c r="I38" i="49"/>
  <c r="F41" i="49"/>
  <c r="J14" i="50"/>
  <c r="H14" i="50"/>
  <c r="H44" i="50" s="1"/>
  <c r="J17" i="50"/>
  <c r="H17" i="50"/>
  <c r="H32" i="50"/>
  <c r="H12" i="51"/>
  <c r="H21" i="51"/>
  <c r="E39" i="51"/>
  <c r="J17" i="53"/>
  <c r="I17" i="53"/>
  <c r="I24" i="53"/>
  <c r="I9" i="56"/>
  <c r="H9" i="56"/>
  <c r="G45" i="56"/>
  <c r="E46" i="56" s="1"/>
  <c r="H24" i="58"/>
  <c r="H10" i="59"/>
  <c r="I36" i="59"/>
  <c r="H36" i="59"/>
  <c r="J16" i="61"/>
  <c r="H16" i="61"/>
  <c r="J27" i="63"/>
  <c r="I27" i="63"/>
  <c r="H27" i="63"/>
  <c r="J9" i="41"/>
  <c r="I13" i="43"/>
  <c r="I28" i="43"/>
  <c r="J9" i="45"/>
  <c r="E42" i="45"/>
  <c r="I10" i="47"/>
  <c r="J17" i="47"/>
  <c r="I17" i="47"/>
  <c r="H17" i="47"/>
  <c r="I25" i="47"/>
  <c r="I28" i="47"/>
  <c r="I31" i="47"/>
  <c r="E49" i="47"/>
  <c r="I13" i="49"/>
  <c r="I15" i="49"/>
  <c r="I18" i="49"/>
  <c r="I39" i="49"/>
  <c r="J38" i="50"/>
  <c r="J14" i="51"/>
  <c r="I14" i="51"/>
  <c r="I16" i="51"/>
  <c r="I19" i="51"/>
  <c r="J28" i="51"/>
  <c r="I28" i="51"/>
  <c r="I33" i="51"/>
  <c r="H33" i="51"/>
  <c r="F40" i="52"/>
  <c r="G40" i="53"/>
  <c r="I12" i="53" s="1"/>
  <c r="H9" i="53"/>
  <c r="J10" i="54"/>
  <c r="J28" i="59"/>
  <c r="J11" i="60"/>
  <c r="I11" i="60"/>
  <c r="H11" i="60"/>
  <c r="G44" i="60"/>
  <c r="J14" i="60"/>
  <c r="I14" i="60"/>
  <c r="H14" i="60"/>
  <c r="H44" i="60" s="1"/>
  <c r="J31" i="61"/>
  <c r="H31" i="61"/>
  <c r="J34" i="61"/>
  <c r="I34" i="61"/>
  <c r="H34" i="61"/>
  <c r="G49" i="62"/>
  <c r="J9" i="62"/>
  <c r="J19" i="62"/>
  <c r="H19" i="62"/>
  <c r="I37" i="66"/>
  <c r="I19" i="66"/>
  <c r="I28" i="66"/>
  <c r="I25" i="66"/>
  <c r="I22" i="66"/>
  <c r="I17" i="66"/>
  <c r="I15" i="66"/>
  <c r="I12" i="66"/>
  <c r="I9" i="66"/>
  <c r="I36" i="66"/>
  <c r="I30" i="66"/>
  <c r="I16" i="66"/>
  <c r="I14" i="66"/>
  <c r="I21" i="66"/>
  <c r="I32" i="66"/>
  <c r="I27" i="66"/>
  <c r="E40" i="66"/>
  <c r="I11" i="66"/>
  <c r="I24" i="66"/>
  <c r="I34" i="66"/>
  <c r="J10" i="68"/>
  <c r="G38" i="68"/>
  <c r="H10" i="68"/>
  <c r="H38" i="68" s="1"/>
  <c r="J16" i="70"/>
  <c r="H16" i="70"/>
  <c r="H35" i="70"/>
  <c r="J10" i="71"/>
  <c r="I10" i="71"/>
  <c r="H10" i="71"/>
  <c r="F42" i="45"/>
  <c r="J20" i="47"/>
  <c r="I20" i="47"/>
  <c r="H20" i="47"/>
  <c r="J35" i="47"/>
  <c r="I35" i="47"/>
  <c r="I38" i="47"/>
  <c r="I41" i="47"/>
  <c r="F49" i="47"/>
  <c r="J35" i="48"/>
  <c r="I35" i="48"/>
  <c r="I37" i="48"/>
  <c r="J41" i="48"/>
  <c r="D49" i="48"/>
  <c r="J11" i="49"/>
  <c r="I11" i="49"/>
  <c r="J21" i="49"/>
  <c r="I21" i="49"/>
  <c r="I33" i="49"/>
  <c r="H33" i="49"/>
  <c r="J29" i="50"/>
  <c r="I29" i="50"/>
  <c r="I31" i="50"/>
  <c r="H38" i="50"/>
  <c r="H14" i="51"/>
  <c r="H19" i="51"/>
  <c r="I25" i="51"/>
  <c r="H28" i="51"/>
  <c r="J31" i="51"/>
  <c r="I31" i="51"/>
  <c r="I37" i="51"/>
  <c r="J22" i="53"/>
  <c r="I22" i="53"/>
  <c r="H10" i="54"/>
  <c r="H40" i="54" s="1"/>
  <c r="G40" i="54"/>
  <c r="J11" i="57"/>
  <c r="I11" i="57"/>
  <c r="H11" i="57"/>
  <c r="J14" i="57"/>
  <c r="I14" i="57"/>
  <c r="H14" i="57"/>
  <c r="J36" i="58"/>
  <c r="H36" i="58"/>
  <c r="E40" i="58"/>
  <c r="J22" i="59"/>
  <c r="H28" i="59"/>
  <c r="H9" i="62"/>
  <c r="J28" i="64"/>
  <c r="I28" i="64"/>
  <c r="H28" i="64"/>
  <c r="J31" i="64"/>
  <c r="H31" i="64"/>
  <c r="F45" i="65"/>
  <c r="J25" i="53"/>
  <c r="I25" i="53"/>
  <c r="H25" i="53"/>
  <c r="J18" i="54"/>
  <c r="H18" i="54"/>
  <c r="J28" i="55"/>
  <c r="H28" i="55"/>
  <c r="I13" i="56"/>
  <c r="J17" i="56"/>
  <c r="I17" i="56"/>
  <c r="I19" i="56"/>
  <c r="J23" i="56"/>
  <c r="I23" i="56"/>
  <c r="I25" i="56"/>
  <c r="J29" i="56"/>
  <c r="I29" i="56"/>
  <c r="J35" i="56"/>
  <c r="I35" i="56"/>
  <c r="I41" i="56"/>
  <c r="I17" i="57"/>
  <c r="H17" i="57"/>
  <c r="I24" i="57"/>
  <c r="H24" i="57"/>
  <c r="J17" i="58"/>
  <c r="I34" i="58"/>
  <c r="F40" i="58"/>
  <c r="I31" i="59"/>
  <c r="J17" i="60"/>
  <c r="I17" i="60"/>
  <c r="I39" i="60"/>
  <c r="D45" i="60"/>
  <c r="J11" i="61"/>
  <c r="I11" i="61"/>
  <c r="J19" i="61"/>
  <c r="H19" i="61"/>
  <c r="J37" i="61"/>
  <c r="I37" i="61"/>
  <c r="H37" i="61"/>
  <c r="J40" i="61"/>
  <c r="J21" i="63"/>
  <c r="H21" i="63"/>
  <c r="I21" i="64"/>
  <c r="J20" i="66"/>
  <c r="I20" i="66"/>
  <c r="H20" i="66"/>
  <c r="I31" i="66"/>
  <c r="H31" i="66"/>
  <c r="J37" i="69"/>
  <c r="H37" i="69"/>
  <c r="G45" i="69"/>
  <c r="I37" i="69" s="1"/>
  <c r="G37" i="70"/>
  <c r="J30" i="71"/>
  <c r="H30" i="71"/>
  <c r="H40" i="45"/>
  <c r="H34" i="47"/>
  <c r="H37" i="47"/>
  <c r="H28" i="50"/>
  <c r="H31" i="50"/>
  <c r="H34" i="50"/>
  <c r="H37" i="50"/>
  <c r="G44" i="50"/>
  <c r="H11" i="51"/>
  <c r="H16" i="51"/>
  <c r="H23" i="51"/>
  <c r="H25" i="51"/>
  <c r="H30" i="51"/>
  <c r="H35" i="51"/>
  <c r="H9" i="52"/>
  <c r="H12" i="52"/>
  <c r="H15" i="52"/>
  <c r="H18" i="52"/>
  <c r="H21" i="52"/>
  <c r="H24" i="52"/>
  <c r="H27" i="52"/>
  <c r="H30" i="52"/>
  <c r="H33" i="52"/>
  <c r="H36" i="52"/>
  <c r="H38" i="52"/>
  <c r="G39" i="52"/>
  <c r="E40" i="52" s="1"/>
  <c r="H11" i="53"/>
  <c r="H21" i="53"/>
  <c r="I37" i="53"/>
  <c r="D41" i="53"/>
  <c r="H13" i="54"/>
  <c r="J13" i="55"/>
  <c r="H13" i="55"/>
  <c r="H44" i="55" s="1"/>
  <c r="J31" i="55"/>
  <c r="H31" i="55"/>
  <c r="J34" i="55"/>
  <c r="H34" i="55"/>
  <c r="J37" i="55"/>
  <c r="H37" i="55"/>
  <c r="J40" i="55"/>
  <c r="H40" i="55"/>
  <c r="J43" i="55"/>
  <c r="H43" i="55"/>
  <c r="H17" i="56"/>
  <c r="H23" i="56"/>
  <c r="H29" i="56"/>
  <c r="H35" i="56"/>
  <c r="H41" i="56"/>
  <c r="E28" i="57"/>
  <c r="J14" i="58"/>
  <c r="H14" i="58"/>
  <c r="H17" i="58"/>
  <c r="I22" i="58"/>
  <c r="J26" i="58"/>
  <c r="I26" i="58"/>
  <c r="H34" i="58"/>
  <c r="J13" i="59"/>
  <c r="J19" i="59"/>
  <c r="I19" i="59"/>
  <c r="J25" i="59"/>
  <c r="H31" i="59"/>
  <c r="H17" i="60"/>
  <c r="E45" i="60"/>
  <c r="H11" i="61"/>
  <c r="H41" i="61" s="1"/>
  <c r="J14" i="61"/>
  <c r="I14" i="61"/>
  <c r="J22" i="61"/>
  <c r="I22" i="61"/>
  <c r="H22" i="61"/>
  <c r="H40" i="61"/>
  <c r="J18" i="63"/>
  <c r="H18" i="63"/>
  <c r="H46" i="63" s="1"/>
  <c r="J31" i="65"/>
  <c r="I31" i="65"/>
  <c r="C46" i="67"/>
  <c r="J19" i="76"/>
  <c r="H19" i="76"/>
  <c r="I40" i="45"/>
  <c r="H25" i="47"/>
  <c r="H28" i="47"/>
  <c r="H31" i="47"/>
  <c r="I34" i="47"/>
  <c r="I37" i="47"/>
  <c r="H44" i="47"/>
  <c r="H47" i="47"/>
  <c r="I10" i="49"/>
  <c r="H15" i="49"/>
  <c r="H40" i="49" s="1"/>
  <c r="I20" i="49"/>
  <c r="I27" i="49"/>
  <c r="I30" i="49"/>
  <c r="I37" i="49"/>
  <c r="H39" i="49"/>
  <c r="I37" i="50"/>
  <c r="I11" i="51"/>
  <c r="H13" i="51"/>
  <c r="H18" i="51"/>
  <c r="H20" i="51"/>
  <c r="H27" i="51"/>
  <c r="I30" i="51"/>
  <c r="I35" i="51"/>
  <c r="H37" i="51"/>
  <c r="I12" i="52"/>
  <c r="I15" i="52"/>
  <c r="I18" i="52"/>
  <c r="I30" i="52"/>
  <c r="I33" i="52"/>
  <c r="I11" i="53"/>
  <c r="I21" i="53"/>
  <c r="I23" i="53"/>
  <c r="I29" i="53"/>
  <c r="I35" i="53"/>
  <c r="E41" i="53"/>
  <c r="I14" i="54"/>
  <c r="J16" i="55"/>
  <c r="H16" i="55"/>
  <c r="C45" i="55"/>
  <c r="J11" i="56"/>
  <c r="I11" i="56"/>
  <c r="H11" i="56"/>
  <c r="I42" i="56"/>
  <c r="C46" i="56"/>
  <c r="I10" i="57"/>
  <c r="I22" i="57"/>
  <c r="F28" i="57"/>
  <c r="G39" i="58"/>
  <c r="I19" i="58" s="1"/>
  <c r="I35" i="58"/>
  <c r="I38" i="58"/>
  <c r="H37" i="59"/>
  <c r="J20" i="60"/>
  <c r="I20" i="60"/>
  <c r="F45" i="60"/>
  <c r="J25" i="61"/>
  <c r="H25" i="61"/>
  <c r="C42" i="61"/>
  <c r="J11" i="62"/>
  <c r="H11" i="62"/>
  <c r="J15" i="63"/>
  <c r="H15" i="63"/>
  <c r="G46" i="63"/>
  <c r="J13" i="64"/>
  <c r="H13" i="64"/>
  <c r="G39" i="64"/>
  <c r="C40" i="64"/>
  <c r="I21" i="65"/>
  <c r="J25" i="65"/>
  <c r="J11" i="69"/>
  <c r="I11" i="69"/>
  <c r="H11" i="69"/>
  <c r="I18" i="70"/>
  <c r="H23" i="53"/>
  <c r="J30" i="53"/>
  <c r="I30" i="53"/>
  <c r="J33" i="53"/>
  <c r="I33" i="53"/>
  <c r="I38" i="53"/>
  <c r="H38" i="53"/>
  <c r="F41" i="53"/>
  <c r="J28" i="54"/>
  <c r="I28" i="54"/>
  <c r="H28" i="54"/>
  <c r="H31" i="54"/>
  <c r="G44" i="55"/>
  <c r="I22" i="55" s="1"/>
  <c r="J19" i="55"/>
  <c r="H19" i="55"/>
  <c r="J14" i="56"/>
  <c r="I14" i="56"/>
  <c r="I16" i="56"/>
  <c r="J20" i="56"/>
  <c r="I20" i="56"/>
  <c r="I22" i="56"/>
  <c r="J26" i="56"/>
  <c r="I26" i="56"/>
  <c r="I28" i="56"/>
  <c r="J32" i="56"/>
  <c r="I32" i="56"/>
  <c r="J38" i="56"/>
  <c r="I38" i="56"/>
  <c r="D46" i="56"/>
  <c r="I13" i="57"/>
  <c r="J19" i="57"/>
  <c r="I19" i="57"/>
  <c r="H19" i="57"/>
  <c r="I12" i="58"/>
  <c r="H12" i="58"/>
  <c r="H39" i="58" s="1"/>
  <c r="J29" i="58"/>
  <c r="J23" i="60"/>
  <c r="I23" i="60"/>
  <c r="J26" i="60"/>
  <c r="I26" i="60"/>
  <c r="J29" i="60"/>
  <c r="I29" i="60"/>
  <c r="J32" i="60"/>
  <c r="I32" i="60"/>
  <c r="J35" i="60"/>
  <c r="I35" i="60"/>
  <c r="J40" i="60"/>
  <c r="I40" i="60"/>
  <c r="H40" i="60"/>
  <c r="J28" i="61"/>
  <c r="H28" i="61"/>
  <c r="D42" i="61"/>
  <c r="J30" i="63"/>
  <c r="I30" i="63"/>
  <c r="H30" i="63"/>
  <c r="J19" i="65"/>
  <c r="D45" i="65"/>
  <c r="J13" i="66"/>
  <c r="I13" i="66"/>
  <c r="H13" i="66"/>
  <c r="J29" i="66"/>
  <c r="I29" i="66"/>
  <c r="H29" i="66"/>
  <c r="J9" i="67"/>
  <c r="I9" i="67"/>
  <c r="H9" i="67"/>
  <c r="G45" i="67"/>
  <c r="J12" i="67"/>
  <c r="I12" i="67"/>
  <c r="H12" i="67"/>
  <c r="I36" i="67"/>
  <c r="H36" i="67"/>
  <c r="H20" i="68"/>
  <c r="F39" i="68"/>
  <c r="C49" i="72"/>
  <c r="G41" i="61"/>
  <c r="I16" i="61" s="1"/>
  <c r="J22" i="62"/>
  <c r="H22" i="62"/>
  <c r="D50" i="62"/>
  <c r="J33" i="63"/>
  <c r="J39" i="63"/>
  <c r="I39" i="63"/>
  <c r="D47" i="63"/>
  <c r="J16" i="64"/>
  <c r="H16" i="64"/>
  <c r="J34" i="64"/>
  <c r="I34" i="64"/>
  <c r="H34" i="64"/>
  <c r="J11" i="65"/>
  <c r="H11" i="65"/>
  <c r="J14" i="65"/>
  <c r="I14" i="65"/>
  <c r="H14" i="65"/>
  <c r="J23" i="66"/>
  <c r="I23" i="66"/>
  <c r="J35" i="66"/>
  <c r="I35" i="66"/>
  <c r="H35" i="66"/>
  <c r="J38" i="66"/>
  <c r="I38" i="66"/>
  <c r="H38" i="66"/>
  <c r="J15" i="67"/>
  <c r="I15" i="67"/>
  <c r="H15" i="67"/>
  <c r="J33" i="67"/>
  <c r="I33" i="67"/>
  <c r="H33" i="67"/>
  <c r="D46" i="67"/>
  <c r="H27" i="68"/>
  <c r="H19" i="71"/>
  <c r="J31" i="71"/>
  <c r="H31" i="71"/>
  <c r="D49" i="72"/>
  <c r="I23" i="75"/>
  <c r="H23" i="75"/>
  <c r="J23" i="75"/>
  <c r="H27" i="53"/>
  <c r="H32" i="53"/>
  <c r="H35" i="53"/>
  <c r="H21" i="57"/>
  <c r="H26" i="57"/>
  <c r="H28" i="58"/>
  <c r="H31" i="58"/>
  <c r="H25" i="60"/>
  <c r="H28" i="60"/>
  <c r="H31" i="60"/>
  <c r="H34" i="60"/>
  <c r="J14" i="62"/>
  <c r="J17" i="62"/>
  <c r="J25" i="62"/>
  <c r="H25" i="62"/>
  <c r="J28" i="62"/>
  <c r="H28" i="62"/>
  <c r="J31" i="62"/>
  <c r="H31" i="62"/>
  <c r="J34" i="62"/>
  <c r="H34" i="62"/>
  <c r="J37" i="62"/>
  <c r="H37" i="62"/>
  <c r="H40" i="62"/>
  <c r="E50" i="62"/>
  <c r="H33" i="63"/>
  <c r="H39" i="63"/>
  <c r="J44" i="63"/>
  <c r="H44" i="63"/>
  <c r="E47" i="63"/>
  <c r="J19" i="64"/>
  <c r="H19" i="64"/>
  <c r="I27" i="64"/>
  <c r="J37" i="64"/>
  <c r="I37" i="64"/>
  <c r="H37" i="64"/>
  <c r="G44" i="65"/>
  <c r="I27" i="65" s="1"/>
  <c r="I17" i="65"/>
  <c r="J22" i="65"/>
  <c r="I22" i="65"/>
  <c r="J28" i="65"/>
  <c r="I28" i="65"/>
  <c r="I30" i="65"/>
  <c r="J34" i="65"/>
  <c r="I34" i="65"/>
  <c r="I18" i="66"/>
  <c r="H23" i="66"/>
  <c r="C40" i="66"/>
  <c r="J18" i="67"/>
  <c r="I18" i="67"/>
  <c r="H18" i="67"/>
  <c r="J40" i="67"/>
  <c r="I40" i="67"/>
  <c r="H40" i="67"/>
  <c r="J43" i="67"/>
  <c r="I43" i="67"/>
  <c r="H43" i="67"/>
  <c r="E46" i="67"/>
  <c r="J9" i="69"/>
  <c r="I9" i="69"/>
  <c r="H9" i="69"/>
  <c r="C46" i="69"/>
  <c r="H14" i="70"/>
  <c r="J17" i="71"/>
  <c r="J18" i="72"/>
  <c r="I18" i="72"/>
  <c r="H18" i="72"/>
  <c r="J21" i="72"/>
  <c r="H21" i="72"/>
  <c r="H24" i="53"/>
  <c r="H29" i="53"/>
  <c r="I32" i="53"/>
  <c r="H37" i="53"/>
  <c r="H20" i="54"/>
  <c r="H30" i="54"/>
  <c r="H42" i="56"/>
  <c r="H10" i="57"/>
  <c r="H27" i="57" s="1"/>
  <c r="H13" i="57"/>
  <c r="H16" i="57"/>
  <c r="I21" i="57"/>
  <c r="H23" i="57"/>
  <c r="I26" i="57"/>
  <c r="I31" i="58"/>
  <c r="H33" i="58"/>
  <c r="H35" i="58"/>
  <c r="H38" i="58"/>
  <c r="H39" i="64"/>
  <c r="J22" i="64"/>
  <c r="H22" i="64"/>
  <c r="H44" i="65"/>
  <c r="J41" i="65"/>
  <c r="I41" i="65"/>
  <c r="H41" i="65"/>
  <c r="J10" i="66"/>
  <c r="I10" i="66"/>
  <c r="I33" i="66"/>
  <c r="H33" i="66"/>
  <c r="J21" i="67"/>
  <c r="I21" i="67"/>
  <c r="H21" i="67"/>
  <c r="F46" i="67"/>
  <c r="J15" i="68"/>
  <c r="I15" i="68"/>
  <c r="H15" i="68"/>
  <c r="J34" i="68"/>
  <c r="I34" i="68"/>
  <c r="H34" i="68"/>
  <c r="I39" i="69"/>
  <c r="J25" i="70"/>
  <c r="H41" i="73"/>
  <c r="E46" i="73"/>
  <c r="H18" i="74"/>
  <c r="J43" i="62"/>
  <c r="I45" i="62"/>
  <c r="J36" i="63"/>
  <c r="J25" i="64"/>
  <c r="I25" i="64"/>
  <c r="H25" i="64"/>
  <c r="J39" i="65"/>
  <c r="H10" i="66"/>
  <c r="H39" i="66" s="1"/>
  <c r="J26" i="66"/>
  <c r="I26" i="66"/>
  <c r="J24" i="67"/>
  <c r="I24" i="67"/>
  <c r="H24" i="67"/>
  <c r="I38" i="67"/>
  <c r="H38" i="67"/>
  <c r="H18" i="68"/>
  <c r="J22" i="68"/>
  <c r="H22" i="68"/>
  <c r="H25" i="68"/>
  <c r="I35" i="68"/>
  <c r="I26" i="69"/>
  <c r="H26" i="69"/>
  <c r="H25" i="70"/>
  <c r="J36" i="72"/>
  <c r="I36" i="72"/>
  <c r="H36" i="72"/>
  <c r="J41" i="73"/>
  <c r="J9" i="65"/>
  <c r="J29" i="68"/>
  <c r="I29" i="68"/>
  <c r="H29" i="68"/>
  <c r="I37" i="68"/>
  <c r="J14" i="69"/>
  <c r="H14" i="69"/>
  <c r="J31" i="69"/>
  <c r="I31" i="69"/>
  <c r="I33" i="69"/>
  <c r="J42" i="69"/>
  <c r="H42" i="69"/>
  <c r="J19" i="70"/>
  <c r="I19" i="70"/>
  <c r="J28" i="70"/>
  <c r="J33" i="70"/>
  <c r="J24" i="71"/>
  <c r="H24" i="71"/>
  <c r="J33" i="71"/>
  <c r="H33" i="71"/>
  <c r="J24" i="72"/>
  <c r="H24" i="72"/>
  <c r="H19" i="73"/>
  <c r="J19" i="73"/>
  <c r="H13" i="62"/>
  <c r="H16" i="62"/>
  <c r="H45" i="62"/>
  <c r="H47" i="62"/>
  <c r="H17" i="68"/>
  <c r="H32" i="68"/>
  <c r="H35" i="68"/>
  <c r="H37" i="68"/>
  <c r="H12" i="69"/>
  <c r="J17" i="69"/>
  <c r="H17" i="69"/>
  <c r="H31" i="69"/>
  <c r="J40" i="69"/>
  <c r="I40" i="69"/>
  <c r="H19" i="70"/>
  <c r="H28" i="70"/>
  <c r="H33" i="70"/>
  <c r="G36" i="71"/>
  <c r="I19" i="71" s="1"/>
  <c r="H11" i="71"/>
  <c r="J13" i="71"/>
  <c r="H13" i="71"/>
  <c r="H22" i="71"/>
  <c r="J10" i="72"/>
  <c r="I10" i="72"/>
  <c r="J27" i="72"/>
  <c r="H27" i="72"/>
  <c r="J43" i="72"/>
  <c r="I43" i="72"/>
  <c r="H43" i="72"/>
  <c r="H16" i="75"/>
  <c r="C38" i="75"/>
  <c r="J37" i="76"/>
  <c r="H37" i="76"/>
  <c r="J22" i="80"/>
  <c r="I22" i="80"/>
  <c r="H22" i="80"/>
  <c r="H30" i="68"/>
  <c r="C39" i="68"/>
  <c r="H15" i="69"/>
  <c r="J20" i="69"/>
  <c r="I20" i="69"/>
  <c r="H20" i="69"/>
  <c r="I25" i="69"/>
  <c r="H40" i="69"/>
  <c r="H43" i="69"/>
  <c r="J10" i="70"/>
  <c r="I10" i="70"/>
  <c r="H10" i="70"/>
  <c r="H37" i="70" s="1"/>
  <c r="J22" i="70"/>
  <c r="H25" i="71"/>
  <c r="J27" i="71"/>
  <c r="I27" i="71"/>
  <c r="H27" i="71"/>
  <c r="H34" i="71"/>
  <c r="H10" i="72"/>
  <c r="J30" i="72"/>
  <c r="I30" i="72"/>
  <c r="H30" i="72"/>
  <c r="J41" i="72"/>
  <c r="J16" i="75"/>
  <c r="J33" i="75"/>
  <c r="I33" i="75"/>
  <c r="H33" i="75"/>
  <c r="D39" i="68"/>
  <c r="I23" i="69"/>
  <c r="H23" i="69"/>
  <c r="J28" i="69"/>
  <c r="I30" i="69"/>
  <c r="J34" i="69"/>
  <c r="I34" i="69"/>
  <c r="J13" i="70"/>
  <c r="H13" i="70"/>
  <c r="J16" i="71"/>
  <c r="H16" i="71"/>
  <c r="J13" i="72"/>
  <c r="I13" i="72"/>
  <c r="J33" i="72"/>
  <c r="H33" i="72"/>
  <c r="H10" i="73"/>
  <c r="G45" i="73"/>
  <c r="F46" i="73" s="1"/>
  <c r="J10" i="73"/>
  <c r="H28" i="73"/>
  <c r="J28" i="73"/>
  <c r="I12" i="75"/>
  <c r="J26" i="76"/>
  <c r="H26" i="76"/>
  <c r="G48" i="72"/>
  <c r="G19" i="74"/>
  <c r="H11" i="74"/>
  <c r="I10" i="75"/>
  <c r="H10" i="75"/>
  <c r="I19" i="75"/>
  <c r="H19" i="75"/>
  <c r="H34" i="75"/>
  <c r="J34" i="75"/>
  <c r="I34" i="75"/>
  <c r="H9" i="76"/>
  <c r="G44" i="76"/>
  <c r="I27" i="76" s="1"/>
  <c r="J9" i="76"/>
  <c r="H27" i="76"/>
  <c r="J27" i="76"/>
  <c r="I14" i="77"/>
  <c r="H19" i="77"/>
  <c r="J19" i="77"/>
  <c r="I20" i="78"/>
  <c r="H20" i="78"/>
  <c r="J33" i="79"/>
  <c r="H33" i="79"/>
  <c r="J11" i="80"/>
  <c r="I11" i="80"/>
  <c r="H11" i="80"/>
  <c r="J14" i="80"/>
  <c r="H14" i="80"/>
  <c r="H36" i="69"/>
  <c r="H39" i="69"/>
  <c r="H18" i="70"/>
  <c r="H9" i="72"/>
  <c r="H48" i="72" s="1"/>
  <c r="H45" i="72"/>
  <c r="H13" i="73"/>
  <c r="H22" i="73"/>
  <c r="I31" i="73"/>
  <c r="H31" i="73"/>
  <c r="J11" i="74"/>
  <c r="J10" i="75"/>
  <c r="J19" i="75"/>
  <c r="H35" i="75"/>
  <c r="I35" i="75"/>
  <c r="J10" i="76"/>
  <c r="H10" i="76"/>
  <c r="J28" i="76"/>
  <c r="H28" i="76"/>
  <c r="J23" i="77"/>
  <c r="H23" i="77"/>
  <c r="H15" i="78"/>
  <c r="J15" i="78"/>
  <c r="I32" i="78"/>
  <c r="J32" i="78"/>
  <c r="H32" i="78"/>
  <c r="I38" i="73"/>
  <c r="H38" i="73"/>
  <c r="H14" i="74"/>
  <c r="I13" i="75"/>
  <c r="H13" i="75"/>
  <c r="H37" i="75" s="1"/>
  <c r="I29" i="75"/>
  <c r="G37" i="75"/>
  <c r="J17" i="76"/>
  <c r="H17" i="76"/>
  <c r="J35" i="76"/>
  <c r="I35" i="76"/>
  <c r="H35" i="76"/>
  <c r="G40" i="78"/>
  <c r="I10" i="78" s="1"/>
  <c r="I16" i="79"/>
  <c r="J16" i="79"/>
  <c r="H16" i="79"/>
  <c r="H42" i="79" s="1"/>
  <c r="J27" i="80"/>
  <c r="I27" i="80"/>
  <c r="H27" i="80"/>
  <c r="I16" i="73"/>
  <c r="H16" i="73"/>
  <c r="H25" i="73"/>
  <c r="H34" i="73"/>
  <c r="H45" i="73" s="1"/>
  <c r="C46" i="73"/>
  <c r="I9" i="75"/>
  <c r="I18" i="75"/>
  <c r="H18" i="76"/>
  <c r="J18" i="76"/>
  <c r="I18" i="76"/>
  <c r="H36" i="76"/>
  <c r="J36" i="76"/>
  <c r="J15" i="77"/>
  <c r="H15" i="77"/>
  <c r="H38" i="77" s="1"/>
  <c r="H28" i="77"/>
  <c r="J28" i="77"/>
  <c r="J30" i="80"/>
  <c r="I30" i="80"/>
  <c r="H30" i="80"/>
  <c r="I18" i="73"/>
  <c r="I21" i="73"/>
  <c r="J9" i="74"/>
  <c r="I17" i="74"/>
  <c r="I22" i="75"/>
  <c r="I32" i="75"/>
  <c r="J16" i="76"/>
  <c r="H16" i="76"/>
  <c r="I20" i="76"/>
  <c r="J25" i="76"/>
  <c r="H25" i="76"/>
  <c r="J34" i="76"/>
  <c r="H34" i="76"/>
  <c r="I38" i="76"/>
  <c r="H22" i="77"/>
  <c r="I36" i="77"/>
  <c r="J13" i="78"/>
  <c r="H13" i="78"/>
  <c r="I18" i="78"/>
  <c r="I21" i="78"/>
  <c r="I34" i="78"/>
  <c r="J19" i="79"/>
  <c r="I19" i="79"/>
  <c r="I21" i="79"/>
  <c r="J25" i="79"/>
  <c r="J31" i="79"/>
  <c r="I31" i="79"/>
  <c r="J36" i="79"/>
  <c r="I36" i="79"/>
  <c r="I13" i="80"/>
  <c r="I16" i="80"/>
  <c r="I19" i="80"/>
  <c r="H19" i="80"/>
  <c r="H37" i="80"/>
  <c r="H16" i="74"/>
  <c r="H19" i="74" s="1"/>
  <c r="I26" i="75"/>
  <c r="I30" i="75"/>
  <c r="H14" i="76"/>
  <c r="H23" i="76"/>
  <c r="H32" i="76"/>
  <c r="H43" i="76"/>
  <c r="J20" i="77"/>
  <c r="H20" i="77"/>
  <c r="J22" i="77"/>
  <c r="H25" i="77"/>
  <c r="H32" i="77"/>
  <c r="I13" i="78"/>
  <c r="J16" i="78"/>
  <c r="H16" i="78"/>
  <c r="H21" i="78"/>
  <c r="I29" i="78"/>
  <c r="H10" i="79"/>
  <c r="I12" i="79"/>
  <c r="H19" i="79"/>
  <c r="H25" i="79"/>
  <c r="H31" i="79"/>
  <c r="H36" i="79"/>
  <c r="D43" i="79"/>
  <c r="J17" i="80"/>
  <c r="I17" i="80"/>
  <c r="J24" i="80"/>
  <c r="H24" i="80"/>
  <c r="J35" i="80"/>
  <c r="I35" i="80"/>
  <c r="C39" i="80"/>
  <c r="J26" i="75"/>
  <c r="J39" i="76"/>
  <c r="J12" i="77"/>
  <c r="J26" i="77"/>
  <c r="H26" i="77"/>
  <c r="G38" i="77"/>
  <c r="H40" i="78"/>
  <c r="J29" i="78"/>
  <c r="I35" i="78"/>
  <c r="I39" i="78"/>
  <c r="H39" i="78"/>
  <c r="I9" i="79"/>
  <c r="J22" i="79"/>
  <c r="I24" i="79"/>
  <c r="J28" i="79"/>
  <c r="I28" i="79"/>
  <c r="I25" i="75"/>
  <c r="F38" i="75"/>
  <c r="J13" i="76"/>
  <c r="H13" i="76"/>
  <c r="J22" i="76"/>
  <c r="H22" i="76"/>
  <c r="J31" i="76"/>
  <c r="H31" i="76"/>
  <c r="J40" i="76"/>
  <c r="H40" i="76"/>
  <c r="J29" i="77"/>
  <c r="H29" i="77"/>
  <c r="I12" i="78"/>
  <c r="H12" i="78"/>
  <c r="I28" i="78"/>
  <c r="I37" i="78"/>
  <c r="I13" i="79"/>
  <c r="G38" i="80"/>
  <c r="F39" i="80" s="1"/>
  <c r="I9" i="80"/>
  <c r="G42" i="79"/>
  <c r="H40" i="79"/>
  <c r="H10" i="80"/>
  <c r="H38" i="80" s="1"/>
  <c r="H13" i="80"/>
  <c r="H16" i="80"/>
  <c r="I16" i="74" l="1"/>
  <c r="I9" i="74"/>
  <c r="I15" i="74"/>
  <c r="C20" i="74"/>
  <c r="I12" i="74"/>
  <c r="F20" i="74"/>
  <c r="I9" i="54"/>
  <c r="I38" i="54"/>
  <c r="I35" i="54"/>
  <c r="I25" i="54"/>
  <c r="I23" i="54"/>
  <c r="I12" i="54"/>
  <c r="I19" i="54"/>
  <c r="I22" i="54"/>
  <c r="I16" i="54"/>
  <c r="I37" i="54"/>
  <c r="I24" i="54"/>
  <c r="I11" i="54"/>
  <c r="I34" i="54"/>
  <c r="I32" i="54"/>
  <c r="I29" i="54"/>
  <c r="I26" i="54"/>
  <c r="I39" i="62"/>
  <c r="I36" i="62"/>
  <c r="I33" i="62"/>
  <c r="I30" i="62"/>
  <c r="I27" i="62"/>
  <c r="I16" i="62"/>
  <c r="I13" i="62"/>
  <c r="I23" i="62"/>
  <c r="I20" i="62"/>
  <c r="I44" i="62"/>
  <c r="I46" i="62"/>
  <c r="I41" i="62"/>
  <c r="I38" i="62"/>
  <c r="I35" i="62"/>
  <c r="I32" i="62"/>
  <c r="I29" i="62"/>
  <c r="I26" i="62"/>
  <c r="I10" i="62"/>
  <c r="I48" i="62"/>
  <c r="I12" i="62"/>
  <c r="I18" i="62"/>
  <c r="I15" i="62"/>
  <c r="I20" i="54"/>
  <c r="I41" i="46"/>
  <c r="I39" i="46"/>
  <c r="I24" i="46"/>
  <c r="I21" i="46"/>
  <c r="I18" i="46"/>
  <c r="I15" i="46"/>
  <c r="I12" i="46"/>
  <c r="I40" i="46"/>
  <c r="I38" i="46"/>
  <c r="I32" i="46"/>
  <c r="I26" i="46"/>
  <c r="I20" i="46"/>
  <c r="I14" i="46"/>
  <c r="I35" i="46"/>
  <c r="I29" i="46"/>
  <c r="I23" i="46"/>
  <c r="I17" i="46"/>
  <c r="I11" i="46"/>
  <c r="F44" i="46"/>
  <c r="I27" i="32"/>
  <c r="I35" i="32"/>
  <c r="I18" i="32"/>
  <c r="I12" i="32"/>
  <c r="I34" i="32"/>
  <c r="I36" i="32"/>
  <c r="I21" i="32"/>
  <c r="I15" i="32"/>
  <c r="I9" i="32"/>
  <c r="I37" i="32"/>
  <c r="I40" i="32"/>
  <c r="I41" i="32"/>
  <c r="I30" i="32"/>
  <c r="I24" i="32"/>
  <c r="F46" i="32"/>
  <c r="C46" i="32"/>
  <c r="I26" i="37"/>
  <c r="I9" i="37"/>
  <c r="I18" i="37"/>
  <c r="I43" i="37"/>
  <c r="I38" i="37"/>
  <c r="I35" i="37"/>
  <c r="I32" i="37"/>
  <c r="I15" i="37"/>
  <c r="I24" i="37"/>
  <c r="I39" i="37"/>
  <c r="I28" i="37"/>
  <c r="I21" i="37"/>
  <c r="I29" i="37"/>
  <c r="I40" i="37"/>
  <c r="I12" i="37"/>
  <c r="I33" i="28"/>
  <c r="I23" i="28"/>
  <c r="I20" i="28"/>
  <c r="I18" i="28"/>
  <c r="I13" i="28"/>
  <c r="I34" i="28"/>
  <c r="I27" i="28"/>
  <c r="I37" i="28"/>
  <c r="I17" i="28"/>
  <c r="I31" i="28"/>
  <c r="I22" i="28"/>
  <c r="I11" i="28"/>
  <c r="I36" i="28"/>
  <c r="I16" i="28"/>
  <c r="I28" i="28"/>
  <c r="I32" i="28"/>
  <c r="I27" i="37"/>
  <c r="I36" i="18"/>
  <c r="I32" i="32"/>
  <c r="I37" i="77"/>
  <c r="I35" i="77"/>
  <c r="I26" i="77"/>
  <c r="I16" i="77"/>
  <c r="I27" i="77"/>
  <c r="I24" i="77"/>
  <c r="I13" i="77"/>
  <c r="I30" i="77"/>
  <c r="I20" i="77"/>
  <c r="I10" i="77"/>
  <c r="I33" i="77"/>
  <c r="I29" i="77"/>
  <c r="I21" i="77"/>
  <c r="I34" i="76"/>
  <c r="I32" i="77"/>
  <c r="D20" i="74"/>
  <c r="H44" i="76"/>
  <c r="H45" i="69"/>
  <c r="I47" i="62"/>
  <c r="I17" i="62"/>
  <c r="I11" i="62"/>
  <c r="I32" i="70"/>
  <c r="I30" i="70"/>
  <c r="I27" i="70"/>
  <c r="I24" i="70"/>
  <c r="I21" i="70"/>
  <c r="I31" i="70"/>
  <c r="I36" i="70"/>
  <c r="I26" i="70"/>
  <c r="I17" i="70"/>
  <c r="I12" i="70"/>
  <c r="I23" i="70"/>
  <c r="I9" i="70"/>
  <c r="I34" i="70"/>
  <c r="I20" i="70"/>
  <c r="I11" i="70"/>
  <c r="I29" i="70"/>
  <c r="I30" i="59"/>
  <c r="I27" i="59"/>
  <c r="I24" i="59"/>
  <c r="I21" i="59"/>
  <c r="I18" i="59"/>
  <c r="I15" i="59"/>
  <c r="I12" i="59"/>
  <c r="I9" i="59"/>
  <c r="I34" i="59"/>
  <c r="I23" i="59"/>
  <c r="I17" i="59"/>
  <c r="I11" i="59"/>
  <c r="I29" i="59"/>
  <c r="I26" i="59"/>
  <c r="I14" i="59"/>
  <c r="I20" i="59"/>
  <c r="I15" i="54"/>
  <c r="I38" i="32"/>
  <c r="I10" i="37"/>
  <c r="I29" i="28"/>
  <c r="F45" i="76"/>
  <c r="I33" i="76"/>
  <c r="I24" i="76"/>
  <c r="I15" i="76"/>
  <c r="I39" i="76"/>
  <c r="I31" i="76"/>
  <c r="I21" i="76"/>
  <c r="I13" i="76"/>
  <c r="I23" i="76"/>
  <c r="I41" i="76"/>
  <c r="I30" i="76"/>
  <c r="I32" i="76"/>
  <c r="I40" i="76"/>
  <c r="I12" i="76"/>
  <c r="D45" i="76"/>
  <c r="I22" i="76"/>
  <c r="I14" i="76"/>
  <c r="I37" i="76"/>
  <c r="I27" i="54"/>
  <c r="F41" i="54"/>
  <c r="H45" i="56"/>
  <c r="I33" i="46"/>
  <c r="E46" i="32"/>
  <c r="H48" i="44"/>
  <c r="I20" i="32"/>
  <c r="I35" i="18"/>
  <c r="I32" i="18"/>
  <c r="I29" i="18"/>
  <c r="I26" i="18"/>
  <c r="I23" i="18"/>
  <c r="I20" i="18"/>
  <c r="I17" i="18"/>
  <c r="I14" i="18"/>
  <c r="E39" i="18"/>
  <c r="I37" i="18"/>
  <c r="I34" i="18"/>
  <c r="I31" i="18"/>
  <c r="I28" i="18"/>
  <c r="I25" i="18"/>
  <c r="I22" i="18"/>
  <c r="I12" i="18"/>
  <c r="I16" i="18"/>
  <c r="I19" i="18"/>
  <c r="I9" i="18"/>
  <c r="I14" i="32"/>
  <c r="I13" i="18"/>
  <c r="I9" i="77"/>
  <c r="I25" i="77"/>
  <c r="I40" i="73"/>
  <c r="I37" i="73"/>
  <c r="I29" i="73"/>
  <c r="I20" i="73"/>
  <c r="I11" i="73"/>
  <c r="I42" i="73"/>
  <c r="I35" i="73"/>
  <c r="I26" i="73"/>
  <c r="I17" i="73"/>
  <c r="I39" i="73"/>
  <c r="I32" i="73"/>
  <c r="I14" i="73"/>
  <c r="I36" i="73"/>
  <c r="I23" i="73"/>
  <c r="I43" i="73"/>
  <c r="I21" i="71"/>
  <c r="I34" i="71"/>
  <c r="I25" i="71"/>
  <c r="I18" i="71"/>
  <c r="I9" i="71"/>
  <c r="I29" i="71"/>
  <c r="I20" i="71"/>
  <c r="I15" i="71"/>
  <c r="C37" i="71"/>
  <c r="I35" i="71"/>
  <c r="I26" i="71"/>
  <c r="I32" i="71"/>
  <c r="I23" i="71"/>
  <c r="I12" i="71"/>
  <c r="I14" i="71"/>
  <c r="I28" i="71"/>
  <c r="I22" i="71"/>
  <c r="I43" i="62"/>
  <c r="I42" i="62"/>
  <c r="I42" i="55"/>
  <c r="I39" i="55"/>
  <c r="I36" i="55"/>
  <c r="I33" i="55"/>
  <c r="I30" i="55"/>
  <c r="I27" i="55"/>
  <c r="I24" i="55"/>
  <c r="I21" i="55"/>
  <c r="I18" i="55"/>
  <c r="I15" i="55"/>
  <c r="I10" i="55"/>
  <c r="I29" i="55"/>
  <c r="I26" i="55"/>
  <c r="I23" i="55"/>
  <c r="D45" i="55"/>
  <c r="I20" i="55"/>
  <c r="I12" i="55"/>
  <c r="I41" i="55"/>
  <c r="I38" i="55"/>
  <c r="I35" i="55"/>
  <c r="I32" i="55"/>
  <c r="I9" i="55"/>
  <c r="I14" i="55"/>
  <c r="I17" i="55"/>
  <c r="I43" i="63"/>
  <c r="I29" i="63"/>
  <c r="I26" i="63"/>
  <c r="I23" i="63"/>
  <c r="I20" i="63"/>
  <c r="I17" i="63"/>
  <c r="I14" i="63"/>
  <c r="I41" i="63"/>
  <c r="I38" i="63"/>
  <c r="I32" i="63"/>
  <c r="I12" i="63"/>
  <c r="I11" i="63"/>
  <c r="I9" i="63"/>
  <c r="I31" i="63"/>
  <c r="I28" i="63"/>
  <c r="I25" i="63"/>
  <c r="I22" i="63"/>
  <c r="I19" i="63"/>
  <c r="I16" i="63"/>
  <c r="I13" i="63"/>
  <c r="I37" i="63"/>
  <c r="F47" i="63"/>
  <c r="I34" i="63"/>
  <c r="I45" i="63"/>
  <c r="I42" i="63"/>
  <c r="I40" i="63"/>
  <c r="I18" i="63"/>
  <c r="C41" i="54"/>
  <c r="H39" i="52"/>
  <c r="I10" i="54"/>
  <c r="I42" i="46"/>
  <c r="I24" i="63"/>
  <c r="E44" i="46"/>
  <c r="I35" i="43"/>
  <c r="I32" i="43"/>
  <c r="I27" i="43"/>
  <c r="I22" i="43"/>
  <c r="I17" i="43"/>
  <c r="I9" i="43"/>
  <c r="I31" i="43"/>
  <c r="I25" i="43"/>
  <c r="I12" i="43"/>
  <c r="I37" i="43"/>
  <c r="I34" i="43"/>
  <c r="I21" i="43"/>
  <c r="I38" i="43"/>
  <c r="E40" i="43"/>
  <c r="I15" i="43"/>
  <c r="I22" i="37"/>
  <c r="I33" i="32"/>
  <c r="H35" i="36"/>
  <c r="I19" i="32"/>
  <c r="D45" i="37"/>
  <c r="I10" i="32"/>
  <c r="I43" i="17"/>
  <c r="I38" i="17"/>
  <c r="I36" i="17"/>
  <c r="I31" i="17"/>
  <c r="I25" i="17"/>
  <c r="I19" i="17"/>
  <c r="I13" i="17"/>
  <c r="I34" i="17"/>
  <c r="I28" i="17"/>
  <c r="I22" i="17"/>
  <c r="I16" i="17"/>
  <c r="I10" i="17"/>
  <c r="D45" i="17"/>
  <c r="I41" i="17"/>
  <c r="I42" i="17"/>
  <c r="H49" i="13"/>
  <c r="H44" i="17"/>
  <c r="H42" i="4"/>
  <c r="I11" i="18"/>
  <c r="H41" i="6"/>
  <c r="C45" i="76"/>
  <c r="I33" i="73"/>
  <c r="I40" i="72"/>
  <c r="I35" i="72"/>
  <c r="I32" i="72"/>
  <c r="I29" i="72"/>
  <c r="I26" i="72"/>
  <c r="I23" i="72"/>
  <c r="I20" i="72"/>
  <c r="I17" i="72"/>
  <c r="I47" i="72"/>
  <c r="I45" i="72"/>
  <c r="I38" i="72"/>
  <c r="I15" i="72"/>
  <c r="I12" i="72"/>
  <c r="I9" i="72"/>
  <c r="I44" i="72"/>
  <c r="I25" i="72"/>
  <c r="F49" i="72"/>
  <c r="I46" i="72"/>
  <c r="I22" i="72"/>
  <c r="I37" i="72"/>
  <c r="I19" i="72"/>
  <c r="I14" i="72"/>
  <c r="I42" i="72"/>
  <c r="I34" i="72"/>
  <c r="I16" i="72"/>
  <c r="I39" i="72"/>
  <c r="I28" i="72"/>
  <c r="I11" i="72"/>
  <c r="I31" i="72"/>
  <c r="I13" i="70"/>
  <c r="I19" i="73"/>
  <c r="F38" i="70"/>
  <c r="I17" i="71"/>
  <c r="I14" i="70"/>
  <c r="I17" i="54"/>
  <c r="I16" i="55"/>
  <c r="C38" i="59"/>
  <c r="I37" i="55"/>
  <c r="I31" i="55"/>
  <c r="I30" i="54"/>
  <c r="I42" i="50"/>
  <c r="I16" i="50"/>
  <c r="I13" i="50"/>
  <c r="I33" i="50"/>
  <c r="I18" i="50"/>
  <c r="I15" i="50"/>
  <c r="I12" i="50"/>
  <c r="I24" i="50"/>
  <c r="D45" i="50"/>
  <c r="I39" i="50"/>
  <c r="I36" i="50"/>
  <c r="I27" i="50"/>
  <c r="I21" i="50"/>
  <c r="I41" i="50"/>
  <c r="I30" i="50"/>
  <c r="I10" i="50"/>
  <c r="I36" i="68"/>
  <c r="I30" i="68"/>
  <c r="I26" i="68"/>
  <c r="I24" i="68"/>
  <c r="I21" i="68"/>
  <c r="I19" i="68"/>
  <c r="I14" i="68"/>
  <c r="I12" i="68"/>
  <c r="I28" i="68"/>
  <c r="I31" i="68"/>
  <c r="I11" i="68"/>
  <c r="I33" i="68"/>
  <c r="I23" i="68"/>
  <c r="I16" i="68"/>
  <c r="I9" i="68"/>
  <c r="I10" i="63"/>
  <c r="I14" i="50"/>
  <c r="I10" i="59"/>
  <c r="I32" i="50"/>
  <c r="I35" i="50"/>
  <c r="I18" i="43"/>
  <c r="I34" i="41"/>
  <c r="I25" i="52"/>
  <c r="I16" i="59"/>
  <c r="I36" i="54"/>
  <c r="I10" i="52"/>
  <c r="I36" i="46"/>
  <c r="I10" i="46"/>
  <c r="H38" i="30"/>
  <c r="I43" i="38"/>
  <c r="I36" i="38"/>
  <c r="I27" i="38"/>
  <c r="I18" i="38"/>
  <c r="I9" i="38"/>
  <c r="I42" i="38"/>
  <c r="I33" i="38"/>
  <c r="I24" i="38"/>
  <c r="I15" i="38"/>
  <c r="I21" i="38"/>
  <c r="I39" i="38"/>
  <c r="I12" i="38"/>
  <c r="I30" i="38"/>
  <c r="I34" i="46"/>
  <c r="I34" i="37"/>
  <c r="I26" i="32"/>
  <c r="I45" i="44"/>
  <c r="I43" i="44"/>
  <c r="I40" i="44"/>
  <c r="I37" i="44"/>
  <c r="I34" i="44"/>
  <c r="I31" i="44"/>
  <c r="I28" i="44"/>
  <c r="I25" i="44"/>
  <c r="I22" i="44"/>
  <c r="I19" i="44"/>
  <c r="I16" i="44"/>
  <c r="I13" i="44"/>
  <c r="I11" i="44"/>
  <c r="I42" i="44"/>
  <c r="I24" i="44"/>
  <c r="I47" i="44"/>
  <c r="I39" i="44"/>
  <c r="I21" i="44"/>
  <c r="I33" i="44"/>
  <c r="I15" i="44"/>
  <c r="I30" i="44"/>
  <c r="I10" i="44"/>
  <c r="I36" i="44"/>
  <c r="I27" i="44"/>
  <c r="I18" i="44"/>
  <c r="H43" i="29"/>
  <c r="I21" i="28"/>
  <c r="I41" i="21"/>
  <c r="I38" i="21"/>
  <c r="I32" i="21"/>
  <c r="I29" i="21"/>
  <c r="I26" i="21"/>
  <c r="I23" i="21"/>
  <c r="I20" i="21"/>
  <c r="I43" i="21"/>
  <c r="I16" i="21"/>
  <c r="I13" i="21"/>
  <c r="I19" i="21"/>
  <c r="I11" i="21"/>
  <c r="E47" i="21"/>
  <c r="I31" i="21"/>
  <c r="I18" i="21"/>
  <c r="I10" i="21"/>
  <c r="I28" i="21"/>
  <c r="I15" i="21"/>
  <c r="I35" i="21"/>
  <c r="I25" i="21"/>
  <c r="I12" i="21"/>
  <c r="I9" i="21"/>
  <c r="I42" i="21"/>
  <c r="I22" i="21"/>
  <c r="I24" i="27"/>
  <c r="I37" i="79"/>
  <c r="I32" i="79"/>
  <c r="I26" i="79"/>
  <c r="I20" i="79"/>
  <c r="I14" i="79"/>
  <c r="I29" i="79"/>
  <c r="I23" i="79"/>
  <c r="I17" i="79"/>
  <c r="F43" i="79"/>
  <c r="I34" i="79"/>
  <c r="I39" i="79"/>
  <c r="I11" i="79"/>
  <c r="I11" i="77"/>
  <c r="I22" i="79"/>
  <c r="I29" i="76"/>
  <c r="I17" i="76"/>
  <c r="E43" i="79"/>
  <c r="I10" i="73"/>
  <c r="E37" i="71"/>
  <c r="I28" i="69"/>
  <c r="I11" i="71"/>
  <c r="D38" i="70"/>
  <c r="I14" i="62"/>
  <c r="I22" i="62"/>
  <c r="I19" i="65"/>
  <c r="I35" i="59"/>
  <c r="I33" i="64"/>
  <c r="I30" i="64"/>
  <c r="I24" i="64"/>
  <c r="I15" i="64"/>
  <c r="I12" i="64"/>
  <c r="I10" i="64"/>
  <c r="I35" i="64"/>
  <c r="I17" i="64"/>
  <c r="I9" i="64"/>
  <c r="I32" i="64"/>
  <c r="I14" i="64"/>
  <c r="I29" i="64"/>
  <c r="I11" i="64"/>
  <c r="I26" i="64"/>
  <c r="I38" i="64"/>
  <c r="F40" i="64"/>
  <c r="I23" i="64"/>
  <c r="I20" i="64"/>
  <c r="I27" i="52"/>
  <c r="C50" i="62"/>
  <c r="I17" i="58"/>
  <c r="I35" i="70"/>
  <c r="H40" i="53"/>
  <c r="C45" i="50"/>
  <c r="H41" i="45"/>
  <c r="I30" i="45"/>
  <c r="I27" i="45"/>
  <c r="I24" i="45"/>
  <c r="I16" i="45"/>
  <c r="I13" i="45"/>
  <c r="I10" i="45"/>
  <c r="I18" i="45"/>
  <c r="I36" i="45"/>
  <c r="I33" i="45"/>
  <c r="I15" i="45"/>
  <c r="I35" i="45"/>
  <c r="I32" i="45"/>
  <c r="I22" i="45"/>
  <c r="I9" i="45"/>
  <c r="I29" i="45"/>
  <c r="I19" i="45"/>
  <c r="C42" i="45"/>
  <c r="I39" i="45"/>
  <c r="I37" i="45"/>
  <c r="I38" i="45"/>
  <c r="I26" i="45"/>
  <c r="I34" i="45"/>
  <c r="I12" i="45"/>
  <c r="D44" i="41"/>
  <c r="I30" i="35"/>
  <c r="I27" i="35"/>
  <c r="I17" i="35"/>
  <c r="I39" i="35"/>
  <c r="I36" i="35"/>
  <c r="I33" i="35"/>
  <c r="I26" i="35"/>
  <c r="I16" i="35"/>
  <c r="I29" i="35"/>
  <c r="I25" i="35"/>
  <c r="I22" i="35"/>
  <c r="I12" i="35"/>
  <c r="I41" i="37"/>
  <c r="I31" i="35"/>
  <c r="I17" i="34"/>
  <c r="I19" i="34"/>
  <c r="I33" i="34"/>
  <c r="I27" i="34"/>
  <c r="I21" i="34"/>
  <c r="I16" i="34"/>
  <c r="F41" i="34"/>
  <c r="I36" i="34"/>
  <c r="I30" i="34"/>
  <c r="I24" i="34"/>
  <c r="I20" i="34"/>
  <c r="I9" i="34"/>
  <c r="I12" i="34"/>
  <c r="C41" i="34"/>
  <c r="I19" i="50"/>
  <c r="I14" i="43"/>
  <c r="I36" i="21"/>
  <c r="I19" i="35"/>
  <c r="I40" i="50"/>
  <c r="E49" i="48"/>
  <c r="I32" i="35"/>
  <c r="I41" i="29"/>
  <c r="I39" i="29"/>
  <c r="I36" i="29"/>
  <c r="I33" i="29"/>
  <c r="I30" i="29"/>
  <c r="I42" i="29"/>
  <c r="I40" i="29"/>
  <c r="I26" i="29"/>
  <c r="I23" i="29"/>
  <c r="I20" i="29"/>
  <c r="I17" i="29"/>
  <c r="I14" i="29"/>
  <c r="I11" i="29"/>
  <c r="I38" i="29"/>
  <c r="I22" i="29"/>
  <c r="I13" i="29"/>
  <c r="I19" i="29"/>
  <c r="I10" i="29"/>
  <c r="I16" i="29"/>
  <c r="I29" i="29"/>
  <c r="D44" i="29"/>
  <c r="I35" i="29"/>
  <c r="I32" i="29"/>
  <c r="I25" i="29"/>
  <c r="I25" i="27"/>
  <c r="I29" i="32"/>
  <c r="F44" i="29"/>
  <c r="I36" i="15"/>
  <c r="I21" i="15"/>
  <c r="I11" i="15"/>
  <c r="I15" i="15"/>
  <c r="I32" i="15"/>
  <c r="I26" i="15"/>
  <c r="I23" i="15"/>
  <c r="F40" i="15"/>
  <c r="I34" i="15"/>
  <c r="I18" i="15"/>
  <c r="I13" i="15"/>
  <c r="I10" i="15"/>
  <c r="C40" i="15"/>
  <c r="I20" i="15"/>
  <c r="I29" i="15"/>
  <c r="I25" i="15"/>
  <c r="I9" i="15"/>
  <c r="I35" i="15"/>
  <c r="I33" i="15"/>
  <c r="I19" i="15"/>
  <c r="I14" i="15"/>
  <c r="I24" i="15"/>
  <c r="I27" i="30"/>
  <c r="I34" i="27"/>
  <c r="I21" i="24"/>
  <c r="I32" i="24"/>
  <c r="I31" i="24"/>
  <c r="I28" i="24"/>
  <c r="I9" i="24"/>
  <c r="I41" i="24"/>
  <c r="I15" i="24"/>
  <c r="I10" i="24"/>
  <c r="D44" i="24"/>
  <c r="I42" i="24"/>
  <c r="D41" i="35"/>
  <c r="C47" i="21"/>
  <c r="I20" i="37"/>
  <c r="I31" i="29"/>
  <c r="I14" i="21"/>
  <c r="I37" i="15"/>
  <c r="I43" i="13"/>
  <c r="I35" i="13"/>
  <c r="I32" i="13"/>
  <c r="I29" i="13"/>
  <c r="I26" i="13"/>
  <c r="I23" i="13"/>
  <c r="I20" i="13"/>
  <c r="I17" i="13"/>
  <c r="I14" i="13"/>
  <c r="I11" i="13"/>
  <c r="I39" i="13"/>
  <c r="I42" i="13"/>
  <c r="I48" i="13"/>
  <c r="I38" i="13"/>
  <c r="I47" i="13"/>
  <c r="I37" i="13"/>
  <c r="I34" i="13"/>
  <c r="I28" i="13"/>
  <c r="I25" i="13"/>
  <c r="I22" i="13"/>
  <c r="I16" i="13"/>
  <c r="I13" i="13"/>
  <c r="I10" i="13"/>
  <c r="I31" i="13"/>
  <c r="I19" i="13"/>
  <c r="I17" i="17"/>
  <c r="H39" i="16"/>
  <c r="C50" i="13"/>
  <c r="I28" i="35"/>
  <c r="I38" i="6"/>
  <c r="I35" i="6"/>
  <c r="I32" i="6"/>
  <c r="I29" i="6"/>
  <c r="I26" i="6"/>
  <c r="I23" i="6"/>
  <c r="I20" i="6"/>
  <c r="I17" i="6"/>
  <c r="I14" i="6"/>
  <c r="I11" i="6"/>
  <c r="I37" i="6"/>
  <c r="I34" i="6"/>
  <c r="I31" i="6"/>
  <c r="I28" i="6"/>
  <c r="I25" i="6"/>
  <c r="I22" i="6"/>
  <c r="I19" i="6"/>
  <c r="I16" i="6"/>
  <c r="I13" i="6"/>
  <c r="I10" i="6"/>
  <c r="F42" i="6"/>
  <c r="F39" i="77"/>
  <c r="I17" i="15"/>
  <c r="I40" i="13"/>
  <c r="C42" i="6"/>
  <c r="I24" i="78"/>
  <c r="I35" i="79"/>
  <c r="I24" i="80"/>
  <c r="I23" i="78"/>
  <c r="I34" i="77"/>
  <c r="I10" i="80"/>
  <c r="I27" i="79"/>
  <c r="I10" i="79"/>
  <c r="I17" i="77"/>
  <c r="I27" i="73"/>
  <c r="D39" i="80"/>
  <c r="I25" i="73"/>
  <c r="E45" i="76"/>
  <c r="C39" i="77"/>
  <c r="I44" i="73"/>
  <c r="I13" i="73"/>
  <c r="I9" i="76"/>
  <c r="I26" i="76"/>
  <c r="E46" i="69"/>
  <c r="I41" i="72"/>
  <c r="I22" i="70"/>
  <c r="I27" i="72"/>
  <c r="I13" i="71"/>
  <c r="I17" i="69"/>
  <c r="I32" i="68"/>
  <c r="I42" i="69"/>
  <c r="I14" i="69"/>
  <c r="E45" i="65"/>
  <c r="I36" i="63"/>
  <c r="I25" i="70"/>
  <c r="I25" i="68"/>
  <c r="I22" i="64"/>
  <c r="C38" i="70"/>
  <c r="E40" i="64"/>
  <c r="I19" i="64"/>
  <c r="I31" i="71"/>
  <c r="I27" i="68"/>
  <c r="I38" i="65"/>
  <c r="I16" i="64"/>
  <c r="I33" i="63"/>
  <c r="I13" i="68"/>
  <c r="I42" i="67"/>
  <c r="I37" i="67"/>
  <c r="I35" i="67"/>
  <c r="I32" i="67"/>
  <c r="I29" i="67"/>
  <c r="I26" i="67"/>
  <c r="I23" i="67"/>
  <c r="I20" i="67"/>
  <c r="I17" i="67"/>
  <c r="I14" i="67"/>
  <c r="I11" i="67"/>
  <c r="I34" i="67"/>
  <c r="I16" i="67"/>
  <c r="I31" i="67"/>
  <c r="I13" i="67"/>
  <c r="I28" i="67"/>
  <c r="I10" i="67"/>
  <c r="I39" i="67"/>
  <c r="I25" i="67"/>
  <c r="I22" i="67"/>
  <c r="I44" i="67"/>
  <c r="I41" i="67"/>
  <c r="I19" i="67"/>
  <c r="I32" i="58"/>
  <c r="I31" i="54"/>
  <c r="E39" i="68"/>
  <c r="D38" i="59"/>
  <c r="D41" i="54"/>
  <c r="I24" i="52"/>
  <c r="I19" i="76"/>
  <c r="I25" i="59"/>
  <c r="I40" i="61"/>
  <c r="I19" i="61"/>
  <c r="I28" i="55"/>
  <c r="I13" i="54"/>
  <c r="I31" i="64"/>
  <c r="I43" i="48"/>
  <c r="I31" i="48"/>
  <c r="D37" i="71"/>
  <c r="I9" i="62"/>
  <c r="I13" i="60"/>
  <c r="I10" i="60"/>
  <c r="I42" i="60"/>
  <c r="I37" i="60"/>
  <c r="I34" i="60"/>
  <c r="I31" i="60"/>
  <c r="I28" i="60"/>
  <c r="I25" i="60"/>
  <c r="I22" i="60"/>
  <c r="I19" i="60"/>
  <c r="I16" i="60"/>
  <c r="I18" i="60"/>
  <c r="I15" i="60"/>
  <c r="I12" i="60"/>
  <c r="I41" i="60"/>
  <c r="I36" i="60"/>
  <c r="I33" i="60"/>
  <c r="I30" i="60"/>
  <c r="I27" i="60"/>
  <c r="I24" i="60"/>
  <c r="I9" i="60"/>
  <c r="I38" i="60"/>
  <c r="I21" i="60"/>
  <c r="I43" i="60"/>
  <c r="D40" i="58"/>
  <c r="I9" i="53"/>
  <c r="I38" i="50"/>
  <c r="C49" i="48"/>
  <c r="I20" i="45"/>
  <c r="C47" i="63"/>
  <c r="I9" i="50"/>
  <c r="I44" i="48"/>
  <c r="I18" i="64"/>
  <c r="I33" i="58"/>
  <c r="I25" i="55"/>
  <c r="I21" i="54"/>
  <c r="C40" i="52"/>
  <c r="I9" i="51"/>
  <c r="I11" i="50"/>
  <c r="I41" i="41"/>
  <c r="I34" i="52"/>
  <c r="I36" i="51"/>
  <c r="I32" i="44"/>
  <c r="I16" i="43"/>
  <c r="F38" i="59"/>
  <c r="I19" i="52"/>
  <c r="I22" i="50"/>
  <c r="I37" i="46"/>
  <c r="I9" i="46"/>
  <c r="C40" i="43"/>
  <c r="I30" i="67"/>
  <c r="D39" i="51"/>
  <c r="I24" i="49"/>
  <c r="I36" i="49"/>
  <c r="I32" i="49"/>
  <c r="I22" i="49"/>
  <c r="I19" i="49"/>
  <c r="I17" i="49"/>
  <c r="I14" i="49"/>
  <c r="I12" i="49"/>
  <c r="I9" i="49"/>
  <c r="I34" i="49"/>
  <c r="C41" i="49"/>
  <c r="I26" i="49"/>
  <c r="I29" i="49"/>
  <c r="I44" i="44"/>
  <c r="I28" i="49"/>
  <c r="I28" i="46"/>
  <c r="I38" i="44"/>
  <c r="I26" i="43"/>
  <c r="I31" i="42"/>
  <c r="I40" i="38"/>
  <c r="I22" i="38"/>
  <c r="I36" i="37"/>
  <c r="I13" i="37"/>
  <c r="I23" i="35"/>
  <c r="I25" i="32"/>
  <c r="I22" i="52"/>
  <c r="I38" i="52"/>
  <c r="I41" i="38"/>
  <c r="I14" i="38"/>
  <c r="I15" i="35"/>
  <c r="I12" i="44"/>
  <c r="I28" i="40"/>
  <c r="I25" i="40"/>
  <c r="I22" i="40"/>
  <c r="I19" i="40"/>
  <c r="I16" i="40"/>
  <c r="I13" i="40"/>
  <c r="I10" i="40"/>
  <c r="I35" i="40"/>
  <c r="I30" i="40"/>
  <c r="I27" i="40"/>
  <c r="I31" i="40"/>
  <c r="I21" i="40"/>
  <c r="I15" i="40"/>
  <c r="I24" i="40"/>
  <c r="I18" i="40"/>
  <c r="I12" i="40"/>
  <c r="F41" i="35"/>
  <c r="D46" i="32"/>
  <c r="I25" i="45"/>
  <c r="I42" i="37"/>
  <c r="I31" i="37"/>
  <c r="I14" i="28"/>
  <c r="I29" i="24"/>
  <c r="I15" i="22"/>
  <c r="I20" i="35"/>
  <c r="I11" i="32"/>
  <c r="I18" i="27"/>
  <c r="D31" i="22"/>
  <c r="H46" i="21"/>
  <c r="I11" i="37"/>
  <c r="I16" i="32"/>
  <c r="I35" i="30"/>
  <c r="D39" i="28"/>
  <c r="I10" i="28"/>
  <c r="I12" i="26"/>
  <c r="C44" i="24"/>
  <c r="I27" i="24"/>
  <c r="D49" i="44"/>
  <c r="I26" i="38"/>
  <c r="I11" i="35"/>
  <c r="I19" i="27"/>
  <c r="I20" i="24"/>
  <c r="H38" i="18"/>
  <c r="I37" i="29"/>
  <c r="I26" i="28"/>
  <c r="I22" i="26"/>
  <c r="I12" i="24"/>
  <c r="E31" i="22"/>
  <c r="I21" i="21"/>
  <c r="I36" i="13"/>
  <c r="I21" i="13"/>
  <c r="I37" i="11"/>
  <c r="I26" i="11"/>
  <c r="I16" i="11"/>
  <c r="I13" i="11"/>
  <c r="I35" i="11"/>
  <c r="I19" i="11"/>
  <c r="I21" i="11"/>
  <c r="I15" i="11"/>
  <c r="I32" i="11"/>
  <c r="I24" i="11"/>
  <c r="I29" i="11"/>
  <c r="I12" i="11"/>
  <c r="F42" i="11"/>
  <c r="I36" i="11"/>
  <c r="I20" i="11"/>
  <c r="C42" i="11"/>
  <c r="H38" i="28"/>
  <c r="I18" i="24"/>
  <c r="I30" i="15"/>
  <c r="I36" i="12"/>
  <c r="I28" i="12"/>
  <c r="I26" i="12"/>
  <c r="I16" i="12"/>
  <c r="I13" i="12"/>
  <c r="I10" i="12"/>
  <c r="I21" i="12"/>
  <c r="I15" i="12"/>
  <c r="I12" i="12"/>
  <c r="I38" i="12"/>
  <c r="E41" i="12"/>
  <c r="I39" i="12"/>
  <c r="I31" i="12"/>
  <c r="I34" i="12"/>
  <c r="I25" i="12"/>
  <c r="I42" i="3"/>
  <c r="I28" i="3"/>
  <c r="I22" i="3"/>
  <c r="I19" i="3"/>
  <c r="I16" i="3"/>
  <c r="I13" i="3"/>
  <c r="I10" i="3"/>
  <c r="I39" i="3"/>
  <c r="I34" i="3"/>
  <c r="I36" i="3"/>
  <c r="I25" i="3"/>
  <c r="E44" i="3"/>
  <c r="I21" i="3"/>
  <c r="I15" i="3"/>
  <c r="I12" i="3"/>
  <c r="I31" i="3"/>
  <c r="I33" i="3"/>
  <c r="I18" i="3"/>
  <c r="I9" i="3"/>
  <c r="D45" i="38"/>
  <c r="I25" i="16"/>
  <c r="I10" i="16"/>
  <c r="H42" i="20"/>
  <c r="I18" i="19"/>
  <c r="I17" i="19"/>
  <c r="I14" i="19"/>
  <c r="I11" i="19"/>
  <c r="E22" i="19"/>
  <c r="I20" i="19"/>
  <c r="I10" i="19"/>
  <c r="I16" i="19"/>
  <c r="I13" i="19"/>
  <c r="I30" i="18"/>
  <c r="I21" i="18"/>
  <c r="I10" i="7"/>
  <c r="I33" i="6"/>
  <c r="I24" i="6"/>
  <c r="I15" i="6"/>
  <c r="I46" i="5"/>
  <c r="E49" i="5"/>
  <c r="I44" i="5"/>
  <c r="I32" i="5"/>
  <c r="I15" i="5"/>
  <c r="I41" i="5"/>
  <c r="I23" i="5"/>
  <c r="I38" i="5"/>
  <c r="I29" i="5"/>
  <c r="I18" i="5"/>
  <c r="I26" i="5"/>
  <c r="I10" i="5"/>
  <c r="I45" i="5"/>
  <c r="I35" i="5"/>
  <c r="I20" i="3"/>
  <c r="I30" i="30"/>
  <c r="F50" i="13"/>
  <c r="I28" i="11"/>
  <c r="I16" i="5"/>
  <c r="I26" i="2"/>
  <c r="I9" i="2"/>
  <c r="I36" i="2"/>
  <c r="I28" i="2"/>
  <c r="I21" i="2"/>
  <c r="I11" i="2"/>
  <c r="I31" i="2"/>
  <c r="I24" i="2"/>
  <c r="I19" i="2"/>
  <c r="I14" i="2"/>
  <c r="I27" i="2"/>
  <c r="I25" i="2"/>
  <c r="I18" i="2"/>
  <c r="I37" i="2"/>
  <c r="I32" i="2"/>
  <c r="I15" i="2"/>
  <c r="I35" i="2"/>
  <c r="I23" i="2"/>
  <c r="I20" i="2"/>
  <c r="I13" i="2"/>
  <c r="I10" i="2"/>
  <c r="I18" i="18"/>
  <c r="I30" i="17"/>
  <c r="I18" i="17"/>
  <c r="E40" i="15"/>
  <c r="I44" i="13"/>
  <c r="D49" i="5"/>
  <c r="D44" i="3"/>
  <c r="I17" i="21"/>
  <c r="I25" i="11"/>
  <c r="I40" i="5"/>
  <c r="I16" i="2"/>
  <c r="I29" i="2"/>
  <c r="D43" i="4"/>
  <c r="I31" i="77"/>
  <c r="I15" i="73"/>
  <c r="I15" i="77"/>
  <c r="I34" i="73"/>
  <c r="I9" i="73"/>
  <c r="I28" i="76"/>
  <c r="I22" i="73"/>
  <c r="D46" i="73"/>
  <c r="I33" i="71"/>
  <c r="I41" i="73"/>
  <c r="F50" i="62"/>
  <c r="I44" i="63"/>
  <c r="I34" i="62"/>
  <c r="I28" i="62"/>
  <c r="F37" i="71"/>
  <c r="E38" i="59"/>
  <c r="E41" i="54"/>
  <c r="I13" i="59"/>
  <c r="I43" i="55"/>
  <c r="I37" i="52"/>
  <c r="I23" i="52"/>
  <c r="I26" i="52"/>
  <c r="I32" i="52"/>
  <c r="I14" i="52"/>
  <c r="I35" i="52"/>
  <c r="I17" i="52"/>
  <c r="I20" i="52"/>
  <c r="I11" i="52"/>
  <c r="I29" i="52"/>
  <c r="I43" i="69"/>
  <c r="I38" i="69"/>
  <c r="I15" i="69"/>
  <c r="I10" i="69"/>
  <c r="I27" i="69"/>
  <c r="I35" i="69"/>
  <c r="I29" i="69"/>
  <c r="I22" i="69"/>
  <c r="I24" i="69"/>
  <c r="I19" i="69"/>
  <c r="I41" i="69"/>
  <c r="I13" i="69"/>
  <c r="I16" i="69"/>
  <c r="I21" i="69"/>
  <c r="I18" i="69"/>
  <c r="I44" i="69"/>
  <c r="I32" i="69"/>
  <c r="I21" i="63"/>
  <c r="I18" i="54"/>
  <c r="D44" i="46"/>
  <c r="I19" i="62"/>
  <c r="I28" i="59"/>
  <c r="C44" i="46"/>
  <c r="I10" i="43"/>
  <c r="I22" i="46"/>
  <c r="I19" i="46"/>
  <c r="I31" i="41"/>
  <c r="I25" i="41"/>
  <c r="I36" i="41"/>
  <c r="I28" i="41"/>
  <c r="I24" i="41"/>
  <c r="I21" i="41"/>
  <c r="I18" i="41"/>
  <c r="I15" i="41"/>
  <c r="I35" i="41"/>
  <c r="I32" i="41"/>
  <c r="I12" i="41"/>
  <c r="I40" i="41"/>
  <c r="F44" i="41"/>
  <c r="I9" i="41"/>
  <c r="I37" i="41"/>
  <c r="I24" i="43"/>
  <c r="I26" i="41"/>
  <c r="I19" i="37"/>
  <c r="I31" i="32"/>
  <c r="I43" i="32"/>
  <c r="E45" i="50"/>
  <c r="I25" i="46"/>
  <c r="I23" i="38"/>
  <c r="H39" i="25"/>
  <c r="E45" i="37"/>
  <c r="I33" i="43"/>
  <c r="I42" i="27"/>
  <c r="I12" i="27"/>
  <c r="I9" i="27"/>
  <c r="I41" i="27"/>
  <c r="I38" i="27"/>
  <c r="I35" i="27"/>
  <c r="I32" i="27"/>
  <c r="I29" i="27"/>
  <c r="I46" i="27"/>
  <c r="I45" i="27"/>
  <c r="I39" i="27"/>
  <c r="I23" i="27"/>
  <c r="I11" i="27"/>
  <c r="I44" i="27"/>
  <c r="I40" i="27"/>
  <c r="I17" i="27"/>
  <c r="I47" i="27"/>
  <c r="I26" i="27"/>
  <c r="I14" i="27"/>
  <c r="E49" i="27"/>
  <c r="I20" i="27"/>
  <c r="I44" i="32"/>
  <c r="I40" i="79"/>
  <c r="I42" i="76"/>
  <c r="E39" i="77"/>
  <c r="I25" i="76"/>
  <c r="I22" i="77"/>
  <c r="I11" i="76"/>
  <c r="I30" i="73"/>
  <c r="I12" i="73"/>
  <c r="I36" i="76"/>
  <c r="F41" i="78"/>
  <c r="I33" i="78"/>
  <c r="I14" i="78"/>
  <c r="I9" i="78"/>
  <c r="I25" i="78"/>
  <c r="I11" i="78"/>
  <c r="I30" i="78"/>
  <c r="I26" i="78"/>
  <c r="I16" i="78"/>
  <c r="C41" i="78"/>
  <c r="I38" i="78"/>
  <c r="I36" i="78"/>
  <c r="I27" i="78"/>
  <c r="I17" i="78"/>
  <c r="I22" i="78"/>
  <c r="E20" i="74"/>
  <c r="I15" i="78"/>
  <c r="D41" i="78"/>
  <c r="D46" i="69"/>
  <c r="E49" i="72"/>
  <c r="I33" i="70"/>
  <c r="E38" i="70"/>
  <c r="I21" i="62"/>
  <c r="I21" i="72"/>
  <c r="I43" i="65"/>
  <c r="I18" i="65"/>
  <c r="I13" i="65"/>
  <c r="I10" i="65"/>
  <c r="I15" i="65"/>
  <c r="I12" i="65"/>
  <c r="I9" i="65"/>
  <c r="I32" i="65"/>
  <c r="I26" i="65"/>
  <c r="I20" i="65"/>
  <c r="I40" i="65"/>
  <c r="I23" i="65"/>
  <c r="I29" i="65"/>
  <c r="I37" i="65"/>
  <c r="I35" i="65"/>
  <c r="C45" i="65"/>
  <c r="I42" i="65"/>
  <c r="I40" i="62"/>
  <c r="I11" i="65"/>
  <c r="I35" i="63"/>
  <c r="I20" i="68"/>
  <c r="I15" i="63"/>
  <c r="I25" i="58"/>
  <c r="I23" i="58"/>
  <c r="I16" i="58"/>
  <c r="I11" i="58"/>
  <c r="I21" i="58"/>
  <c r="I9" i="58"/>
  <c r="I20" i="58"/>
  <c r="I37" i="58"/>
  <c r="I30" i="58"/>
  <c r="I13" i="58"/>
  <c r="I10" i="58"/>
  <c r="I27" i="58"/>
  <c r="I18" i="58"/>
  <c r="I15" i="58"/>
  <c r="I9" i="52"/>
  <c r="H49" i="62"/>
  <c r="I36" i="58"/>
  <c r="I10" i="68"/>
  <c r="H38" i="51"/>
  <c r="I16" i="41"/>
  <c r="I19" i="43"/>
  <c r="I17" i="41"/>
  <c r="I29" i="44"/>
  <c r="I29" i="41"/>
  <c r="I13" i="46"/>
  <c r="I23" i="44"/>
  <c r="H40" i="34"/>
  <c r="F46" i="69"/>
  <c r="I29" i="43"/>
  <c r="I25" i="38"/>
  <c r="I16" i="37"/>
  <c r="I28" i="32"/>
  <c r="C45" i="37"/>
  <c r="C41" i="35"/>
  <c r="I33" i="30"/>
  <c r="E39" i="30"/>
  <c r="I37" i="30"/>
  <c r="I22" i="30"/>
  <c r="I19" i="30"/>
  <c r="I16" i="30"/>
  <c r="I13" i="30"/>
  <c r="I10" i="30"/>
  <c r="I34" i="30"/>
  <c r="I29" i="30"/>
  <c r="I26" i="30"/>
  <c r="I28" i="30"/>
  <c r="I12" i="30"/>
  <c r="I25" i="30"/>
  <c r="I9" i="30"/>
  <c r="I21" i="30"/>
  <c r="I18" i="30"/>
  <c r="I15" i="30"/>
  <c r="I42" i="41"/>
  <c r="E45" i="38"/>
  <c r="I20" i="38"/>
  <c r="I26" i="36"/>
  <c r="F36" i="36"/>
  <c r="I23" i="36"/>
  <c r="I27" i="36"/>
  <c r="I33" i="36"/>
  <c r="I17" i="36"/>
  <c r="C36" i="36"/>
  <c r="I32" i="36"/>
  <c r="I18" i="36"/>
  <c r="I13" i="36"/>
  <c r="I10" i="36"/>
  <c r="I39" i="54"/>
  <c r="I45" i="48"/>
  <c r="I28" i="48"/>
  <c r="I25" i="48"/>
  <c r="I22" i="48"/>
  <c r="I20" i="48"/>
  <c r="I17" i="48"/>
  <c r="I14" i="48"/>
  <c r="I12" i="48"/>
  <c r="I9" i="48"/>
  <c r="F49" i="48"/>
  <c r="I47" i="48"/>
  <c r="I42" i="48"/>
  <c r="I36" i="48"/>
  <c r="I30" i="48"/>
  <c r="I27" i="48"/>
  <c r="I24" i="48"/>
  <c r="I11" i="48"/>
  <c r="I39" i="48"/>
  <c r="I33" i="48"/>
  <c r="I19" i="48"/>
  <c r="I16" i="48"/>
  <c r="I25" i="36"/>
  <c r="H41" i="31"/>
  <c r="I9" i="29"/>
  <c r="C44" i="41"/>
  <c r="I39" i="32"/>
  <c r="I23" i="34"/>
  <c r="H35" i="14"/>
  <c r="I40" i="17"/>
  <c r="H41" i="11"/>
  <c r="I16" i="36"/>
  <c r="F39" i="28"/>
  <c r="I29" i="17"/>
  <c r="I38" i="15"/>
  <c r="I18" i="13"/>
  <c r="I35" i="44"/>
  <c r="I39" i="17"/>
  <c r="I28" i="22"/>
  <c r="I27" i="22"/>
  <c r="I26" i="22"/>
  <c r="I23" i="22"/>
  <c r="I20" i="22"/>
  <c r="I17" i="22"/>
  <c r="I14" i="22"/>
  <c r="I11" i="22"/>
  <c r="F31" i="22"/>
  <c r="I24" i="16"/>
  <c r="I21" i="16"/>
  <c r="I18" i="16"/>
  <c r="I15" i="16"/>
  <c r="I12" i="16"/>
  <c r="I9" i="16"/>
  <c r="I33" i="16"/>
  <c r="I27" i="16"/>
  <c r="E40" i="16"/>
  <c r="I26" i="16"/>
  <c r="I23" i="16"/>
  <c r="I17" i="16"/>
  <c r="I11" i="16"/>
  <c r="I36" i="16"/>
  <c r="I30" i="16"/>
  <c r="I20" i="16"/>
  <c r="I14" i="16"/>
  <c r="I26" i="24"/>
  <c r="C39" i="18"/>
  <c r="I34" i="80"/>
  <c r="I32" i="80"/>
  <c r="I29" i="80"/>
  <c r="I26" i="80"/>
  <c r="I25" i="80"/>
  <c r="I33" i="80"/>
  <c r="I31" i="80"/>
  <c r="I20" i="80"/>
  <c r="I28" i="80"/>
  <c r="I23" i="80"/>
  <c r="I18" i="80"/>
  <c r="I15" i="80"/>
  <c r="I12" i="80"/>
  <c r="E39" i="80"/>
  <c r="I36" i="80"/>
  <c r="I30" i="79"/>
  <c r="I18" i="79"/>
  <c r="I19" i="78"/>
  <c r="I18" i="77"/>
  <c r="I12" i="77"/>
  <c r="I16" i="76"/>
  <c r="I37" i="80"/>
  <c r="C43" i="79"/>
  <c r="I25" i="79"/>
  <c r="E41" i="78"/>
  <c r="D39" i="77"/>
  <c r="I43" i="76"/>
  <c r="I24" i="73"/>
  <c r="I28" i="77"/>
  <c r="I10" i="74"/>
  <c r="I21" i="80"/>
  <c r="I36" i="75"/>
  <c r="I27" i="75"/>
  <c r="E38" i="75"/>
  <c r="I24" i="75"/>
  <c r="I31" i="75"/>
  <c r="I17" i="75"/>
  <c r="I21" i="75"/>
  <c r="I14" i="75"/>
  <c r="I11" i="75"/>
  <c r="I20" i="75"/>
  <c r="I14" i="74"/>
  <c r="I23" i="77"/>
  <c r="I10" i="76"/>
  <c r="I15" i="75"/>
  <c r="I14" i="80"/>
  <c r="I33" i="79"/>
  <c r="I19" i="77"/>
  <c r="I28" i="75"/>
  <c r="I11" i="74"/>
  <c r="I28" i="73"/>
  <c r="I33" i="72"/>
  <c r="I16" i="71"/>
  <c r="I36" i="69"/>
  <c r="D38" i="75"/>
  <c r="I12" i="69"/>
  <c r="I15" i="79"/>
  <c r="I16" i="75"/>
  <c r="I15" i="70"/>
  <c r="I13" i="74"/>
  <c r="I24" i="72"/>
  <c r="I24" i="71"/>
  <c r="I28" i="70"/>
  <c r="I22" i="68"/>
  <c r="I39" i="65"/>
  <c r="I18" i="74"/>
  <c r="I18" i="68"/>
  <c r="I36" i="65"/>
  <c r="I24" i="65"/>
  <c r="I37" i="62"/>
  <c r="I31" i="62"/>
  <c r="I25" i="62"/>
  <c r="I17" i="68"/>
  <c r="D40" i="64"/>
  <c r="I39" i="61"/>
  <c r="I36" i="61"/>
  <c r="I33" i="61"/>
  <c r="I30" i="61"/>
  <c r="I27" i="61"/>
  <c r="I24" i="61"/>
  <c r="I21" i="61"/>
  <c r="I18" i="61"/>
  <c r="I13" i="61"/>
  <c r="I10" i="61"/>
  <c r="I38" i="61"/>
  <c r="I20" i="61"/>
  <c r="I12" i="61"/>
  <c r="I35" i="61"/>
  <c r="I17" i="61"/>
  <c r="I9" i="61"/>
  <c r="I32" i="61"/>
  <c r="I29" i="61"/>
  <c r="I23" i="61"/>
  <c r="I15" i="61"/>
  <c r="I26" i="61"/>
  <c r="H45" i="67"/>
  <c r="I16" i="65"/>
  <c r="I28" i="61"/>
  <c r="I29" i="58"/>
  <c r="I19" i="55"/>
  <c r="I25" i="65"/>
  <c r="I13" i="64"/>
  <c r="I24" i="62"/>
  <c r="I25" i="61"/>
  <c r="I32" i="59"/>
  <c r="I33" i="54"/>
  <c r="I21" i="52"/>
  <c r="I36" i="64"/>
  <c r="I28" i="58"/>
  <c r="I14" i="58"/>
  <c r="I40" i="55"/>
  <c r="I34" i="55"/>
  <c r="I13" i="55"/>
  <c r="I30" i="71"/>
  <c r="I33" i="65"/>
  <c r="I22" i="59"/>
  <c r="F45" i="55"/>
  <c r="I41" i="48"/>
  <c r="I13" i="48"/>
  <c r="H36" i="71"/>
  <c r="I16" i="70"/>
  <c r="I31" i="61"/>
  <c r="E45" i="55"/>
  <c r="I26" i="53"/>
  <c r="I16" i="53"/>
  <c r="I28" i="53"/>
  <c r="I34" i="53"/>
  <c r="I31" i="53"/>
  <c r="C41" i="53"/>
  <c r="I39" i="53"/>
  <c r="I36" i="53"/>
  <c r="I18" i="53"/>
  <c r="I15" i="53"/>
  <c r="I20" i="53"/>
  <c r="I10" i="53"/>
  <c r="I13" i="53"/>
  <c r="I40" i="56"/>
  <c r="I37" i="56"/>
  <c r="I34" i="56"/>
  <c r="I31" i="56"/>
  <c r="I44" i="56"/>
  <c r="I39" i="56"/>
  <c r="I33" i="56"/>
  <c r="I27" i="56"/>
  <c r="I21" i="56"/>
  <c r="I15" i="56"/>
  <c r="I10" i="56"/>
  <c r="I36" i="56"/>
  <c r="I18" i="56"/>
  <c r="I12" i="56"/>
  <c r="I30" i="56"/>
  <c r="I24" i="56"/>
  <c r="I36" i="52"/>
  <c r="I17" i="50"/>
  <c r="I40" i="48"/>
  <c r="I21" i="48"/>
  <c r="F42" i="61"/>
  <c r="I24" i="58"/>
  <c r="I22" i="51"/>
  <c r="I24" i="51"/>
  <c r="I10" i="51"/>
  <c r="I29" i="51"/>
  <c r="I26" i="51"/>
  <c r="I15" i="51"/>
  <c r="I17" i="51"/>
  <c r="I32" i="51"/>
  <c r="I34" i="51"/>
  <c r="H48" i="47"/>
  <c r="I38" i="41"/>
  <c r="I10" i="41"/>
  <c r="I25" i="50"/>
  <c r="I31" i="45"/>
  <c r="I23" i="41"/>
  <c r="F46" i="56"/>
  <c r="I27" i="41"/>
  <c r="I20" i="51"/>
  <c r="I33" i="59"/>
  <c r="I28" i="52"/>
  <c r="I27" i="51"/>
  <c r="I14" i="45"/>
  <c r="I44" i="42"/>
  <c r="I36" i="42"/>
  <c r="I33" i="42"/>
  <c r="I30" i="42"/>
  <c r="I27" i="42"/>
  <c r="I24" i="42"/>
  <c r="I21" i="42"/>
  <c r="I18" i="42"/>
  <c r="I15" i="42"/>
  <c r="I12" i="42"/>
  <c r="I9" i="42"/>
  <c r="I45" i="42"/>
  <c r="I40" i="42"/>
  <c r="I43" i="42"/>
  <c r="I32" i="42"/>
  <c r="I26" i="42"/>
  <c r="I20" i="42"/>
  <c r="I14" i="42"/>
  <c r="F47" i="42"/>
  <c r="I29" i="42"/>
  <c r="I23" i="42"/>
  <c r="I17" i="42"/>
  <c r="I11" i="42"/>
  <c r="I35" i="42"/>
  <c r="I39" i="42"/>
  <c r="I42" i="42"/>
  <c r="C47" i="42"/>
  <c r="I37" i="38"/>
  <c r="I19" i="38"/>
  <c r="I33" i="37"/>
  <c r="I28" i="36"/>
  <c r="I18" i="35"/>
  <c r="I22" i="32"/>
  <c r="I23" i="37"/>
  <c r="I19" i="36"/>
  <c r="I23" i="32"/>
  <c r="I25" i="37"/>
  <c r="E41" i="34"/>
  <c r="I39" i="24"/>
  <c r="I38" i="40"/>
  <c r="I11" i="40"/>
  <c r="I38" i="38"/>
  <c r="I11" i="38"/>
  <c r="I20" i="36"/>
  <c r="I42" i="32"/>
  <c r="I28" i="50"/>
  <c r="I46" i="48"/>
  <c r="I10" i="48"/>
  <c r="I16" i="46"/>
  <c r="I34" i="40"/>
  <c r="I38" i="35"/>
  <c r="I39" i="34"/>
  <c r="I36" i="27"/>
  <c r="I17" i="24"/>
  <c r="I12" i="22"/>
  <c r="I20" i="43"/>
  <c r="D39" i="30"/>
  <c r="I27" i="29"/>
  <c r="I24" i="28"/>
  <c r="I26" i="44"/>
  <c r="F49" i="27"/>
  <c r="I35" i="26"/>
  <c r="I25" i="26"/>
  <c r="I23" i="26"/>
  <c r="I21" i="26"/>
  <c r="I16" i="26"/>
  <c r="I11" i="26"/>
  <c r="I34" i="26"/>
  <c r="I27" i="26"/>
  <c r="I15" i="26"/>
  <c r="I38" i="24"/>
  <c r="I24" i="24"/>
  <c r="I19" i="22"/>
  <c r="I10" i="22"/>
  <c r="I34" i="34"/>
  <c r="I11" i="34"/>
  <c r="D49" i="27"/>
  <c r="I31" i="27"/>
  <c r="I15" i="27"/>
  <c r="I32" i="26"/>
  <c r="I40" i="24"/>
  <c r="I16" i="24"/>
  <c r="I14" i="35"/>
  <c r="I14" i="34"/>
  <c r="I17" i="32"/>
  <c r="I36" i="30"/>
  <c r="C49" i="27"/>
  <c r="I19" i="26"/>
  <c r="I40" i="21"/>
  <c r="I10" i="18"/>
  <c r="I38" i="7"/>
  <c r="I12" i="7"/>
  <c r="I9" i="7"/>
  <c r="I22" i="7"/>
  <c r="I19" i="7"/>
  <c r="I16" i="7"/>
  <c r="I11" i="7"/>
  <c r="C41" i="7"/>
  <c r="I36" i="7"/>
  <c r="I30" i="7"/>
  <c r="I24" i="7"/>
  <c r="I18" i="7"/>
  <c r="I33" i="7"/>
  <c r="I27" i="7"/>
  <c r="I21" i="7"/>
  <c r="I15" i="7"/>
  <c r="I17" i="38"/>
  <c r="I32" i="16"/>
  <c r="I35" i="28"/>
  <c r="F39" i="18"/>
  <c r="I22" i="16"/>
  <c r="I9" i="11"/>
  <c r="I26" i="7"/>
  <c r="I34" i="29"/>
  <c r="I9" i="28"/>
  <c r="I14" i="26"/>
  <c r="F45" i="17"/>
  <c r="I27" i="17"/>
  <c r="I15" i="17"/>
  <c r="D50" i="13"/>
  <c r="E42" i="11"/>
  <c r="I35" i="3"/>
  <c r="E39" i="28"/>
  <c r="I15" i="28"/>
  <c r="I33" i="13"/>
  <c r="I12" i="13"/>
  <c r="I28" i="7"/>
  <c r="C38" i="26"/>
  <c r="I31" i="16"/>
  <c r="I29" i="12"/>
  <c r="I11" i="12"/>
  <c r="I18" i="11"/>
  <c r="I34" i="5"/>
  <c r="I13" i="4"/>
  <c r="I17" i="3"/>
  <c r="I22" i="15"/>
  <c r="I25" i="7"/>
  <c r="I18" i="51"/>
  <c r="C39" i="28"/>
  <c r="I36" i="23"/>
  <c r="I23" i="23"/>
  <c r="I19" i="23"/>
  <c r="I16" i="23"/>
  <c r="I13" i="23"/>
  <c r="I30" i="23"/>
  <c r="I27" i="23"/>
  <c r="D42" i="23"/>
  <c r="I33" i="23"/>
  <c r="I39" i="23"/>
  <c r="I32" i="20"/>
  <c r="I26" i="17"/>
  <c r="I14" i="17"/>
  <c r="I12" i="15"/>
  <c r="I20" i="12"/>
  <c r="I23" i="11"/>
  <c r="E41" i="7"/>
  <c r="I11" i="5"/>
  <c r="I41" i="3"/>
  <c r="I29" i="34"/>
  <c r="I15" i="18"/>
  <c r="I29" i="7"/>
  <c r="E50" i="13"/>
  <c r="C43" i="4"/>
  <c r="D39" i="2"/>
  <c r="I28" i="29"/>
  <c r="I22" i="33"/>
  <c r="I39" i="33"/>
  <c r="I33" i="33"/>
  <c r="I27" i="33"/>
  <c r="I21" i="33"/>
  <c r="I43" i="33"/>
  <c r="I36" i="33"/>
  <c r="I30" i="33"/>
  <c r="I24" i="33"/>
  <c r="I14" i="33"/>
  <c r="I17" i="33"/>
  <c r="I13" i="32"/>
  <c r="C45" i="17"/>
  <c r="I24" i="17"/>
  <c r="I12" i="17"/>
  <c r="I27" i="15"/>
  <c r="I31" i="78"/>
  <c r="I23" i="30"/>
  <c r="D41" i="7"/>
  <c r="I23" i="7"/>
  <c r="I38" i="16"/>
  <c r="I28" i="34"/>
  <c r="I22" i="24"/>
  <c r="I46" i="13"/>
  <c r="I27" i="13"/>
  <c r="I9" i="13"/>
  <c r="D42" i="11"/>
  <c r="E44" i="29"/>
  <c r="I24" i="29"/>
  <c r="I30" i="26"/>
  <c r="I33" i="24"/>
  <c r="I33" i="17"/>
  <c r="I21" i="17"/>
  <c r="I9" i="17"/>
  <c r="I26" i="3"/>
  <c r="I25" i="28"/>
  <c r="C31" i="22"/>
  <c r="E45" i="17"/>
  <c r="I13" i="16"/>
  <c r="I29" i="4"/>
  <c r="I19" i="4"/>
  <c r="I14" i="4"/>
  <c r="I36" i="4"/>
  <c r="I11" i="4"/>
  <c r="I26" i="4"/>
  <c r="I31" i="4"/>
  <c r="I23" i="4"/>
  <c r="I20" i="4"/>
  <c r="I37" i="4"/>
  <c r="I32" i="4"/>
  <c r="I22" i="4"/>
  <c r="I10" i="4"/>
  <c r="I40" i="4"/>
  <c r="I35" i="4"/>
  <c r="I17" i="4"/>
  <c r="I30" i="20"/>
  <c r="I27" i="20"/>
  <c r="I24" i="20"/>
  <c r="I38" i="20"/>
  <c r="I31" i="20"/>
  <c r="I23" i="20"/>
  <c r="I20" i="20"/>
  <c r="I17" i="20"/>
  <c r="I14" i="20"/>
  <c r="I11" i="20"/>
  <c r="I10" i="20"/>
  <c r="I41" i="20"/>
  <c r="I36" i="20"/>
  <c r="I33" i="20"/>
  <c r="D43" i="20"/>
  <c r="I22" i="20"/>
  <c r="I35" i="20"/>
  <c r="I29" i="20"/>
  <c r="I19" i="20"/>
  <c r="I13" i="20"/>
  <c r="I40" i="20"/>
  <c r="I26" i="20"/>
  <c r="I16" i="20"/>
  <c r="I37" i="20"/>
  <c r="I34" i="20"/>
  <c r="H21" i="19"/>
  <c r="I33" i="18"/>
  <c r="I24" i="18"/>
  <c r="I37" i="17"/>
  <c r="I37" i="16"/>
  <c r="D41" i="12"/>
  <c r="I13" i="7"/>
  <c r="I36" i="6"/>
  <c r="I27" i="6"/>
  <c r="I18" i="6"/>
  <c r="I9" i="6"/>
  <c r="I27" i="3"/>
  <c r="D41" i="34"/>
  <c r="I39" i="11"/>
  <c r="C49" i="5"/>
  <c r="I33" i="26"/>
  <c r="I29" i="23"/>
  <c r="H30" i="22"/>
  <c r="D39" i="18"/>
  <c r="I32" i="17"/>
  <c r="I20" i="17"/>
  <c r="C40" i="16"/>
  <c r="I25" i="5"/>
  <c r="I29" i="3"/>
  <c r="I37" i="34"/>
  <c r="I30" i="21"/>
  <c r="C22" i="19"/>
  <c r="I16" i="15"/>
  <c r="E42" i="6"/>
  <c r="C44" i="3"/>
  <c r="F39" i="2"/>
  <c r="C39" i="2"/>
</calcChain>
</file>

<file path=xl/sharedStrings.xml><?xml version="1.0" encoding="utf-8"?>
<sst xmlns="http://schemas.openxmlformats.org/spreadsheetml/2006/main" count="10054" uniqueCount="357">
  <si>
    <t>PRODUTTORE</t>
  </si>
  <si>
    <t>COMUNE DI AMARO</t>
  </si>
  <si>
    <t>PERIODO</t>
  </si>
  <si>
    <t>01/01/2024 - 31/12/2024</t>
  </si>
  <si>
    <t>ABITANTI</t>
  </si>
  <si>
    <t>KG/PERIODO</t>
  </si>
  <si>
    <t>GRUPPO RIFIUTI</t>
  </si>
  <si>
    <t>RIFIUTO</t>
  </si>
  <si>
    <t>DOMICILIARE</t>
  </si>
  <si>
    <t>STRADALE</t>
  </si>
  <si>
    <t>CDR</t>
  </si>
  <si>
    <t>ALTRO</t>
  </si>
  <si>
    <t>TOTALE</t>
  </si>
  <si>
    <t>KG/AB/PERIODO</t>
  </si>
  <si>
    <t>% TOTALE</t>
  </si>
  <si>
    <t>% SU 2023</t>
  </si>
  <si>
    <t>Rifiuti urbani differenziati</t>
  </si>
  <si>
    <t>080318 - Toner</t>
  </si>
  <si>
    <t>150101 - imballaggi in carta e cartone</t>
  </si>
  <si>
    <t>150106 - Multimateriale Plastica + lattine</t>
  </si>
  <si>
    <t>150107 - Imballaggi in vetro</t>
  </si>
  <si>
    <t>150111 - * Bombolette spray</t>
  </si>
  <si>
    <t>160103 - Pneumatici</t>
  </si>
  <si>
    <t>170904 - Inerti</t>
  </si>
  <si>
    <t>200101 - Carta e cartone</t>
  </si>
  <si>
    <t>200102 - Lastre di vetro</t>
  </si>
  <si>
    <t>200108 - Umido</t>
  </si>
  <si>
    <t>200110 - Abbigliamento</t>
  </si>
  <si>
    <t>200111 - Prodotti tessili</t>
  </si>
  <si>
    <t>200123 - * RAEE R1 (Frigoriferi)</t>
  </si>
  <si>
    <t>200125 - Oli vegetali</t>
  </si>
  <si>
    <t>200126 - * Oli pericolosi</t>
  </si>
  <si>
    <t>200127 - * Pitture e vernici pericolose</t>
  </si>
  <si>
    <t>200132 - Medicinali scaduti</t>
  </si>
  <si>
    <t>200133 - * Batterie al piombo</t>
  </si>
  <si>
    <t>200133 - * Pile portatili</t>
  </si>
  <si>
    <t>200135 - * RAEE R3 (TV e monitor)</t>
  </si>
  <si>
    <t>200136 - RAEE R2 (Lavatrici)</t>
  </si>
  <si>
    <t>200138 - Legno</t>
  </si>
  <si>
    <t>200139 - Plastiche dure</t>
  </si>
  <si>
    <t>200140 - Metallo</t>
  </si>
  <si>
    <t>200201 - Verde</t>
  </si>
  <si>
    <t>200121 - * RAEE R5 (Lampade fluorescenti)</t>
  </si>
  <si>
    <t>200136 - RAEE R4 (Piccoli elettrodomestici)</t>
  </si>
  <si>
    <t>Rifiuti urbani non differenziati</t>
  </si>
  <si>
    <t>200301 - R.S.U. Secco residuo</t>
  </si>
  <si>
    <t>200307 - Ingombranti</t>
  </si>
  <si>
    <t>200303 - Residui della pulizia stradale</t>
  </si>
  <si>
    <t>Altri rifiuti urbani</t>
  </si>
  <si>
    <t>170603 - * Altri materiali isolanti</t>
  </si>
  <si>
    <t>170802 - Mater. da costruz. a base di gesso</t>
  </si>
  <si>
    <t>160216 - Toner</t>
  </si>
  <si>
    <t>* rifiuti pericolosi</t>
  </si>
  <si>
    <t>GRUPPO RIFIUTI (kg/periodo)</t>
  </si>
  <si>
    <t>RIFIUTI URBANI DIFFERENZIATI</t>
  </si>
  <si>
    <t>RIFIUTI URBANI NON DIFFERENZIATI</t>
  </si>
  <si>
    <t>ALTRI RIFIUTI URBANI</t>
  </si>
  <si>
    <t>PERCENTUALE RACCOLTA DIFFERENZIATA</t>
  </si>
  <si>
    <t>PERCENTUALE RACCOLTA DIFFERENZIATA (ARPA)</t>
  </si>
  <si>
    <t>2023 A&amp;T 2000</t>
  </si>
  <si>
    <t>LEGENDA</t>
  </si>
  <si>
    <t>'2023</t>
  </si>
  <si>
    <t>% RD calcolata secondo le linee guida ARPA</t>
  </si>
  <si>
    <t>% RD del Comune 
nell'anno 2024</t>
  </si>
  <si>
    <t>% RD del Comune 
nell'anno 2023</t>
  </si>
  <si>
    <t>% RD media del bacino 
di A&amp;T2000 nell'anno 2023</t>
  </si>
  <si>
    <t>PERCENTUALE RACCOLTA DIFFERENZIATA (A&amp;T 2000)</t>
  </si>
  <si>
    <t>% RD calcolata al netto degli scarti dei rifiuti raccolti</t>
  </si>
  <si>
    <t>DIFFERENZIALI PRINCIPALI PARAMETRI (kg/ab anno)</t>
  </si>
  <si>
    <t>COMUNE DI AMARO**</t>
  </si>
  <si>
    <t>A&amp;T 2000 **</t>
  </si>
  <si>
    <t>TARIC **</t>
  </si>
  <si>
    <t>PROIEZIONE ***</t>
  </si>
  <si>
    <t>SECCO RESIDUO</t>
  </si>
  <si>
    <t>ORGANICO</t>
  </si>
  <si>
    <t>RIF. DIFF.</t>
  </si>
  <si>
    <t>RIF. NON DIFF.</t>
  </si>
  <si>
    <t>COMUNE DI ________**</t>
  </si>
  <si>
    <t>media degli ultimi 5 anni del Comune diAMARO</t>
  </si>
  <si>
    <t>media degli ultimi 5 anni di tutti i Comuni del bacino di A&amp;T 2000</t>
  </si>
  <si>
    <t>media degli ultimi 5 anni dei Comuni dove si applica la TARIC</t>
  </si>
  <si>
    <t>Proiezione dei dati parziali sull'anno in corso</t>
  </si>
  <si>
    <t>COMUNE DI AMPEZZO</t>
  </si>
  <si>
    <t>COMUNE DI AMPEZZO**</t>
  </si>
  <si>
    <t>media degli ultimi 5 anni del Comune diAMPEZZO</t>
  </si>
  <si>
    <t>COMUNE DI ARTA TERME</t>
  </si>
  <si>
    <t>170604 - Materiali isolanti</t>
  </si>
  <si>
    <t>COMUNE DI ARTA TERME**</t>
  </si>
  <si>
    <t>media degli ultimi 5 anni del Comune diARTA TERME</t>
  </si>
  <si>
    <t>COMUNE DI ARTEGNA</t>
  </si>
  <si>
    <t>150102 - Imballaggi in plastica</t>
  </si>
  <si>
    <t>COMUNE DI ARTEGNA**</t>
  </si>
  <si>
    <t>media degli ultimi 5 anni del Comune diARTEGNA</t>
  </si>
  <si>
    <t>COMUNE DI BASILIANO</t>
  </si>
  <si>
    <t>170204 - Vetro, plastica e legno pericolosi</t>
  </si>
  <si>
    <t>150110 - * Imballaggi per pitture e vernici</t>
  </si>
  <si>
    <t>160304 - Rifiuti inorganici</t>
  </si>
  <si>
    <t>160504 - Bombolette spray</t>
  </si>
  <si>
    <t>170301 - Miscele bituminose contenenti catrame di carbone</t>
  </si>
  <si>
    <t>170101 - Cemento</t>
  </si>
  <si>
    <t>COMUNE DI BASILIANO**</t>
  </si>
  <si>
    <t>media degli ultimi 5 anni del Comune diBASILIANO</t>
  </si>
  <si>
    <t>COMUNE DI BERTIOLO</t>
  </si>
  <si>
    <t>COMUNE DI BERTIOLO**</t>
  </si>
  <si>
    <t>media degli ultimi 5 anni del Comune diBERTIOLO</t>
  </si>
  <si>
    <t>COMUNE DI BORDANO</t>
  </si>
  <si>
    <t>COMUNE DI BORDANO**</t>
  </si>
  <si>
    <t>media degli ultimi 5 anni del Comune diBORDANO</t>
  </si>
  <si>
    <t>COMUNE DI BUTTRIO</t>
  </si>
  <si>
    <t>COMUNE DI BUTTRIO**</t>
  </si>
  <si>
    <t>media degli ultimi 5 anni del Comune diBUTTRIO</t>
  </si>
  <si>
    <t>COMUNE DI CAMINO AL TAGLIAMENTO</t>
  </si>
  <si>
    <t>COMUNE DI CAMINO AL TAGLIAMENTO**</t>
  </si>
  <si>
    <t>media degli ultimi 5 anni del Comune diCAMINO AL TAGLIAMENTO</t>
  </si>
  <si>
    <t>COMUNE DI CAMPOFORMIDO</t>
  </si>
  <si>
    <t>200306 - Pulizia fognature</t>
  </si>
  <si>
    <t>170201 - LEgno</t>
  </si>
  <si>
    <t>COMUNE DI CAMPOFORMIDO**</t>
  </si>
  <si>
    <t>media degli ultimi 5 anni del Comune diCAMPOFORMIDO</t>
  </si>
  <si>
    <t>COMUNE DI CAVAZZO CARNICO</t>
  </si>
  <si>
    <t>200304 - fanghi</t>
  </si>
  <si>
    <t>COMUNE DI CAVAZZO CARNICO**</t>
  </si>
  <si>
    <t>media degli ultimi 5 anni del Comune diCAVAZZO CARNICO</t>
  </si>
  <si>
    <t>COMUNE DI CERCIVENTO</t>
  </si>
  <si>
    <t>COMUNE DI CERCIVENTO**</t>
  </si>
  <si>
    <t>media degli ultimi 5 anni del Comune diCERCIVENTO</t>
  </si>
  <si>
    <t>COMUNE DI CODROIPO</t>
  </si>
  <si>
    <t>170503 - Terre e rocce, contenenti sostanze pericolose</t>
  </si>
  <si>
    <t>160708 - rifiuti contenenti olio</t>
  </si>
  <si>
    <t>160305 - * Rifiuti organici pericolosi</t>
  </si>
  <si>
    <t>COMUNE DI CODROIPO**</t>
  </si>
  <si>
    <t>media degli ultimi 5 anni del Comune diCODROIPO</t>
  </si>
  <si>
    <t>COMUNE DI COLLOREDO DI MONTE ALBANO</t>
  </si>
  <si>
    <t>150104 - Imballaggi metallici (lattine)</t>
  </si>
  <si>
    <t>COMUNE DI COLLOREDO DI MONTE ALBANO**</t>
  </si>
  <si>
    <t>media degli ultimi 5 anni del Comune diCOLLOREDO DI MONTE ALBANO</t>
  </si>
  <si>
    <t>COMUNE DI COMEGLIANS</t>
  </si>
  <si>
    <t>COMUNE DI COMEGLIANS**</t>
  </si>
  <si>
    <t>media degli ultimi 5 anni del Comune diCOMEGLIANS</t>
  </si>
  <si>
    <t>COMUNE DI CORNO DI ROSAZZO</t>
  </si>
  <si>
    <t>COMUNE DI CORNO DI ROSAZZO**</t>
  </si>
  <si>
    <t>media degli ultimi 5 anni del Comune diCORNO DI ROSAZZO</t>
  </si>
  <si>
    <t>COMUNE DI COSEANO</t>
  </si>
  <si>
    <t>200203 - Altri rifiuti non compostabili</t>
  </si>
  <si>
    <t>200134 - * Pile portatili</t>
  </si>
  <si>
    <t>170903 - * Altri rifiuti inerti</t>
  </si>
  <si>
    <t>COMUNE DI COSEANO**</t>
  </si>
  <si>
    <t>media degli ultimi 5 anni del Comune diCOSEANO</t>
  </si>
  <si>
    <t>COMUNE DI DIGNANO</t>
  </si>
  <si>
    <t>COMUNE DI DIGNANO**</t>
  </si>
  <si>
    <t>media degli ultimi 5 anni del Comune diDIGNANO</t>
  </si>
  <si>
    <t>COMUNE DI DOGNA</t>
  </si>
  <si>
    <t>COMUNE DI DOGNA**</t>
  </si>
  <si>
    <t>media degli ultimi 5 anni del Comune diDOGNA</t>
  </si>
  <si>
    <t>COMUNE DI ENEMONZO</t>
  </si>
  <si>
    <t>190802 - Rifiuti dell'eliminazione della sabbia</t>
  </si>
  <si>
    <t>COMUNE DI ENEMONZO**</t>
  </si>
  <si>
    <t>media degli ultimi 5 anni del Comune diENEMONZO</t>
  </si>
  <si>
    <t>COMUNE DI FAGAGNA</t>
  </si>
  <si>
    <t>170107 - Inerti</t>
  </si>
  <si>
    <t>200137 - legno, contenente sostanze pericolose</t>
  </si>
  <si>
    <t>170203 - Plastica</t>
  </si>
  <si>
    <t>COMUNE DI FAGAGNA**</t>
  </si>
  <si>
    <t>media degli ultimi 5 anni del Comune diFAGAGNA</t>
  </si>
  <si>
    <t>COMUNE DI FLAIBANO</t>
  </si>
  <si>
    <t>COMUNE DI FLAIBANO**</t>
  </si>
  <si>
    <t>media degli ultimi 5 anni del Comune diFLAIBANO</t>
  </si>
  <si>
    <t>COMUNE DI FORGARIA NEL FRIULI</t>
  </si>
  <si>
    <t>170405 - Ferro e acciaio</t>
  </si>
  <si>
    <t>COMUNE DI FORGARIA NEL FRIULI**</t>
  </si>
  <si>
    <t>media degli ultimi 5 anni del Comune diFORGARIA NEL FRIULI</t>
  </si>
  <si>
    <t>COMUNE DI FORNI AVOLTRI</t>
  </si>
  <si>
    <t>130205 - scarti olio minerale</t>
  </si>
  <si>
    <t xml:space="preserve">160211 - Apparecchiature fuori uso, contenenti clorofluorocarburi, HCFC, HFC   </t>
  </si>
  <si>
    <t>160104 - Veicoli fuori uso</t>
  </si>
  <si>
    <t>COMUNE DI FORNI AVOLTRI**</t>
  </si>
  <si>
    <t>media degli ultimi 5 anni del Comune diFORNI AVOLTRI</t>
  </si>
  <si>
    <t>COMUNE DI FORNI DI SOPRA</t>
  </si>
  <si>
    <t>COMUNE DI FORNI DI SOPRA**</t>
  </si>
  <si>
    <t>media degli ultimi 5 anni del Comune diFORNI DI SOPRA</t>
  </si>
  <si>
    <t>COMUNE DI FORNI DI SOTTO</t>
  </si>
  <si>
    <t>COMUNE DI FORNI DI SOTTO**</t>
  </si>
  <si>
    <t>media degli ultimi 5 anni del Comune diFORNI DI SOTTO</t>
  </si>
  <si>
    <t>COMUNE DI GEMONA DEL FRIULI</t>
  </si>
  <si>
    <t>170406 - Stagno</t>
  </si>
  <si>
    <t>COMUNE DI GEMONA DEL FRIULI**</t>
  </si>
  <si>
    <t>media degli ultimi 5 anni del Comune diGEMONA DEL FRIULI</t>
  </si>
  <si>
    <t>COMUNE DI LAUCO</t>
  </si>
  <si>
    <t>COMUNE DI LAUCO**</t>
  </si>
  <si>
    <t>media degli ultimi 5 anni del Comune diLAUCO</t>
  </si>
  <si>
    <t>COMUNE DI LESTIZZA</t>
  </si>
  <si>
    <t>COMUNE DI LESTIZZA**</t>
  </si>
  <si>
    <t>media degli ultimi 5 anni del Comune diLESTIZZA</t>
  </si>
  <si>
    <t>COMUNE DI LUSEVERA</t>
  </si>
  <si>
    <t xml:space="preserve">170605 - Materiali costruzione con amianto       </t>
  </si>
  <si>
    <t>COMUNE DI LUSEVERA**</t>
  </si>
  <si>
    <t>media degli ultimi 5 anni del Comune diLUSEVERA</t>
  </si>
  <si>
    <t>COMUNE DI MAGNANO IN RIVIERA</t>
  </si>
  <si>
    <t>160213 - apparecchiature fuori uso, contenenti componenti pericolosi (2) diversi da quelli di cui alle voci 16 02 09 e 16 02 12</t>
  </si>
  <si>
    <t>COMUNE DI MAGNANO IN RIVIERA**</t>
  </si>
  <si>
    <t>media degli ultimi 5 anni del Comune diMAGNANO IN RIVIERA</t>
  </si>
  <si>
    <t>COMUNE DI MAJANO</t>
  </si>
  <si>
    <t>200129 - Detergenti contenenti sostanze pericolose</t>
  </si>
  <si>
    <t>COMUNE DI MAJANO**</t>
  </si>
  <si>
    <t>media degli ultimi 5 anni del Comune diMAJANO</t>
  </si>
  <si>
    <t>COMUNE DI MARTIGNACCO</t>
  </si>
  <si>
    <t>COMUNE DI MARTIGNACCO**</t>
  </si>
  <si>
    <t>media degli ultimi 5 anni del Comune diMARTIGNACCO</t>
  </si>
  <si>
    <t>COMUNE DI MOGGIO UDINESE</t>
  </si>
  <si>
    <t>COMUNE DI MOGGIO UDINESE**</t>
  </si>
  <si>
    <t>media degli ultimi 5 anni del Comune diMOGGIO UDINESE</t>
  </si>
  <si>
    <t>COMUNE DI MOIMACCO</t>
  </si>
  <si>
    <t>COMUNE DI MOIMACCO**</t>
  </si>
  <si>
    <t>media degli ultimi 5 anni del Comune diMOIMACCO</t>
  </si>
  <si>
    <t>COMUNE DI MONTENARS</t>
  </si>
  <si>
    <t>COMUNE DI MONTENARS**</t>
  </si>
  <si>
    <t>media degli ultimi 5 anni del Comune diMONTENARS</t>
  </si>
  <si>
    <t>COMUNE DI MORTEGLIANO</t>
  </si>
  <si>
    <t>150203 - assorbenti,mat.filtranti,stracci</t>
  </si>
  <si>
    <t>170504 - Terre e rocce</t>
  </si>
  <si>
    <t>COMUNE DI MORTEGLIANO**</t>
  </si>
  <si>
    <t>media degli ultimi 5 anni del Comune diMORTEGLIANO</t>
  </si>
  <si>
    <t>COMUNE DI MORUZZO</t>
  </si>
  <si>
    <t xml:space="preserve">160214 - APPARECCHIATURE FUORI USO, DIVERSE      </t>
  </si>
  <si>
    <t>COMUNE DI MORUZZO**</t>
  </si>
  <si>
    <t>media degli ultimi 5 anni del Comune diMORUZZO</t>
  </si>
  <si>
    <t>COMUNE DI NIMIS</t>
  </si>
  <si>
    <t>130802 - Olio minerale</t>
  </si>
  <si>
    <t>COMUNE DI NIMIS**</t>
  </si>
  <si>
    <t>media degli ultimi 5 anni del Comune diNIMIS</t>
  </si>
  <si>
    <t>COMUNE DI OSOPPO</t>
  </si>
  <si>
    <t>COMUNE DI OSOPPO**</t>
  </si>
  <si>
    <t>media degli ultimi 5 anni del Comune diOSOPPO</t>
  </si>
  <si>
    <t>COMUNE DI OVARO</t>
  </si>
  <si>
    <t>COMUNE DI OVARO**</t>
  </si>
  <si>
    <t>media degli ultimi 5 anni del Comune diOVARO</t>
  </si>
  <si>
    <t>COMUNE DI PAGNACCO</t>
  </si>
  <si>
    <t>COMUNE DI PAGNACCO**</t>
  </si>
  <si>
    <t>media degli ultimi 5 anni del Comune diPAGNACCO</t>
  </si>
  <si>
    <t>COMUNE DI PALUZZA</t>
  </si>
  <si>
    <t>COMUNE DI PALUZZA**</t>
  </si>
  <si>
    <t>media degli ultimi 5 anni del Comune diPALUZZA</t>
  </si>
  <si>
    <t>COMUNE DI PASIAN DI PRATO</t>
  </si>
  <si>
    <t>160306 - Rifiuti organici diversi da quelli di cui alla voce 160305</t>
  </si>
  <si>
    <t>COMUNE DI PASIAN DI PRATO**</t>
  </si>
  <si>
    <t>media degli ultimi 5 anni del Comune diPASIAN DI PRATO</t>
  </si>
  <si>
    <t>COMUNE DI PAULARO</t>
  </si>
  <si>
    <t>COMUNE DI PAULARO**</t>
  </si>
  <si>
    <t>media degli ultimi 5 anni del Comune diPAULARO</t>
  </si>
  <si>
    <t>COMUNE DI PAVIA DI UDINE</t>
  </si>
  <si>
    <t>COMUNE DI PAVIA DI UDINE**</t>
  </si>
  <si>
    <t>media degli ultimi 5 anni del Comune diPAVIA DI UDINE</t>
  </si>
  <si>
    <t>COMUNE DI POZZUOLO DEL FRIULI</t>
  </si>
  <si>
    <t>COMUNE DI POZZUOLO DEL FRIULI**</t>
  </si>
  <si>
    <t>media degli ultimi 5 anni del Comune diPOZZUOLO DEL FRIULI</t>
  </si>
  <si>
    <t>COMUNE DI PRADAMANO</t>
  </si>
  <si>
    <t>COMUNE DI PRADAMANO**</t>
  </si>
  <si>
    <t>media degli ultimi 5 anni del Comune diPRADAMANO</t>
  </si>
  <si>
    <t>COMUNE DI PRATO CARNICO</t>
  </si>
  <si>
    <t>COMUNE DI PRATO CARNICO**</t>
  </si>
  <si>
    <t>media degli ultimi 5 anni del Comune diPRATO CARNICO</t>
  </si>
  <si>
    <t>COMUNE DI PREMARIACCO</t>
  </si>
  <si>
    <t>170302 - Miscele bituminose</t>
  </si>
  <si>
    <t>COMUNE DI PREMARIACCO**</t>
  </si>
  <si>
    <t>media degli ultimi 5 anni del Comune diPREMARIACCO</t>
  </si>
  <si>
    <t>COMUNE DI PREONE</t>
  </si>
  <si>
    <t>COMUNE DI PREONE**</t>
  </si>
  <si>
    <t>media degli ultimi 5 anni del Comune diPREONE</t>
  </si>
  <si>
    <t>COMUNE DI RAGOGNA</t>
  </si>
  <si>
    <t>COMUNE DI RAGOGNA**</t>
  </si>
  <si>
    <t>media degli ultimi 5 anni del Comune diRAGOGNA</t>
  </si>
  <si>
    <t>COMUNE DI RAVASCLETTO</t>
  </si>
  <si>
    <t>COMUNE DI RAVASCLETTO**</t>
  </si>
  <si>
    <t>media degli ultimi 5 anni del Comune diRAVASCLETTO</t>
  </si>
  <si>
    <t>COMUNE DI RAVEO</t>
  </si>
  <si>
    <t>COMUNE DI RAVEO**</t>
  </si>
  <si>
    <t>media degli ultimi 5 anni del Comune diRAVEO</t>
  </si>
  <si>
    <t>COMUNE DI REANA DEL ROJALE</t>
  </si>
  <si>
    <t>COMUNE DI REANA DEL ROJALE**</t>
  </si>
  <si>
    <t>media degli ultimi 5 anni del Comune diREANA DEL ROJALE</t>
  </si>
  <si>
    <t>COMUNE DI REMANZACCO</t>
  </si>
  <si>
    <t>COMUNE DI REMANZACCO**</t>
  </si>
  <si>
    <t>media degli ultimi 5 anni del Comune diREMANZACCO</t>
  </si>
  <si>
    <t>COMUNE DI RESIUTTA</t>
  </si>
  <si>
    <t>COMUNE DI RESIUTTA**</t>
  </si>
  <si>
    <t>media degli ultimi 5 anni del Comune diRESIUTTA</t>
  </si>
  <si>
    <t>COMUNE DI RIGOLATO</t>
  </si>
  <si>
    <t>COMUNE DI RIGOLATO**</t>
  </si>
  <si>
    <t>media degli ultimi 5 anni del Comune diRIGOLATO</t>
  </si>
  <si>
    <t>COMUNE DI RIVE D'ARCANO</t>
  </si>
  <si>
    <t>COMUNE DI RIVE D'ARCANO**</t>
  </si>
  <si>
    <t>media degli ultimi 5 anni del Comune diRIVE D'ARCANO</t>
  </si>
  <si>
    <t>COMUNE DI RIVIGNANO TEOR</t>
  </si>
  <si>
    <t>COMUNE DI RIVIGNANO TEOR**</t>
  </si>
  <si>
    <t>media degli ultimi 5 anni del Comune diRIVIGNANO TEOR</t>
  </si>
  <si>
    <t>COMUNE DI SAN DANIELE DEL FRIULI</t>
  </si>
  <si>
    <t>COMUNE DI SAN DANIELE DEL FRIULI**</t>
  </si>
  <si>
    <t>media degli ultimi 5 anni del Comune diSAN DANIELE DEL FRIULI</t>
  </si>
  <si>
    <t>COMUNE DI SAN DORLIGO DELLA VALLE</t>
  </si>
  <si>
    <t>COMUNE DI SAN DORLIGO DELLA VALLE**</t>
  </si>
  <si>
    <t>media degli ultimi 5 anni del Comune diSAN DORLIGO DELLA VALLE</t>
  </si>
  <si>
    <t>COMUNE DI SAN GIOVANNI AL NATISONE</t>
  </si>
  <si>
    <t>161002 - soluzioni acquose di scarto, diverse da quelle di cui alla voce 16 10 01</t>
  </si>
  <si>
    <t>160505 - Gas in contenitori a pressione</t>
  </si>
  <si>
    <t>COMUNE DI SAN GIOVANNI AL NATISONE**</t>
  </si>
  <si>
    <t>media degli ultimi 5 anni del Comune diSAN GIOVANNI AL NATISONE</t>
  </si>
  <si>
    <t>COMUNE DI SAN VITO DI FAGAGNA</t>
  </si>
  <si>
    <t>COMUNE DI SAN VITO DI FAGAGNA**</t>
  </si>
  <si>
    <t>media degli ultimi 5 anni del Comune diSAN VITO DI FAGAGNA</t>
  </si>
  <si>
    <t>COMUNE DI SAPPADA</t>
  </si>
  <si>
    <t>COMUNE DI SAPPADA**</t>
  </si>
  <si>
    <t>media degli ultimi 5 anni del Comune diSAPPADA</t>
  </si>
  <si>
    <t>COMUNE DI SAURIS</t>
  </si>
  <si>
    <t>COMUNE DI SAURIS**</t>
  </si>
  <si>
    <t>media degli ultimi 5 anni del Comune diSAURIS</t>
  </si>
  <si>
    <t>COMUNE DI SEDEGLIANO</t>
  </si>
  <si>
    <t>COMUNE DI SEDEGLIANO**</t>
  </si>
  <si>
    <t>media degli ultimi 5 anni del Comune diSEDEGLIANO</t>
  </si>
  <si>
    <t>COMUNE DI SOCCHIEVE</t>
  </si>
  <si>
    <t>COMUNE DI SOCCHIEVE**</t>
  </si>
  <si>
    <t>media degli ultimi 5 anni del Comune diSOCCHIEVE</t>
  </si>
  <si>
    <t>COMUNE DI SUTRIO</t>
  </si>
  <si>
    <t>COMUNE DI SUTRIO**</t>
  </si>
  <si>
    <t>media degli ultimi 5 anni del Comune diSUTRIO</t>
  </si>
  <si>
    <t>COMUNE DI TAIPANA</t>
  </si>
  <si>
    <t>COMUNE DI TAIPANA**</t>
  </si>
  <si>
    <t>media degli ultimi 5 anni del Comune diTAIPANA</t>
  </si>
  <si>
    <t>COMUNE DI TARCENTO</t>
  </si>
  <si>
    <t>COMUNE DI TARCENTO**</t>
  </si>
  <si>
    <t>media degli ultimi 5 anni del Comune diTARCENTO</t>
  </si>
  <si>
    <t>COMUNE DI TOLMEZZO</t>
  </si>
  <si>
    <t>COMUNE DI TOLMEZZO**</t>
  </si>
  <si>
    <t>media degli ultimi 5 anni del Comune diTOLMEZZO</t>
  </si>
  <si>
    <t>COMUNE DI TRASAGHIS</t>
  </si>
  <si>
    <t>COMUNE DI TRASAGHIS**</t>
  </si>
  <si>
    <t>media degli ultimi 5 anni del Comune diTRASAGHIS</t>
  </si>
  <si>
    <t>COMUNE DI TREPPO GRANDE</t>
  </si>
  <si>
    <t>COMUNE DI TREPPO GRANDE**</t>
  </si>
  <si>
    <t>media degli ultimi 5 anni del Comune diTREPPO GRANDE</t>
  </si>
  <si>
    <t>COMUNE DI TREPPO LIGOSULLO</t>
  </si>
  <si>
    <t>COMUNE DI TREPPO LIGOSULLO**</t>
  </si>
  <si>
    <t>media degli ultimi 5 anni del Comune diTREPPO LIGOSULLO</t>
  </si>
  <si>
    <t>COMUNE DI VARMO</t>
  </si>
  <si>
    <t>COMUNE DI VARMO**</t>
  </si>
  <si>
    <t>media degli ultimi 5 anni del Comune diVARMO</t>
  </si>
  <si>
    <t>COMUNE DI VENZONE</t>
  </si>
  <si>
    <t>COMUNE DI VENZONE**</t>
  </si>
  <si>
    <t>media degli ultimi 5 anni del Comune diVENZONE</t>
  </si>
  <si>
    <t>COMUNE DI VERZEGNIS</t>
  </si>
  <si>
    <t>COMUNE DI VERZEGNIS**</t>
  </si>
  <si>
    <t>media degli ultimi 5 anni del Comune diVERZEGNIS</t>
  </si>
  <si>
    <t>COMUNE DI VILLA SANTINA</t>
  </si>
  <si>
    <t>COMUNE DI VILLA SANTINA**</t>
  </si>
  <si>
    <t>media degli ultimi 5 anni del Comune diVILLA SANTINA</t>
  </si>
  <si>
    <t>COMUNE DI ZUGLIO</t>
  </si>
  <si>
    <t>COMUNE DI ZUGLIO**</t>
  </si>
  <si>
    <t>media degli ultimi 5 anni del Comune diZUGLIO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</si>
</sst>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"/>
    <numFmt numFmtId="165" formatCode="0.0%"/>
  </numFmts>
  <fonts count="6" x14ac:knownFonts="1">
    <font>
      <sz val="11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164" fontId="0" fillId="0" borderId="1" xfId="0" applyNumberFormat="1" applyBorder="1"/>
    <xf numFmtId="164" fontId="1" fillId="0" borderId="1" xfId="0" applyNumberFormat="1" applyFont="1" applyBorder="1"/>
    <xf numFmtId="165" fontId="1" fillId="0" borderId="1" xfId="0" applyNumberFormat="1" applyFont="1" applyBorder="1"/>
    <xf numFmtId="165" fontId="0" fillId="0" borderId="1" xfId="0" applyNumberFormat="1" applyBorder="1"/>
    <xf numFmtId="0" fontId="0" fillId="0" borderId="0" xfId="0" applyAlignment="1">
      <alignment horizontal="right"/>
    </xf>
    <xf numFmtId="165" fontId="0" fillId="0" borderId="0" xfId="0" applyNumberFormat="1" applyAlignment="1">
      <alignment horizontal="right"/>
    </xf>
    <xf numFmtId="164" fontId="0" fillId="0" borderId="1" xfId="0" applyNumberForma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165" fontId="1" fillId="0" borderId="0" xfId="0" applyNumberFormat="1" applyFont="1" applyAlignment="1">
      <alignment horizontal="right"/>
    </xf>
    <xf numFmtId="0" fontId="2" fillId="2" borderId="1" xfId="0" applyFont="1" applyFill="1" applyBorder="1"/>
    <xf numFmtId="3" fontId="0" fillId="0" borderId="1" xfId="0" applyNumberForma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4" fillId="0" borderId="1" xfId="0" applyFont="1" applyBorder="1"/>
    <xf numFmtId="0" fontId="5" fillId="0" borderId="1" xfId="0" applyFont="1" applyBorder="1"/>
    <xf numFmtId="0" fontId="4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165" fontId="0" fillId="0" borderId="1" xfId="0" applyNumberFormat="1" applyBorder="1" applyAlignment="1">
      <alignment horizontal="right" wrapText="1"/>
    </xf>
    <xf numFmtId="165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</cellXfs>
  <cellStyles count="3">
    <cellStyle name="Normale" xfId="0" builtinId="0"/>
    <cellStyle name="Normale 2" xfId="1" xr:uid="{3ADFFDD3-EBCE-4270-B529-80F4D91BA01F}"/>
    <cellStyle name="Percentuale 2" xfId="2" xr:uid="{4BEC7DDF-6A96-4CF5-8D39-6F68A76129AE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alcChain" Target="calcChain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73"/>
  <sheetViews>
    <sheetView tabSelected="1"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1.425781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846</v>
      </c>
    </row>
    <row r="7" spans="1:10" x14ac:dyDescent="0.25">
      <c r="C7" s="28" t="s">
        <v>5</v>
      </c>
      <c r="D7" s="29"/>
      <c r="E7" s="29"/>
      <c r="F7" s="29"/>
      <c r="G7" s="29"/>
    </row>
    <row r="8" spans="1:10" x14ac:dyDescent="0.25">
      <c r="A8" s="25" t="s">
        <v>6</v>
      </c>
      <c r="B8" s="25" t="s">
        <v>7</v>
      </c>
      <c r="C8" s="27" t="s">
        <v>8</v>
      </c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29</v>
      </c>
      <c r="F9" s="10"/>
      <c r="G9" s="10">
        <f t="shared" ref="G9:G41" si="0">SUM(C9:F9)</f>
        <v>29</v>
      </c>
      <c r="H9" s="16">
        <f t="shared" ref="H9:H41" si="1">ROUND(G9/846,2)</f>
        <v>0.03</v>
      </c>
      <c r="I9" s="15">
        <f t="shared" ref="I9:I41" si="2">ROUND(G9/$G$42,3)</f>
        <v>0</v>
      </c>
      <c r="J9" s="15"/>
    </row>
    <row r="10" spans="1:10" x14ac:dyDescent="0.25">
      <c r="A10" s="1" t="s">
        <v>16</v>
      </c>
      <c r="B10" s="1" t="s">
        <v>18</v>
      </c>
      <c r="C10" s="10"/>
      <c r="D10" s="10"/>
      <c r="E10" s="10">
        <v>3391</v>
      </c>
      <c r="F10" s="10"/>
      <c r="G10" s="10">
        <f t="shared" si="0"/>
        <v>3391</v>
      </c>
      <c r="H10" s="16">
        <f t="shared" si="1"/>
        <v>4.01</v>
      </c>
      <c r="I10" s="15">
        <f t="shared" si="2"/>
        <v>7.0000000000000001E-3</v>
      </c>
      <c r="J10" s="15"/>
    </row>
    <row r="11" spans="1:10" x14ac:dyDescent="0.25">
      <c r="A11" s="1" t="s">
        <v>16</v>
      </c>
      <c r="B11" s="1" t="s">
        <v>19</v>
      </c>
      <c r="C11" s="10">
        <v>34960</v>
      </c>
      <c r="D11" s="10"/>
      <c r="E11" s="10">
        <v>6290</v>
      </c>
      <c r="F11" s="10"/>
      <c r="G11" s="10">
        <f t="shared" si="0"/>
        <v>41250</v>
      </c>
      <c r="H11" s="16">
        <f t="shared" si="1"/>
        <v>48.76</v>
      </c>
      <c r="I11" s="15">
        <f t="shared" si="2"/>
        <v>8.8999999999999996E-2</v>
      </c>
      <c r="J11" s="15">
        <f>ROUND(G11/39083.55-1,2)</f>
        <v>0.06</v>
      </c>
    </row>
    <row r="12" spans="1:10" x14ac:dyDescent="0.25">
      <c r="A12" s="1" t="s">
        <v>16</v>
      </c>
      <c r="B12" s="1" t="s">
        <v>20</v>
      </c>
      <c r="C12" s="10">
        <v>33940</v>
      </c>
      <c r="D12" s="10"/>
      <c r="E12" s="10">
        <v>409</v>
      </c>
      <c r="F12" s="10"/>
      <c r="G12" s="10">
        <f t="shared" si="0"/>
        <v>34349</v>
      </c>
      <c r="H12" s="16">
        <f t="shared" si="1"/>
        <v>40.6</v>
      </c>
      <c r="I12" s="15">
        <f t="shared" si="2"/>
        <v>7.3999999999999996E-2</v>
      </c>
      <c r="J12" s="15">
        <f>ROUND(G12/36753.77-1,2)</f>
        <v>-7.0000000000000007E-2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88</v>
      </c>
      <c r="F13" s="10"/>
      <c r="G13" s="10">
        <f t="shared" si="0"/>
        <v>88</v>
      </c>
      <c r="H13" s="16">
        <f t="shared" si="1"/>
        <v>0.1</v>
      </c>
      <c r="I13" s="15">
        <f t="shared" si="2"/>
        <v>0</v>
      </c>
      <c r="J13" s="15"/>
    </row>
    <row r="14" spans="1:10" x14ac:dyDescent="0.25">
      <c r="A14" s="1" t="s">
        <v>16</v>
      </c>
      <c r="B14" s="1" t="s">
        <v>22</v>
      </c>
      <c r="C14" s="10"/>
      <c r="D14" s="10"/>
      <c r="E14" s="10">
        <v>803</v>
      </c>
      <c r="F14" s="10"/>
      <c r="G14" s="10">
        <f t="shared" si="0"/>
        <v>803</v>
      </c>
      <c r="H14" s="16">
        <f t="shared" si="1"/>
        <v>0.95</v>
      </c>
      <c r="I14" s="15">
        <f t="shared" si="2"/>
        <v>2E-3</v>
      </c>
      <c r="J14" s="15">
        <f>ROUND(G14/312.5-1,2)</f>
        <v>1.57</v>
      </c>
    </row>
    <row r="15" spans="1:10" x14ac:dyDescent="0.25">
      <c r="A15" s="1" t="s">
        <v>16</v>
      </c>
      <c r="B15" s="1" t="s">
        <v>23</v>
      </c>
      <c r="C15" s="10"/>
      <c r="D15" s="10"/>
      <c r="E15" s="10">
        <v>57395</v>
      </c>
      <c r="F15" s="10"/>
      <c r="G15" s="10">
        <f t="shared" si="0"/>
        <v>57395</v>
      </c>
      <c r="H15" s="16">
        <f t="shared" si="1"/>
        <v>67.84</v>
      </c>
      <c r="I15" s="15">
        <f t="shared" si="2"/>
        <v>0.124</v>
      </c>
      <c r="J15" s="15">
        <f>ROUND(G15/30707.33-1,2)</f>
        <v>0.87</v>
      </c>
    </row>
    <row r="16" spans="1:10" x14ac:dyDescent="0.25">
      <c r="A16" s="1" t="s">
        <v>16</v>
      </c>
      <c r="B16" s="1" t="s">
        <v>24</v>
      </c>
      <c r="C16" s="10">
        <v>43720</v>
      </c>
      <c r="D16" s="10"/>
      <c r="E16" s="10">
        <v>14670</v>
      </c>
      <c r="F16" s="10"/>
      <c r="G16" s="10">
        <f t="shared" si="0"/>
        <v>58390</v>
      </c>
      <c r="H16" s="16">
        <f t="shared" si="1"/>
        <v>69.02</v>
      </c>
      <c r="I16" s="15">
        <f t="shared" si="2"/>
        <v>0.126</v>
      </c>
      <c r="J16" s="15">
        <f>ROUND(G16/50142.77-1,2)</f>
        <v>0.16</v>
      </c>
    </row>
    <row r="17" spans="1:10" x14ac:dyDescent="0.25">
      <c r="A17" s="1" t="s">
        <v>16</v>
      </c>
      <c r="B17" s="1" t="s">
        <v>25</v>
      </c>
      <c r="C17" s="10"/>
      <c r="D17" s="10"/>
      <c r="E17" s="10">
        <v>2843</v>
      </c>
      <c r="F17" s="10"/>
      <c r="G17" s="10">
        <f t="shared" si="0"/>
        <v>2843</v>
      </c>
      <c r="H17" s="16">
        <f t="shared" si="1"/>
        <v>3.36</v>
      </c>
      <c r="I17" s="15">
        <f t="shared" si="2"/>
        <v>6.0000000000000001E-3</v>
      </c>
      <c r="J17" s="15"/>
    </row>
    <row r="18" spans="1:10" x14ac:dyDescent="0.25">
      <c r="A18" s="1" t="s">
        <v>16</v>
      </c>
      <c r="B18" s="1" t="s">
        <v>26</v>
      </c>
      <c r="C18" s="10">
        <v>44370</v>
      </c>
      <c r="D18" s="10"/>
      <c r="E18" s="10"/>
      <c r="F18" s="10"/>
      <c r="G18" s="10">
        <f t="shared" si="0"/>
        <v>44370</v>
      </c>
      <c r="H18" s="16">
        <f t="shared" si="1"/>
        <v>52.45</v>
      </c>
      <c r="I18" s="15">
        <f t="shared" si="2"/>
        <v>9.6000000000000002E-2</v>
      </c>
      <c r="J18" s="15">
        <f>ROUND(G18/50380-1,2)</f>
        <v>-0.12</v>
      </c>
    </row>
    <row r="19" spans="1:10" x14ac:dyDescent="0.25">
      <c r="A19" s="1" t="s">
        <v>16</v>
      </c>
      <c r="B19" s="1" t="s">
        <v>27</v>
      </c>
      <c r="C19" s="10"/>
      <c r="D19" s="10"/>
      <c r="E19" s="10">
        <v>498</v>
      </c>
      <c r="F19" s="10"/>
      <c r="G19" s="10">
        <f t="shared" si="0"/>
        <v>498</v>
      </c>
      <c r="H19" s="16">
        <f t="shared" si="1"/>
        <v>0.59</v>
      </c>
      <c r="I19" s="15">
        <f t="shared" si="2"/>
        <v>1E-3</v>
      </c>
      <c r="J19" s="15">
        <f>ROUND(G19/231-1,2)</f>
        <v>1.1599999999999999</v>
      </c>
    </row>
    <row r="20" spans="1:10" x14ac:dyDescent="0.25">
      <c r="A20" s="1" t="s">
        <v>16</v>
      </c>
      <c r="B20" s="1" t="s">
        <v>28</v>
      </c>
      <c r="C20" s="10"/>
      <c r="D20" s="10"/>
      <c r="E20" s="10">
        <v>262</v>
      </c>
      <c r="F20" s="10"/>
      <c r="G20" s="10">
        <f t="shared" si="0"/>
        <v>262</v>
      </c>
      <c r="H20" s="16">
        <f t="shared" si="1"/>
        <v>0.31</v>
      </c>
      <c r="I20" s="15">
        <f t="shared" si="2"/>
        <v>1E-3</v>
      </c>
      <c r="J20" s="15">
        <f>ROUND(G20/129-1,2)</f>
        <v>1.03</v>
      </c>
    </row>
    <row r="21" spans="1:10" x14ac:dyDescent="0.25">
      <c r="A21" s="1" t="s">
        <v>16</v>
      </c>
      <c r="B21" s="1" t="s">
        <v>29</v>
      </c>
      <c r="C21" s="10"/>
      <c r="D21" s="10"/>
      <c r="E21" s="10">
        <v>431</v>
      </c>
      <c r="F21" s="10"/>
      <c r="G21" s="10">
        <f t="shared" si="0"/>
        <v>431</v>
      </c>
      <c r="H21" s="16">
        <f t="shared" si="1"/>
        <v>0.51</v>
      </c>
      <c r="I21" s="15">
        <f t="shared" si="2"/>
        <v>1E-3</v>
      </c>
      <c r="J21" s="15">
        <f>ROUND(G21/594.03-1,2)</f>
        <v>-0.27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578</v>
      </c>
      <c r="F22" s="10"/>
      <c r="G22" s="10">
        <f t="shared" si="0"/>
        <v>578</v>
      </c>
      <c r="H22" s="16">
        <f t="shared" si="1"/>
        <v>0.68</v>
      </c>
      <c r="I22" s="15">
        <f t="shared" si="2"/>
        <v>1E-3</v>
      </c>
      <c r="J22" s="15">
        <f>ROUND(G22/203.63-1,2)</f>
        <v>1.84</v>
      </c>
    </row>
    <row r="23" spans="1:10" x14ac:dyDescent="0.25">
      <c r="A23" s="1" t="s">
        <v>16</v>
      </c>
      <c r="B23" s="1" t="s">
        <v>31</v>
      </c>
      <c r="C23" s="10"/>
      <c r="D23" s="10"/>
      <c r="E23" s="10">
        <v>128</v>
      </c>
      <c r="F23" s="10"/>
      <c r="G23" s="10">
        <f t="shared" si="0"/>
        <v>128</v>
      </c>
      <c r="H23" s="16">
        <f t="shared" si="1"/>
        <v>0.15</v>
      </c>
      <c r="I23" s="15">
        <f t="shared" si="2"/>
        <v>0</v>
      </c>
      <c r="J23" s="15">
        <f>ROUND(G23/71.43-1,2)</f>
        <v>0.79</v>
      </c>
    </row>
    <row r="24" spans="1:10" x14ac:dyDescent="0.25">
      <c r="A24" s="1" t="s">
        <v>16</v>
      </c>
      <c r="B24" s="1" t="s">
        <v>32</v>
      </c>
      <c r="C24" s="10"/>
      <c r="D24" s="10"/>
      <c r="E24" s="10">
        <v>423</v>
      </c>
      <c r="F24" s="10"/>
      <c r="G24" s="10">
        <f t="shared" si="0"/>
        <v>423</v>
      </c>
      <c r="H24" s="16">
        <f t="shared" si="1"/>
        <v>0.5</v>
      </c>
      <c r="I24" s="15">
        <f t="shared" si="2"/>
        <v>1E-3</v>
      </c>
      <c r="J24" s="15">
        <f>ROUND(G24/347.18-1,2)</f>
        <v>0.22</v>
      </c>
    </row>
    <row r="25" spans="1:10" x14ac:dyDescent="0.25">
      <c r="A25" s="1" t="s">
        <v>16</v>
      </c>
      <c r="B25" s="1" t="s">
        <v>33</v>
      </c>
      <c r="C25" s="10"/>
      <c r="D25" s="10"/>
      <c r="E25" s="10">
        <v>139</v>
      </c>
      <c r="F25" s="10"/>
      <c r="G25" s="10">
        <f t="shared" si="0"/>
        <v>139</v>
      </c>
      <c r="H25" s="16">
        <f t="shared" si="1"/>
        <v>0.16</v>
      </c>
      <c r="I25" s="15">
        <f t="shared" si="2"/>
        <v>0</v>
      </c>
      <c r="J25" s="15"/>
    </row>
    <row r="26" spans="1:10" x14ac:dyDescent="0.25">
      <c r="A26" s="1" t="s">
        <v>16</v>
      </c>
      <c r="B26" s="1" t="s">
        <v>34</v>
      </c>
      <c r="C26" s="10"/>
      <c r="D26" s="10"/>
      <c r="E26" s="10">
        <v>545</v>
      </c>
      <c r="F26" s="10"/>
      <c r="G26" s="10">
        <f t="shared" si="0"/>
        <v>545</v>
      </c>
      <c r="H26" s="16">
        <f t="shared" si="1"/>
        <v>0.64</v>
      </c>
      <c r="I26" s="15">
        <f t="shared" si="2"/>
        <v>1E-3</v>
      </c>
      <c r="J26" s="15"/>
    </row>
    <row r="27" spans="1:10" x14ac:dyDescent="0.25">
      <c r="A27" s="1" t="s">
        <v>16</v>
      </c>
      <c r="B27" s="1" t="s">
        <v>35</v>
      </c>
      <c r="C27" s="10"/>
      <c r="D27" s="10"/>
      <c r="E27" s="10">
        <v>169</v>
      </c>
      <c r="F27" s="10"/>
      <c r="G27" s="10">
        <f t="shared" si="0"/>
        <v>169</v>
      </c>
      <c r="H27" s="16">
        <f t="shared" si="1"/>
        <v>0.2</v>
      </c>
      <c r="I27" s="15">
        <f t="shared" si="2"/>
        <v>0</v>
      </c>
      <c r="J27" s="15">
        <f>ROUND(G27/141.17-1,2)</f>
        <v>0.2</v>
      </c>
    </row>
    <row r="28" spans="1:10" x14ac:dyDescent="0.25">
      <c r="A28" s="1" t="s">
        <v>16</v>
      </c>
      <c r="B28" s="1" t="s">
        <v>36</v>
      </c>
      <c r="C28" s="10"/>
      <c r="D28" s="10"/>
      <c r="E28" s="10">
        <v>95</v>
      </c>
      <c r="F28" s="10"/>
      <c r="G28" s="10">
        <f t="shared" si="0"/>
        <v>95</v>
      </c>
      <c r="H28" s="16">
        <f t="shared" si="1"/>
        <v>0.11</v>
      </c>
      <c r="I28" s="15">
        <f t="shared" si="2"/>
        <v>0</v>
      </c>
      <c r="J28" s="15">
        <f>ROUND(G28/203.01-1,2)</f>
        <v>-0.53</v>
      </c>
    </row>
    <row r="29" spans="1:10" x14ac:dyDescent="0.25">
      <c r="A29" s="1" t="s">
        <v>16</v>
      </c>
      <c r="B29" s="1" t="s">
        <v>37</v>
      </c>
      <c r="C29" s="10"/>
      <c r="D29" s="10"/>
      <c r="E29" s="10">
        <v>1380</v>
      </c>
      <c r="F29" s="10"/>
      <c r="G29" s="10">
        <f t="shared" si="0"/>
        <v>1380</v>
      </c>
      <c r="H29" s="16">
        <f t="shared" si="1"/>
        <v>1.63</v>
      </c>
      <c r="I29" s="15">
        <f t="shared" si="2"/>
        <v>3.0000000000000001E-3</v>
      </c>
      <c r="J29" s="15">
        <f>ROUND(G29/1234.58-1,2)</f>
        <v>0.12</v>
      </c>
    </row>
    <row r="30" spans="1:10" x14ac:dyDescent="0.25">
      <c r="A30" s="1" t="s">
        <v>16</v>
      </c>
      <c r="B30" s="1" t="s">
        <v>38</v>
      </c>
      <c r="C30" s="10"/>
      <c r="D30" s="10"/>
      <c r="E30" s="10">
        <v>46400</v>
      </c>
      <c r="F30" s="10"/>
      <c r="G30" s="10">
        <f t="shared" si="0"/>
        <v>46400</v>
      </c>
      <c r="H30" s="16">
        <f t="shared" si="1"/>
        <v>54.85</v>
      </c>
      <c r="I30" s="15">
        <f t="shared" si="2"/>
        <v>0.1</v>
      </c>
      <c r="J30" s="15">
        <f>ROUND(G30/19610.25-1,2)</f>
        <v>1.37</v>
      </c>
    </row>
    <row r="31" spans="1:10" x14ac:dyDescent="0.25">
      <c r="A31" s="1" t="s">
        <v>16</v>
      </c>
      <c r="B31" s="1" t="s">
        <v>39</v>
      </c>
      <c r="C31" s="10"/>
      <c r="D31" s="10"/>
      <c r="E31" s="10">
        <v>2540</v>
      </c>
      <c r="F31" s="10"/>
      <c r="G31" s="10">
        <f t="shared" si="0"/>
        <v>2540</v>
      </c>
      <c r="H31" s="16">
        <f t="shared" si="1"/>
        <v>3</v>
      </c>
      <c r="I31" s="15">
        <f t="shared" si="2"/>
        <v>5.0000000000000001E-3</v>
      </c>
      <c r="J31" s="15">
        <f>ROUND(G31/795.77-1,2)</f>
        <v>2.19</v>
      </c>
    </row>
    <row r="32" spans="1:10" x14ac:dyDescent="0.25">
      <c r="A32" s="1" t="s">
        <v>16</v>
      </c>
      <c r="B32" s="1" t="s">
        <v>40</v>
      </c>
      <c r="C32" s="10"/>
      <c r="D32" s="10"/>
      <c r="E32" s="10">
        <v>13263</v>
      </c>
      <c r="F32" s="10"/>
      <c r="G32" s="10">
        <f t="shared" si="0"/>
        <v>13263</v>
      </c>
      <c r="H32" s="16">
        <f t="shared" si="1"/>
        <v>15.68</v>
      </c>
      <c r="I32" s="15">
        <f t="shared" si="2"/>
        <v>2.9000000000000001E-2</v>
      </c>
      <c r="J32" s="15">
        <f>ROUND(G32/6022.15-1,2)</f>
        <v>1.2</v>
      </c>
    </row>
    <row r="33" spans="1:10" x14ac:dyDescent="0.25">
      <c r="A33" s="1" t="s">
        <v>16</v>
      </c>
      <c r="B33" s="1" t="s">
        <v>41</v>
      </c>
      <c r="C33" s="10"/>
      <c r="D33" s="10"/>
      <c r="E33" s="10">
        <v>32896</v>
      </c>
      <c r="F33" s="10"/>
      <c r="G33" s="10">
        <f t="shared" si="0"/>
        <v>32896</v>
      </c>
      <c r="H33" s="16">
        <f t="shared" si="1"/>
        <v>38.880000000000003</v>
      </c>
      <c r="I33" s="15">
        <f t="shared" si="2"/>
        <v>7.0999999999999994E-2</v>
      </c>
      <c r="J33" s="15">
        <f>ROUND(G33/15201.43-1,2)</f>
        <v>1.1599999999999999</v>
      </c>
    </row>
    <row r="34" spans="1:10" x14ac:dyDescent="0.25">
      <c r="A34" s="1" t="s">
        <v>16</v>
      </c>
      <c r="B34" s="1" t="s">
        <v>42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ROUND(G34/15.95-1,2)</f>
        <v>-1</v>
      </c>
    </row>
    <row r="35" spans="1:10" x14ac:dyDescent="0.25">
      <c r="A35" s="1" t="s">
        <v>16</v>
      </c>
      <c r="B35" s="1" t="s">
        <v>43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44</v>
      </c>
      <c r="B36" s="1" t="s">
        <v>45</v>
      </c>
      <c r="C36" s="10">
        <v>84850</v>
      </c>
      <c r="D36" s="10"/>
      <c r="E36" s="10"/>
      <c r="F36" s="10"/>
      <c r="G36" s="10">
        <f t="shared" si="0"/>
        <v>84850</v>
      </c>
      <c r="H36" s="16">
        <f t="shared" si="1"/>
        <v>100.3</v>
      </c>
      <c r="I36" s="15">
        <f t="shared" si="2"/>
        <v>0.183</v>
      </c>
      <c r="J36" s="15">
        <f>ROUND(G36/85250-1,2)</f>
        <v>0</v>
      </c>
    </row>
    <row r="37" spans="1:10" x14ac:dyDescent="0.25">
      <c r="A37" s="1" t="s">
        <v>44</v>
      </c>
      <c r="B37" s="1" t="s">
        <v>46</v>
      </c>
      <c r="C37" s="10"/>
      <c r="D37" s="10"/>
      <c r="E37" s="10">
        <v>35080</v>
      </c>
      <c r="F37" s="10"/>
      <c r="G37" s="10">
        <f t="shared" si="0"/>
        <v>35080</v>
      </c>
      <c r="H37" s="16">
        <f t="shared" si="1"/>
        <v>41.47</v>
      </c>
      <c r="I37" s="15">
        <f t="shared" si="2"/>
        <v>7.5999999999999998E-2</v>
      </c>
      <c r="J37" s="15">
        <f>ROUND(G37/18320.62-1,2)</f>
        <v>0.91</v>
      </c>
    </row>
    <row r="38" spans="1:10" x14ac:dyDescent="0.25">
      <c r="A38" s="1" t="s">
        <v>44</v>
      </c>
      <c r="B38" s="1" t="s">
        <v>47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1" t="s">
        <v>48</v>
      </c>
      <c r="B39" s="1" t="s">
        <v>49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>
        <f>ROUND(G39/15-1,2)</f>
        <v>-1</v>
      </c>
    </row>
    <row r="40" spans="1:10" x14ac:dyDescent="0.25">
      <c r="A40" s="1" t="s">
        <v>48</v>
      </c>
      <c r="B40" s="1" t="s">
        <v>50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>
        <f>ROUND(G40/210-1,2)</f>
        <v>-1</v>
      </c>
    </row>
    <row r="41" spans="1:10" x14ac:dyDescent="0.25">
      <c r="A41" s="1" t="s">
        <v>48</v>
      </c>
      <c r="B41" s="1" t="s">
        <v>51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/>
    </row>
    <row r="42" spans="1:10" x14ac:dyDescent="0.25">
      <c r="A42" s="30" t="s">
        <v>12</v>
      </c>
      <c r="B42" s="30"/>
      <c r="C42" s="11">
        <f t="shared" ref="C42:H42" si="3">SUM(C8:C41)</f>
        <v>241840</v>
      </c>
      <c r="D42" s="11">
        <f t="shared" si="3"/>
        <v>0</v>
      </c>
      <c r="E42" s="11">
        <f t="shared" si="3"/>
        <v>220745</v>
      </c>
      <c r="F42" s="11">
        <f t="shared" si="3"/>
        <v>0</v>
      </c>
      <c r="G42" s="11">
        <f t="shared" si="3"/>
        <v>462585</v>
      </c>
      <c r="H42" s="14">
        <f t="shared" si="3"/>
        <v>546.78</v>
      </c>
      <c r="I42" s="17"/>
      <c r="J42" s="17"/>
    </row>
    <row r="43" spans="1:10" x14ac:dyDescent="0.25">
      <c r="A43" s="30" t="s">
        <v>14</v>
      </c>
      <c r="B43" s="30"/>
      <c r="C43" s="12">
        <f>ROUND(C42/G42,2)</f>
        <v>0.52</v>
      </c>
      <c r="D43" s="12">
        <f>ROUND(D42/G42,2)</f>
        <v>0</v>
      </c>
      <c r="E43" s="12">
        <f>ROUND(E42/G42,2)</f>
        <v>0.48</v>
      </c>
      <c r="F43" s="12">
        <f>ROUND(F42/G42,2)</f>
        <v>0</v>
      </c>
      <c r="G43" s="13"/>
      <c r="H43" s="13"/>
      <c r="I43" s="17"/>
      <c r="J43" s="17"/>
    </row>
    <row r="44" spans="1:10" x14ac:dyDescent="0.25">
      <c r="A44" s="2" t="s">
        <v>52</v>
      </c>
      <c r="B44" s="2"/>
      <c r="C44" s="13"/>
      <c r="D44" s="13"/>
      <c r="E44" s="13"/>
      <c r="F44" s="13"/>
      <c r="G44" s="13"/>
      <c r="H44" s="13"/>
      <c r="I44" s="17"/>
      <c r="J44" s="17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A48" s="30" t="s">
        <v>53</v>
      </c>
      <c r="B48" s="30"/>
      <c r="C48" s="11" t="s">
        <v>8</v>
      </c>
      <c r="D48" s="11" t="s">
        <v>9</v>
      </c>
      <c r="E48" s="11" t="s">
        <v>10</v>
      </c>
      <c r="F48" s="11" t="s">
        <v>11</v>
      </c>
      <c r="G48" s="11" t="s">
        <v>12</v>
      </c>
      <c r="H48" s="14" t="s">
        <v>13</v>
      </c>
      <c r="I48" s="17"/>
      <c r="J48" s="17"/>
    </row>
    <row r="49" spans="1:10" x14ac:dyDescent="0.25">
      <c r="A49" s="29" t="s">
        <v>54</v>
      </c>
      <c r="B49" s="29"/>
      <c r="C49" s="10">
        <v>156990</v>
      </c>
      <c r="D49" s="10">
        <v>0</v>
      </c>
      <c r="E49" s="10">
        <v>185665</v>
      </c>
      <c r="F49" s="10">
        <v>0</v>
      </c>
      <c r="G49" s="10">
        <f>SUM(C49:F49)</f>
        <v>342655</v>
      </c>
      <c r="H49" s="16">
        <f>ROUND(G49/846,2)</f>
        <v>405.03</v>
      </c>
      <c r="I49" s="9"/>
      <c r="J49" s="9"/>
    </row>
    <row r="50" spans="1:10" x14ac:dyDescent="0.25">
      <c r="A50" s="29" t="s">
        <v>55</v>
      </c>
      <c r="B50" s="29"/>
      <c r="C50" s="10">
        <v>84850</v>
      </c>
      <c r="D50" s="10">
        <v>0</v>
      </c>
      <c r="E50" s="10">
        <v>35080</v>
      </c>
      <c r="F50" s="10">
        <v>0</v>
      </c>
      <c r="G50" s="10">
        <f>SUM(C50:F50)</f>
        <v>119930</v>
      </c>
      <c r="H50" s="16">
        <f>ROUND(G50/846,2)</f>
        <v>141.76</v>
      </c>
      <c r="I50" s="9"/>
      <c r="J50" s="9"/>
    </row>
    <row r="51" spans="1:10" x14ac:dyDescent="0.25">
      <c r="A51" s="29" t="s">
        <v>56</v>
      </c>
      <c r="B51" s="29"/>
      <c r="C51" s="10">
        <v>0</v>
      </c>
      <c r="D51" s="10">
        <v>0</v>
      </c>
      <c r="E51" s="10">
        <v>0</v>
      </c>
      <c r="F51" s="10">
        <v>0</v>
      </c>
      <c r="G51" s="10">
        <f>SUM(C51:F51)</f>
        <v>0</v>
      </c>
      <c r="H51" s="16">
        <f>ROUND(G51/846,2)</f>
        <v>0</v>
      </c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A56" s="30" t="s">
        <v>57</v>
      </c>
      <c r="B56" s="30"/>
      <c r="C56" s="14" t="s">
        <v>2</v>
      </c>
      <c r="D56" s="14">
        <v>2023</v>
      </c>
      <c r="E56" s="14" t="s">
        <v>59</v>
      </c>
      <c r="F56" s="13"/>
      <c r="G56" s="14" t="s">
        <v>60</v>
      </c>
      <c r="H56" s="14" t="s">
        <v>2</v>
      </c>
      <c r="I56" s="12" t="s">
        <v>61</v>
      </c>
      <c r="J56" s="12" t="s">
        <v>59</v>
      </c>
    </row>
    <row r="57" spans="1:10" x14ac:dyDescent="0.25">
      <c r="A57" s="29" t="s">
        <v>58</v>
      </c>
      <c r="B57" s="29"/>
      <c r="C57" s="15">
        <f>ROUND(0.7808, 4)</f>
        <v>0.78080000000000005</v>
      </c>
      <c r="D57" s="15">
        <f>ROUND(0.7315, 4)</f>
        <v>0.73150000000000004</v>
      </c>
      <c r="E57" s="15">
        <f>ROUND(0.777, 4)</f>
        <v>0.77700000000000002</v>
      </c>
      <c r="F57" s="8"/>
      <c r="G57" s="20" t="s">
        <v>62</v>
      </c>
      <c r="H57" s="33" t="s">
        <v>63</v>
      </c>
      <c r="I57" s="31" t="s">
        <v>64</v>
      </c>
      <c r="J57" s="31" t="s">
        <v>65</v>
      </c>
    </row>
    <row r="58" spans="1:10" x14ac:dyDescent="0.25">
      <c r="A58" s="29" t="s">
        <v>66</v>
      </c>
      <c r="B58" s="29"/>
      <c r="C58" s="15">
        <f>ROUND(0.7429, 4)</f>
        <v>0.7429</v>
      </c>
      <c r="D58" s="15">
        <f>ROUND(0.6866, 4)</f>
        <v>0.68659999999999999</v>
      </c>
      <c r="E58" s="15">
        <f>ROUND(0.7608, 4)</f>
        <v>0.76080000000000003</v>
      </c>
      <c r="F58" s="8"/>
      <c r="G58" s="20" t="s">
        <v>67</v>
      </c>
      <c r="H58" s="34"/>
      <c r="I58" s="32"/>
      <c r="J58" s="32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A62" s="30" t="s">
        <v>68</v>
      </c>
      <c r="B62" s="30"/>
      <c r="C62" s="14" t="s">
        <v>2</v>
      </c>
      <c r="D62" s="14" t="s">
        <v>69</v>
      </c>
      <c r="E62" s="14" t="s">
        <v>70</v>
      </c>
      <c r="F62" s="14" t="s">
        <v>71</v>
      </c>
      <c r="G62" s="14" t="s">
        <v>72</v>
      </c>
      <c r="H62" s="13"/>
      <c r="I62" s="17"/>
      <c r="J62" s="17"/>
    </row>
    <row r="63" spans="1:10" x14ac:dyDescent="0.25">
      <c r="A63" s="29" t="s">
        <v>73</v>
      </c>
      <c r="B63" s="29"/>
      <c r="C63" s="16">
        <v>100.3</v>
      </c>
      <c r="D63" s="16">
        <v>86.65</v>
      </c>
      <c r="E63" s="16">
        <v>93.87</v>
      </c>
      <c r="F63" s="16">
        <v>57.16</v>
      </c>
      <c r="G63" s="16">
        <f>12/12*C63</f>
        <v>100.3</v>
      </c>
      <c r="H63" s="8"/>
      <c r="I63" s="9"/>
      <c r="J63" s="9"/>
    </row>
    <row r="64" spans="1:10" x14ac:dyDescent="0.25">
      <c r="A64" s="29" t="s">
        <v>74</v>
      </c>
      <c r="B64" s="29"/>
      <c r="C64" s="16">
        <v>52.45</v>
      </c>
      <c r="D64" s="16">
        <v>51.68</v>
      </c>
      <c r="E64" s="16">
        <v>62.84</v>
      </c>
      <c r="F64" s="16">
        <v>65.39</v>
      </c>
      <c r="G64" s="16">
        <f>12/12*C64</f>
        <v>52.45</v>
      </c>
      <c r="H64" s="8"/>
      <c r="I64" s="9"/>
      <c r="J64" s="9"/>
    </row>
    <row r="65" spans="1:10" x14ac:dyDescent="0.25">
      <c r="A65" s="29" t="s">
        <v>75</v>
      </c>
      <c r="B65" s="29"/>
      <c r="C65" s="16">
        <v>405.03</v>
      </c>
      <c r="D65" s="16">
        <v>320.49</v>
      </c>
      <c r="E65" s="16">
        <v>295.08999999999997</v>
      </c>
      <c r="F65" s="16">
        <v>289.06</v>
      </c>
      <c r="G65" s="16">
        <f>12/12*C65</f>
        <v>405.03</v>
      </c>
      <c r="H65" s="8"/>
      <c r="I65" s="9"/>
      <c r="J65" s="9"/>
    </row>
    <row r="66" spans="1:10" x14ac:dyDescent="0.25">
      <c r="A66" s="29" t="s">
        <v>76</v>
      </c>
      <c r="B66" s="29"/>
      <c r="C66" s="16">
        <v>141.76</v>
      </c>
      <c r="D66" s="16">
        <v>111.49</v>
      </c>
      <c r="E66" s="16">
        <v>118.05</v>
      </c>
      <c r="F66" s="16">
        <v>81.41</v>
      </c>
      <c r="G66" s="16">
        <f>12/12*C66</f>
        <v>141.76</v>
      </c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28" t="s">
        <v>60</v>
      </c>
      <c r="B69" s="35"/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77</v>
      </c>
      <c r="B70" s="1" t="s">
        <v>78</v>
      </c>
    </row>
    <row r="71" spans="1:10" x14ac:dyDescent="0.25">
      <c r="A71" s="3" t="s">
        <v>70</v>
      </c>
      <c r="B71" s="1" t="s">
        <v>79</v>
      </c>
    </row>
    <row r="72" spans="1:10" x14ac:dyDescent="0.25">
      <c r="A72" s="3" t="s">
        <v>71</v>
      </c>
      <c r="B72" s="1" t="s">
        <v>80</v>
      </c>
    </row>
    <row r="73" spans="1:10" x14ac:dyDescent="0.25">
      <c r="A73" s="3" t="s">
        <v>72</v>
      </c>
      <c r="B73" s="1" t="s">
        <v>81</v>
      </c>
    </row>
  </sheetData>
  <mergeCells count="19">
    <mergeCell ref="A64:B64"/>
    <mergeCell ref="A65:B65"/>
    <mergeCell ref="A66:B66"/>
    <mergeCell ref="A69:B69"/>
    <mergeCell ref="I57:I58"/>
    <mergeCell ref="J57:J58"/>
    <mergeCell ref="A58:B58"/>
    <mergeCell ref="A62:B62"/>
    <mergeCell ref="A63:B63"/>
    <mergeCell ref="A50:B50"/>
    <mergeCell ref="A51:B51"/>
    <mergeCell ref="A56:B56"/>
    <mergeCell ref="A57:B57"/>
    <mergeCell ref="H57:H58"/>
    <mergeCell ref="C7:G7"/>
    <mergeCell ref="A42:B42"/>
    <mergeCell ref="A43:B43"/>
    <mergeCell ref="A48:B48"/>
    <mergeCell ref="A49:B4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74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3.1406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82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894</v>
      </c>
    </row>
    <row r="7" spans="1:10" x14ac:dyDescent="0.25">
      <c r="C7" s="28" t="s">
        <v>5</v>
      </c>
      <c r="D7" s="29"/>
      <c r="E7" s="29"/>
      <c r="F7" s="29"/>
      <c r="G7" s="29"/>
    </row>
    <row r="8" spans="1:10" x14ac:dyDescent="0.25">
      <c r="A8" s="25" t="s">
        <v>6</v>
      </c>
      <c r="B8" s="25" t="s">
        <v>7</v>
      </c>
      <c r="C8" s="27" t="s">
        <v>8</v>
      </c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19</v>
      </c>
      <c r="F9" s="10"/>
      <c r="G9" s="10">
        <f t="shared" ref="G9:G37" si="0">SUM(C9:F9)</f>
        <v>19</v>
      </c>
      <c r="H9" s="16">
        <f t="shared" ref="H9:H37" si="1">ROUND(G9/894,2)</f>
        <v>0.02</v>
      </c>
      <c r="I9" s="15">
        <f t="shared" ref="I9:I37" si="2">ROUND(G9/$G$38,3)</f>
        <v>0</v>
      </c>
      <c r="J9" s="15"/>
    </row>
    <row r="10" spans="1:10" x14ac:dyDescent="0.25">
      <c r="A10" s="1" t="s">
        <v>16</v>
      </c>
      <c r="B10" s="1" t="s">
        <v>19</v>
      </c>
      <c r="C10" s="10">
        <v>25910</v>
      </c>
      <c r="D10" s="10"/>
      <c r="E10" s="10">
        <v>5035</v>
      </c>
      <c r="F10" s="10"/>
      <c r="G10" s="10">
        <f t="shared" si="0"/>
        <v>30945</v>
      </c>
      <c r="H10" s="16">
        <f t="shared" si="1"/>
        <v>34.61</v>
      </c>
      <c r="I10" s="15">
        <f t="shared" si="2"/>
        <v>6.6000000000000003E-2</v>
      </c>
      <c r="J10" s="15">
        <f>ROUND(G10/27477.95-1,2)</f>
        <v>0.13</v>
      </c>
    </row>
    <row r="11" spans="1:10" x14ac:dyDescent="0.25">
      <c r="A11" s="1" t="s">
        <v>16</v>
      </c>
      <c r="B11" s="1" t="s">
        <v>20</v>
      </c>
      <c r="C11" s="10">
        <v>39245</v>
      </c>
      <c r="D11" s="10"/>
      <c r="E11" s="10">
        <v>4045</v>
      </c>
      <c r="F11" s="10"/>
      <c r="G11" s="10">
        <f t="shared" si="0"/>
        <v>43290</v>
      </c>
      <c r="H11" s="16">
        <f t="shared" si="1"/>
        <v>48.42</v>
      </c>
      <c r="I11" s="15">
        <f t="shared" si="2"/>
        <v>9.1999999999999998E-2</v>
      </c>
      <c r="J11" s="15">
        <f>ROUND(G11/40520-1,2)</f>
        <v>7.0000000000000007E-2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299</v>
      </c>
      <c r="F12" s="10"/>
      <c r="G12" s="10">
        <f t="shared" si="0"/>
        <v>299</v>
      </c>
      <c r="H12" s="16">
        <f t="shared" si="1"/>
        <v>0.33</v>
      </c>
      <c r="I12" s="15">
        <f t="shared" si="2"/>
        <v>1E-3</v>
      </c>
      <c r="J12" s="15">
        <f>ROUND(G12/70-1,2)</f>
        <v>3.27</v>
      </c>
    </row>
    <row r="13" spans="1:10" x14ac:dyDescent="0.25">
      <c r="A13" s="1" t="s">
        <v>16</v>
      </c>
      <c r="B13" s="1" t="s">
        <v>22</v>
      </c>
      <c r="C13" s="10"/>
      <c r="D13" s="10"/>
      <c r="E13" s="10">
        <v>2366</v>
      </c>
      <c r="F13" s="10"/>
      <c r="G13" s="10">
        <f t="shared" si="0"/>
        <v>2366</v>
      </c>
      <c r="H13" s="16">
        <f t="shared" si="1"/>
        <v>2.65</v>
      </c>
      <c r="I13" s="15">
        <f t="shared" si="2"/>
        <v>5.0000000000000001E-3</v>
      </c>
      <c r="J13" s="15"/>
    </row>
    <row r="14" spans="1:10" x14ac:dyDescent="0.25">
      <c r="A14" s="1" t="s">
        <v>16</v>
      </c>
      <c r="B14" s="1" t="s">
        <v>23</v>
      </c>
      <c r="C14" s="10"/>
      <c r="D14" s="10"/>
      <c r="E14" s="10">
        <v>62709</v>
      </c>
      <c r="F14" s="10"/>
      <c r="G14" s="10">
        <f t="shared" si="0"/>
        <v>62709</v>
      </c>
      <c r="H14" s="16">
        <f t="shared" si="1"/>
        <v>70.14</v>
      </c>
      <c r="I14" s="15">
        <f t="shared" si="2"/>
        <v>0.13300000000000001</v>
      </c>
      <c r="J14" s="15">
        <f>ROUND(G14/3630.85-1,2)</f>
        <v>16.27</v>
      </c>
    </row>
    <row r="15" spans="1:10" x14ac:dyDescent="0.25">
      <c r="A15" s="1" t="s">
        <v>16</v>
      </c>
      <c r="B15" s="1" t="s">
        <v>24</v>
      </c>
      <c r="C15" s="10">
        <v>30450</v>
      </c>
      <c r="D15" s="10"/>
      <c r="E15" s="10">
        <v>16755</v>
      </c>
      <c r="F15" s="10"/>
      <c r="G15" s="10">
        <f t="shared" si="0"/>
        <v>47205</v>
      </c>
      <c r="H15" s="16">
        <f t="shared" si="1"/>
        <v>52.8</v>
      </c>
      <c r="I15" s="15">
        <f t="shared" si="2"/>
        <v>0.1</v>
      </c>
      <c r="J15" s="15">
        <f>ROUND(G15/36549-1,2)</f>
        <v>0.28999999999999998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2737</v>
      </c>
      <c r="F16" s="10"/>
      <c r="G16" s="10">
        <f t="shared" si="0"/>
        <v>2737</v>
      </c>
      <c r="H16" s="16">
        <f t="shared" si="1"/>
        <v>3.06</v>
      </c>
      <c r="I16" s="15">
        <f t="shared" si="2"/>
        <v>6.0000000000000001E-3</v>
      </c>
      <c r="J16" s="15"/>
    </row>
    <row r="17" spans="1:10" x14ac:dyDescent="0.25">
      <c r="A17" s="1" t="s">
        <v>16</v>
      </c>
      <c r="B17" s="1" t="s">
        <v>26</v>
      </c>
      <c r="C17" s="10">
        <v>32680</v>
      </c>
      <c r="D17" s="10"/>
      <c r="E17" s="10"/>
      <c r="F17" s="10"/>
      <c r="G17" s="10">
        <f t="shared" si="0"/>
        <v>32680</v>
      </c>
      <c r="H17" s="16">
        <f t="shared" si="1"/>
        <v>36.549999999999997</v>
      </c>
      <c r="I17" s="15">
        <f t="shared" si="2"/>
        <v>6.9000000000000006E-2</v>
      </c>
      <c r="J17" s="15">
        <f>ROUND(G17/30000-1,2)</f>
        <v>0.09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769</v>
      </c>
      <c r="F18" s="10"/>
      <c r="G18" s="10">
        <f t="shared" si="0"/>
        <v>769</v>
      </c>
      <c r="H18" s="16">
        <f t="shared" si="1"/>
        <v>0.86</v>
      </c>
      <c r="I18" s="15">
        <f t="shared" si="2"/>
        <v>2E-3</v>
      </c>
      <c r="J18" s="15"/>
    </row>
    <row r="19" spans="1:10" x14ac:dyDescent="0.25">
      <c r="A19" s="1" t="s">
        <v>16</v>
      </c>
      <c r="B19" s="1" t="s">
        <v>28</v>
      </c>
      <c r="C19" s="10"/>
      <c r="D19" s="10"/>
      <c r="E19" s="10">
        <v>380</v>
      </c>
      <c r="F19" s="10"/>
      <c r="G19" s="10">
        <f t="shared" si="0"/>
        <v>380</v>
      </c>
      <c r="H19" s="16">
        <f t="shared" si="1"/>
        <v>0.43</v>
      </c>
      <c r="I19" s="15">
        <f t="shared" si="2"/>
        <v>1E-3</v>
      </c>
      <c r="J19" s="15"/>
    </row>
    <row r="20" spans="1:10" x14ac:dyDescent="0.25">
      <c r="A20" s="1" t="s">
        <v>16</v>
      </c>
      <c r="B20" s="1" t="s">
        <v>42</v>
      </c>
      <c r="C20" s="10"/>
      <c r="D20" s="10"/>
      <c r="E20" s="10">
        <v>29</v>
      </c>
      <c r="F20" s="10"/>
      <c r="G20" s="10">
        <f t="shared" si="0"/>
        <v>29</v>
      </c>
      <c r="H20" s="16">
        <f t="shared" si="1"/>
        <v>0.03</v>
      </c>
      <c r="I20" s="15">
        <f t="shared" si="2"/>
        <v>0</v>
      </c>
      <c r="J20" s="15">
        <f>ROUND(G20/7.45-1,2)</f>
        <v>2.89</v>
      </c>
    </row>
    <row r="21" spans="1:10" x14ac:dyDescent="0.25">
      <c r="A21" s="1" t="s">
        <v>16</v>
      </c>
      <c r="B21" s="1" t="s">
        <v>29</v>
      </c>
      <c r="C21" s="10"/>
      <c r="D21" s="10"/>
      <c r="E21" s="10">
        <v>682</v>
      </c>
      <c r="F21" s="10"/>
      <c r="G21" s="10">
        <f t="shared" si="0"/>
        <v>682</v>
      </c>
      <c r="H21" s="16">
        <f t="shared" si="1"/>
        <v>0.76</v>
      </c>
      <c r="I21" s="15">
        <f t="shared" si="2"/>
        <v>1E-3</v>
      </c>
      <c r="J21" s="15">
        <f>ROUND(G21/476.07-1,2)</f>
        <v>0.43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211</v>
      </c>
      <c r="F22" s="10"/>
      <c r="G22" s="10">
        <f t="shared" si="0"/>
        <v>211</v>
      </c>
      <c r="H22" s="16">
        <f t="shared" si="1"/>
        <v>0.24</v>
      </c>
      <c r="I22" s="15">
        <f t="shared" si="2"/>
        <v>0</v>
      </c>
      <c r="J22" s="15">
        <f>ROUND(G22/125.79-1,2)</f>
        <v>0.68</v>
      </c>
    </row>
    <row r="23" spans="1:10" x14ac:dyDescent="0.25">
      <c r="A23" s="1" t="s">
        <v>16</v>
      </c>
      <c r="B23" s="1" t="s">
        <v>31</v>
      </c>
      <c r="C23" s="10"/>
      <c r="D23" s="10"/>
      <c r="E23" s="10">
        <v>187</v>
      </c>
      <c r="F23" s="10"/>
      <c r="G23" s="10">
        <f t="shared" si="0"/>
        <v>187</v>
      </c>
      <c r="H23" s="16">
        <f t="shared" si="1"/>
        <v>0.21</v>
      </c>
      <c r="I23" s="15">
        <f t="shared" si="2"/>
        <v>0</v>
      </c>
      <c r="J23" s="15"/>
    </row>
    <row r="24" spans="1:10" x14ac:dyDescent="0.25">
      <c r="A24" s="1" t="s">
        <v>16</v>
      </c>
      <c r="B24" s="1" t="s">
        <v>32</v>
      </c>
      <c r="C24" s="10"/>
      <c r="D24" s="10"/>
      <c r="E24" s="10">
        <v>1734</v>
      </c>
      <c r="F24" s="10"/>
      <c r="G24" s="10">
        <f t="shared" si="0"/>
        <v>1734</v>
      </c>
      <c r="H24" s="16">
        <f t="shared" si="1"/>
        <v>1.94</v>
      </c>
      <c r="I24" s="15">
        <f t="shared" si="2"/>
        <v>4.0000000000000001E-3</v>
      </c>
      <c r="J24" s="15"/>
    </row>
    <row r="25" spans="1:10" x14ac:dyDescent="0.25">
      <c r="A25" s="1" t="s">
        <v>16</v>
      </c>
      <c r="B25" s="1" t="s">
        <v>33</v>
      </c>
      <c r="C25" s="10"/>
      <c r="D25" s="10"/>
      <c r="E25" s="10">
        <v>194</v>
      </c>
      <c r="F25" s="10"/>
      <c r="G25" s="10">
        <f t="shared" si="0"/>
        <v>194</v>
      </c>
      <c r="H25" s="16">
        <f t="shared" si="1"/>
        <v>0.22</v>
      </c>
      <c r="I25" s="15">
        <f t="shared" si="2"/>
        <v>0</v>
      </c>
      <c r="J25" s="15"/>
    </row>
    <row r="26" spans="1:10" x14ac:dyDescent="0.25">
      <c r="A26" s="1" t="s">
        <v>16</v>
      </c>
      <c r="B26" s="1" t="s">
        <v>37</v>
      </c>
      <c r="C26" s="10"/>
      <c r="D26" s="10"/>
      <c r="E26" s="10">
        <v>1226</v>
      </c>
      <c r="F26" s="10"/>
      <c r="G26" s="10">
        <f t="shared" si="0"/>
        <v>1226</v>
      </c>
      <c r="H26" s="16">
        <f t="shared" si="1"/>
        <v>1.37</v>
      </c>
      <c r="I26" s="15">
        <f t="shared" si="2"/>
        <v>3.0000000000000001E-3</v>
      </c>
      <c r="J26" s="15">
        <f>ROUND(G26/208.86-1,2)</f>
        <v>4.87</v>
      </c>
    </row>
    <row r="27" spans="1:10" x14ac:dyDescent="0.25">
      <c r="A27" s="1" t="s">
        <v>16</v>
      </c>
      <c r="B27" s="1" t="s">
        <v>43</v>
      </c>
      <c r="C27" s="10"/>
      <c r="D27" s="10"/>
      <c r="E27" s="10">
        <v>1212</v>
      </c>
      <c r="F27" s="10"/>
      <c r="G27" s="10">
        <f t="shared" si="0"/>
        <v>1212</v>
      </c>
      <c r="H27" s="16">
        <f t="shared" si="1"/>
        <v>1.36</v>
      </c>
      <c r="I27" s="15">
        <f t="shared" si="2"/>
        <v>3.0000000000000001E-3</v>
      </c>
      <c r="J27" s="15"/>
    </row>
    <row r="28" spans="1:10" x14ac:dyDescent="0.25">
      <c r="A28" s="1" t="s">
        <v>16</v>
      </c>
      <c r="B28" s="1" t="s">
        <v>38</v>
      </c>
      <c r="C28" s="10"/>
      <c r="D28" s="10"/>
      <c r="E28" s="10">
        <v>58527</v>
      </c>
      <c r="F28" s="10"/>
      <c r="G28" s="10">
        <f t="shared" si="0"/>
        <v>58527</v>
      </c>
      <c r="H28" s="16">
        <f t="shared" si="1"/>
        <v>65.47</v>
      </c>
      <c r="I28" s="15">
        <f t="shared" si="2"/>
        <v>0.124</v>
      </c>
      <c r="J28" s="15">
        <f>ROUND(G28/7140.94-1,2)</f>
        <v>7.2</v>
      </c>
    </row>
    <row r="29" spans="1:10" x14ac:dyDescent="0.25">
      <c r="A29" s="1" t="s">
        <v>16</v>
      </c>
      <c r="B29" s="1" t="s">
        <v>39</v>
      </c>
      <c r="C29" s="10"/>
      <c r="D29" s="10"/>
      <c r="E29" s="10">
        <v>2420</v>
      </c>
      <c r="F29" s="10"/>
      <c r="G29" s="10">
        <f t="shared" si="0"/>
        <v>2420</v>
      </c>
      <c r="H29" s="16">
        <f t="shared" si="1"/>
        <v>2.71</v>
      </c>
      <c r="I29" s="15">
        <f t="shared" si="2"/>
        <v>5.0000000000000001E-3</v>
      </c>
      <c r="J29" s="15"/>
    </row>
    <row r="30" spans="1:10" x14ac:dyDescent="0.25">
      <c r="A30" s="1" t="s">
        <v>16</v>
      </c>
      <c r="B30" s="1" t="s">
        <v>40</v>
      </c>
      <c r="C30" s="10"/>
      <c r="D30" s="10"/>
      <c r="E30" s="10">
        <v>21612</v>
      </c>
      <c r="F30" s="10"/>
      <c r="G30" s="10">
        <f t="shared" si="0"/>
        <v>21612</v>
      </c>
      <c r="H30" s="16">
        <f t="shared" si="1"/>
        <v>24.17</v>
      </c>
      <c r="I30" s="15">
        <f t="shared" si="2"/>
        <v>4.5999999999999999E-2</v>
      </c>
      <c r="J30" s="15">
        <f>ROUND(G30/3408.69-1,2)</f>
        <v>5.34</v>
      </c>
    </row>
    <row r="31" spans="1:10" x14ac:dyDescent="0.25">
      <c r="A31" s="1" t="s">
        <v>16</v>
      </c>
      <c r="B31" s="1" t="s">
        <v>41</v>
      </c>
      <c r="C31" s="10"/>
      <c r="D31" s="10"/>
      <c r="E31" s="10">
        <v>20261</v>
      </c>
      <c r="F31" s="10"/>
      <c r="G31" s="10">
        <f t="shared" si="0"/>
        <v>20261</v>
      </c>
      <c r="H31" s="16">
        <f t="shared" si="1"/>
        <v>22.66</v>
      </c>
      <c r="I31" s="15">
        <f t="shared" si="2"/>
        <v>4.2999999999999997E-2</v>
      </c>
      <c r="J31" s="15">
        <f>ROUND(G31/332.4-1,2)</f>
        <v>59.95</v>
      </c>
    </row>
    <row r="32" spans="1:10" x14ac:dyDescent="0.25">
      <c r="A32" s="1" t="s">
        <v>16</v>
      </c>
      <c r="B32" s="1" t="s">
        <v>36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>
        <f>ROUND(G32/644.56-1,2)</f>
        <v>-1</v>
      </c>
    </row>
    <row r="33" spans="1:10" x14ac:dyDescent="0.25">
      <c r="A33" s="1" t="s">
        <v>16</v>
      </c>
      <c r="B33" s="1" t="s">
        <v>35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/>
    </row>
    <row r="34" spans="1:10" x14ac:dyDescent="0.25">
      <c r="A34" s="1" t="s">
        <v>44</v>
      </c>
      <c r="B34" s="1" t="s">
        <v>45</v>
      </c>
      <c r="C34" s="10">
        <v>98580</v>
      </c>
      <c r="D34" s="10"/>
      <c r="E34" s="10"/>
      <c r="F34" s="10"/>
      <c r="G34" s="10">
        <f t="shared" si="0"/>
        <v>98580</v>
      </c>
      <c r="H34" s="16">
        <f t="shared" si="1"/>
        <v>110.27</v>
      </c>
      <c r="I34" s="15">
        <f t="shared" si="2"/>
        <v>0.20899999999999999</v>
      </c>
      <c r="J34" s="15">
        <f>ROUND(G34/98410-1,2)</f>
        <v>0</v>
      </c>
    </row>
    <row r="35" spans="1:10" x14ac:dyDescent="0.25">
      <c r="A35" s="1" t="s">
        <v>44</v>
      </c>
      <c r="B35" s="1" t="s">
        <v>46</v>
      </c>
      <c r="C35" s="10"/>
      <c r="D35" s="10"/>
      <c r="E35" s="10">
        <v>41107</v>
      </c>
      <c r="F35" s="10"/>
      <c r="G35" s="10">
        <f t="shared" si="0"/>
        <v>41107</v>
      </c>
      <c r="H35" s="16">
        <f t="shared" si="1"/>
        <v>45.98</v>
      </c>
      <c r="I35" s="15">
        <f t="shared" si="2"/>
        <v>8.6999999999999994E-2</v>
      </c>
      <c r="J35" s="15">
        <f>ROUND(G35/3603.44-1,2)</f>
        <v>10.41</v>
      </c>
    </row>
    <row r="36" spans="1:10" x14ac:dyDescent="0.25">
      <c r="A36" s="1" t="s">
        <v>44</v>
      </c>
      <c r="B36" s="1" t="s">
        <v>47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/>
    </row>
    <row r="37" spans="1:10" x14ac:dyDescent="0.25">
      <c r="A37" s="1" t="s">
        <v>48</v>
      </c>
      <c r="B37" s="1" t="s">
        <v>51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30" t="s">
        <v>12</v>
      </c>
      <c r="B38" s="30"/>
      <c r="C38" s="11">
        <f t="shared" ref="C38:H38" si="3">SUM(C8:C37)</f>
        <v>226865</v>
      </c>
      <c r="D38" s="11">
        <f t="shared" si="3"/>
        <v>0</v>
      </c>
      <c r="E38" s="11">
        <f t="shared" si="3"/>
        <v>244516</v>
      </c>
      <c r="F38" s="11">
        <f t="shared" si="3"/>
        <v>0</v>
      </c>
      <c r="G38" s="11">
        <f t="shared" si="3"/>
        <v>471381</v>
      </c>
      <c r="H38" s="14">
        <f t="shared" si="3"/>
        <v>527.26</v>
      </c>
      <c r="I38" s="17"/>
      <c r="J38" s="17"/>
    </row>
    <row r="39" spans="1:10" x14ac:dyDescent="0.25">
      <c r="A39" s="30" t="s">
        <v>14</v>
      </c>
      <c r="B39" s="30"/>
      <c r="C39" s="12">
        <f>ROUND(C38/G38,2)</f>
        <v>0.48</v>
      </c>
      <c r="D39" s="12">
        <f>ROUND(D38/G38,2)</f>
        <v>0</v>
      </c>
      <c r="E39" s="12">
        <f>ROUND(E38/G38,2)</f>
        <v>0.52</v>
      </c>
      <c r="F39" s="12">
        <f>ROUND(F38/G38,2)</f>
        <v>0</v>
      </c>
      <c r="G39" s="13"/>
      <c r="H39" s="13"/>
      <c r="I39" s="17"/>
      <c r="J39" s="17"/>
    </row>
    <row r="40" spans="1:10" x14ac:dyDescent="0.25">
      <c r="A40" s="2" t="s">
        <v>52</v>
      </c>
      <c r="B40" s="2"/>
      <c r="C40" s="13"/>
      <c r="D40" s="13"/>
      <c r="E40" s="13"/>
      <c r="F40" s="13"/>
      <c r="G40" s="13"/>
      <c r="H40" s="13"/>
      <c r="I40" s="17"/>
      <c r="J40" s="17"/>
    </row>
    <row r="41" spans="1:10" x14ac:dyDescent="0.25">
      <c r="C41" s="8"/>
      <c r="D41" s="8"/>
      <c r="E41" s="8"/>
      <c r="F41" s="8"/>
      <c r="G41" s="8"/>
      <c r="H41" s="8"/>
      <c r="I41" s="9"/>
      <c r="J41" s="9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A44" s="30" t="s">
        <v>53</v>
      </c>
      <c r="B44" s="30"/>
      <c r="C44" s="11" t="s">
        <v>8</v>
      </c>
      <c r="D44" s="11" t="s">
        <v>9</v>
      </c>
      <c r="E44" s="11" t="s">
        <v>10</v>
      </c>
      <c r="F44" s="11" t="s">
        <v>11</v>
      </c>
      <c r="G44" s="11" t="s">
        <v>12</v>
      </c>
      <c r="H44" s="14" t="s">
        <v>13</v>
      </c>
      <c r="I44" s="17"/>
      <c r="J44" s="17"/>
    </row>
    <row r="45" spans="1:10" x14ac:dyDescent="0.25">
      <c r="A45" s="29" t="s">
        <v>54</v>
      </c>
      <c r="B45" s="29"/>
      <c r="C45" s="10">
        <v>128285</v>
      </c>
      <c r="D45" s="10">
        <v>0</v>
      </c>
      <c r="E45" s="10">
        <v>203409</v>
      </c>
      <c r="F45" s="10">
        <v>0</v>
      </c>
      <c r="G45" s="10">
        <f>SUM(C45:F45)</f>
        <v>331694</v>
      </c>
      <c r="H45" s="16">
        <f>ROUND(G45/894,2)</f>
        <v>371.02</v>
      </c>
      <c r="I45" s="9"/>
      <c r="J45" s="9"/>
    </row>
    <row r="46" spans="1:10" x14ac:dyDescent="0.25">
      <c r="A46" s="29" t="s">
        <v>55</v>
      </c>
      <c r="B46" s="29"/>
      <c r="C46" s="10">
        <v>98580</v>
      </c>
      <c r="D46" s="10">
        <v>0</v>
      </c>
      <c r="E46" s="10">
        <v>41107</v>
      </c>
      <c r="F46" s="10">
        <v>0</v>
      </c>
      <c r="G46" s="10">
        <f>SUM(C46:F46)</f>
        <v>139687</v>
      </c>
      <c r="H46" s="16">
        <f>ROUND(G46/894,2)</f>
        <v>156.25</v>
      </c>
      <c r="I46" s="9"/>
      <c r="J46" s="9"/>
    </row>
    <row r="47" spans="1:10" x14ac:dyDescent="0.25">
      <c r="A47" s="29" t="s">
        <v>56</v>
      </c>
      <c r="B47" s="29"/>
      <c r="C47" s="10">
        <v>0</v>
      </c>
      <c r="D47" s="10">
        <v>0</v>
      </c>
      <c r="E47" s="10">
        <v>0</v>
      </c>
      <c r="F47" s="10">
        <v>0</v>
      </c>
      <c r="G47" s="10">
        <f>SUM(C47:F47)</f>
        <v>0</v>
      </c>
      <c r="H47" s="16">
        <f>ROUND(G47/894,2)</f>
        <v>0</v>
      </c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A52" s="30" t="s">
        <v>57</v>
      </c>
      <c r="B52" s="30"/>
      <c r="C52" s="14" t="s">
        <v>2</v>
      </c>
      <c r="D52" s="14">
        <v>2023</v>
      </c>
      <c r="E52" s="14" t="s">
        <v>59</v>
      </c>
      <c r="F52" s="13"/>
      <c r="G52" s="14" t="s">
        <v>60</v>
      </c>
      <c r="H52" s="14" t="s">
        <v>2</v>
      </c>
      <c r="I52" s="12" t="s">
        <v>61</v>
      </c>
      <c r="J52" s="12" t="s">
        <v>59</v>
      </c>
    </row>
    <row r="53" spans="1:10" x14ac:dyDescent="0.25">
      <c r="A53" s="29" t="s">
        <v>58</v>
      </c>
      <c r="B53" s="29"/>
      <c r="C53" s="15">
        <f>ROUND(0.7487, 4)</f>
        <v>0.74870000000000003</v>
      </c>
      <c r="D53" s="15">
        <f>ROUND(0.6032, 4)</f>
        <v>0.60319999999999996</v>
      </c>
      <c r="E53" s="15">
        <f>ROUND(0.777, 4)</f>
        <v>0.77700000000000002</v>
      </c>
      <c r="F53" s="8"/>
      <c r="G53" s="14" t="s">
        <v>62</v>
      </c>
      <c r="H53" s="33" t="s">
        <v>63</v>
      </c>
      <c r="I53" s="31" t="s">
        <v>64</v>
      </c>
      <c r="J53" s="31" t="s">
        <v>65</v>
      </c>
    </row>
    <row r="54" spans="1:10" x14ac:dyDescent="0.25">
      <c r="A54" s="29" t="s">
        <v>66</v>
      </c>
      <c r="B54" s="29"/>
      <c r="C54" s="15">
        <f>ROUND(0.7204, 4)</f>
        <v>0.72040000000000004</v>
      </c>
      <c r="D54" s="15">
        <f>ROUND(0.5621, 4)</f>
        <v>0.56210000000000004</v>
      </c>
      <c r="E54" s="15">
        <f>ROUND(0.7608, 4)</f>
        <v>0.76080000000000003</v>
      </c>
      <c r="F54" s="8"/>
      <c r="G54" s="14" t="s">
        <v>67</v>
      </c>
      <c r="H54" s="34"/>
      <c r="I54" s="32"/>
      <c r="J54" s="32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21"/>
      <c r="H57" s="8"/>
      <c r="I57" s="9"/>
      <c r="J57" s="9"/>
    </row>
    <row r="58" spans="1:10" x14ac:dyDescent="0.25">
      <c r="A58" s="30" t="s">
        <v>68</v>
      </c>
      <c r="B58" s="30"/>
      <c r="C58" s="14" t="s">
        <v>2</v>
      </c>
      <c r="D58" s="14" t="s">
        <v>83</v>
      </c>
      <c r="E58" s="14" t="s">
        <v>70</v>
      </c>
      <c r="F58" s="14" t="s">
        <v>71</v>
      </c>
      <c r="G58" s="20" t="s">
        <v>72</v>
      </c>
      <c r="H58" s="13"/>
      <c r="I58" s="17"/>
      <c r="J58" s="17"/>
    </row>
    <row r="59" spans="1:10" x14ac:dyDescent="0.25">
      <c r="A59" s="29" t="s">
        <v>73</v>
      </c>
      <c r="B59" s="29"/>
      <c r="C59" s="16">
        <v>110.27</v>
      </c>
      <c r="D59" s="16">
        <v>113.29</v>
      </c>
      <c r="E59" s="16">
        <v>93.87</v>
      </c>
      <c r="F59" s="16">
        <v>57.16</v>
      </c>
      <c r="G59" s="16">
        <f>12/12*C59</f>
        <v>110.27</v>
      </c>
      <c r="H59" s="8"/>
      <c r="I59" s="9"/>
      <c r="J59" s="9"/>
    </row>
    <row r="60" spans="1:10" x14ac:dyDescent="0.25">
      <c r="A60" s="29" t="s">
        <v>74</v>
      </c>
      <c r="B60" s="29"/>
      <c r="C60" s="16">
        <v>36.549999999999997</v>
      </c>
      <c r="D60" s="16">
        <v>43.56</v>
      </c>
      <c r="E60" s="16">
        <v>62.84</v>
      </c>
      <c r="F60" s="16">
        <v>65.39</v>
      </c>
      <c r="G60" s="16">
        <f>12/12*C60</f>
        <v>36.549999999999997</v>
      </c>
      <c r="H60" s="8"/>
      <c r="I60" s="9"/>
      <c r="J60" s="9"/>
    </row>
    <row r="61" spans="1:10" x14ac:dyDescent="0.25">
      <c r="A61" s="29" t="s">
        <v>75</v>
      </c>
      <c r="B61" s="29"/>
      <c r="C61" s="16">
        <v>371.02</v>
      </c>
      <c r="D61" s="16">
        <v>230.09</v>
      </c>
      <c r="E61" s="16">
        <v>295.08999999999997</v>
      </c>
      <c r="F61" s="16">
        <v>289.06</v>
      </c>
      <c r="G61" s="16">
        <f>12/12*C61</f>
        <v>371.02</v>
      </c>
      <c r="H61" s="8"/>
      <c r="I61" s="9"/>
      <c r="J61" s="9"/>
    </row>
    <row r="62" spans="1:10" x14ac:dyDescent="0.25">
      <c r="A62" s="29" t="s">
        <v>76</v>
      </c>
      <c r="B62" s="29"/>
      <c r="C62" s="16">
        <v>156.25</v>
      </c>
      <c r="D62" s="16">
        <v>128.11000000000001</v>
      </c>
      <c r="E62" s="16">
        <v>118.05</v>
      </c>
      <c r="F62" s="16">
        <v>81.41</v>
      </c>
      <c r="G62" s="16">
        <f>12/12*C62</f>
        <v>156.25</v>
      </c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A65" s="28" t="s">
        <v>60</v>
      </c>
      <c r="B65" s="35"/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3" t="s">
        <v>77</v>
      </c>
      <c r="B66" s="1" t="s">
        <v>84</v>
      </c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70</v>
      </c>
      <c r="B67" s="1" t="s">
        <v>79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71</v>
      </c>
      <c r="B68" s="1" t="s">
        <v>80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72</v>
      </c>
      <c r="B69" s="1" t="s">
        <v>81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  <row r="71" spans="1:10" x14ac:dyDescent="0.25"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</sheetData>
  <mergeCells count="19">
    <mergeCell ref="A60:B60"/>
    <mergeCell ref="A61:B61"/>
    <mergeCell ref="A62:B62"/>
    <mergeCell ref="A65:B65"/>
    <mergeCell ref="I53:I54"/>
    <mergeCell ref="J53:J54"/>
    <mergeCell ref="A54:B54"/>
    <mergeCell ref="A58:B58"/>
    <mergeCell ref="A59:B59"/>
    <mergeCell ref="A46:B46"/>
    <mergeCell ref="A47:B47"/>
    <mergeCell ref="A52:B52"/>
    <mergeCell ref="A53:B53"/>
    <mergeCell ref="H53:H54"/>
    <mergeCell ref="C7:G7"/>
    <mergeCell ref="A38:B38"/>
    <mergeCell ref="A39:B39"/>
    <mergeCell ref="A44:B44"/>
    <mergeCell ref="A45:B4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74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5.710937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85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2036</v>
      </c>
    </row>
    <row r="7" spans="1:10" x14ac:dyDescent="0.25">
      <c r="C7" s="28" t="s">
        <v>5</v>
      </c>
      <c r="D7" s="29"/>
      <c r="E7" s="29"/>
      <c r="F7" s="29"/>
      <c r="G7" s="29"/>
    </row>
    <row r="8" spans="1:10" x14ac:dyDescent="0.25">
      <c r="A8" s="25" t="s">
        <v>6</v>
      </c>
      <c r="B8" s="25" t="s">
        <v>7</v>
      </c>
      <c r="C8" s="27" t="s">
        <v>8</v>
      </c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91</v>
      </c>
      <c r="F9" s="10"/>
      <c r="G9" s="10">
        <f t="shared" ref="G9:G42" si="0">SUM(C9:F9)</f>
        <v>91</v>
      </c>
      <c r="H9" s="16">
        <f t="shared" ref="H9:H42" si="1">ROUND(G9/2036,2)</f>
        <v>0.04</v>
      </c>
      <c r="I9" s="15">
        <f t="shared" ref="I9:I42" si="2">ROUND(G9/$G$43,3)</f>
        <v>0</v>
      </c>
      <c r="J9" s="15">
        <f>ROUND(G9/45-1,2)</f>
        <v>1.02</v>
      </c>
    </row>
    <row r="10" spans="1:10" x14ac:dyDescent="0.25">
      <c r="A10" s="1" t="s">
        <v>16</v>
      </c>
      <c r="B10" s="1" t="s">
        <v>19</v>
      </c>
      <c r="C10" s="10">
        <v>57780</v>
      </c>
      <c r="D10" s="10"/>
      <c r="E10" s="10">
        <v>12561</v>
      </c>
      <c r="F10" s="10">
        <v>40</v>
      </c>
      <c r="G10" s="10">
        <f t="shared" si="0"/>
        <v>70381</v>
      </c>
      <c r="H10" s="16">
        <f t="shared" si="1"/>
        <v>34.57</v>
      </c>
      <c r="I10" s="15">
        <f t="shared" si="2"/>
        <v>8.5999999999999993E-2</v>
      </c>
      <c r="J10" s="15">
        <f>ROUND(G10/72020.67-1,2)</f>
        <v>-0.02</v>
      </c>
    </row>
    <row r="11" spans="1:10" x14ac:dyDescent="0.25">
      <c r="A11" s="1" t="s">
        <v>16</v>
      </c>
      <c r="B11" s="1" t="s">
        <v>20</v>
      </c>
      <c r="C11" s="10">
        <v>87700</v>
      </c>
      <c r="D11" s="10"/>
      <c r="E11" s="10">
        <v>2312</v>
      </c>
      <c r="F11" s="10"/>
      <c r="G11" s="10">
        <f t="shared" si="0"/>
        <v>90012</v>
      </c>
      <c r="H11" s="16">
        <f t="shared" si="1"/>
        <v>44.21</v>
      </c>
      <c r="I11" s="15">
        <f t="shared" si="2"/>
        <v>0.11</v>
      </c>
      <c r="J11" s="15">
        <f>ROUND(G11/94390-1,2)</f>
        <v>-0.05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197</v>
      </c>
      <c r="F12" s="10"/>
      <c r="G12" s="10">
        <f t="shared" si="0"/>
        <v>197</v>
      </c>
      <c r="H12" s="16">
        <f t="shared" si="1"/>
        <v>0.1</v>
      </c>
      <c r="I12" s="15">
        <f t="shared" si="2"/>
        <v>0</v>
      </c>
      <c r="J12" s="15">
        <f>ROUND(G12/431.66-1,2)</f>
        <v>-0.54</v>
      </c>
    </row>
    <row r="13" spans="1:10" x14ac:dyDescent="0.25">
      <c r="A13" s="1" t="s">
        <v>16</v>
      </c>
      <c r="B13" s="1" t="s">
        <v>22</v>
      </c>
      <c r="C13" s="10"/>
      <c r="D13" s="10"/>
      <c r="E13" s="10">
        <v>1901</v>
      </c>
      <c r="F13" s="10"/>
      <c r="G13" s="10">
        <f t="shared" si="0"/>
        <v>1901</v>
      </c>
      <c r="H13" s="16">
        <f t="shared" si="1"/>
        <v>0.93</v>
      </c>
      <c r="I13" s="15">
        <f t="shared" si="2"/>
        <v>2E-3</v>
      </c>
      <c r="J13" s="15">
        <f>ROUND(G13/1937.5-1,2)</f>
        <v>-0.02</v>
      </c>
    </row>
    <row r="14" spans="1:10" x14ac:dyDescent="0.25">
      <c r="A14" s="1" t="s">
        <v>16</v>
      </c>
      <c r="B14" s="1" t="s">
        <v>23</v>
      </c>
      <c r="C14" s="10"/>
      <c r="D14" s="10"/>
      <c r="E14" s="10">
        <v>81898</v>
      </c>
      <c r="F14" s="10"/>
      <c r="G14" s="10">
        <f t="shared" si="0"/>
        <v>81898</v>
      </c>
      <c r="H14" s="16">
        <f t="shared" si="1"/>
        <v>40.22</v>
      </c>
      <c r="I14" s="15">
        <f t="shared" si="2"/>
        <v>0.1</v>
      </c>
      <c r="J14" s="15">
        <f>ROUND(G14/84894.48-1,2)</f>
        <v>-0.04</v>
      </c>
    </row>
    <row r="15" spans="1:10" x14ac:dyDescent="0.25">
      <c r="A15" s="1" t="s">
        <v>16</v>
      </c>
      <c r="B15" s="1" t="s">
        <v>24</v>
      </c>
      <c r="C15" s="10">
        <v>59390</v>
      </c>
      <c r="D15" s="10"/>
      <c r="E15" s="10">
        <v>21880</v>
      </c>
      <c r="F15" s="10"/>
      <c r="G15" s="10">
        <f t="shared" si="0"/>
        <v>81270</v>
      </c>
      <c r="H15" s="16">
        <f t="shared" si="1"/>
        <v>39.92</v>
      </c>
      <c r="I15" s="15">
        <f t="shared" si="2"/>
        <v>0.1</v>
      </c>
      <c r="J15" s="15">
        <f>ROUND(G15/79222.02-1,2)</f>
        <v>0.03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4950</v>
      </c>
      <c r="F16" s="10"/>
      <c r="G16" s="10">
        <f t="shared" si="0"/>
        <v>4950</v>
      </c>
      <c r="H16" s="16">
        <f t="shared" si="1"/>
        <v>2.4300000000000002</v>
      </c>
      <c r="I16" s="15">
        <f t="shared" si="2"/>
        <v>6.0000000000000001E-3</v>
      </c>
      <c r="J16" s="15">
        <f>ROUND(G16/3770-1,2)</f>
        <v>0.31</v>
      </c>
    </row>
    <row r="17" spans="1:10" x14ac:dyDescent="0.25">
      <c r="A17" s="1" t="s">
        <v>16</v>
      </c>
      <c r="B17" s="1" t="s">
        <v>26</v>
      </c>
      <c r="C17" s="10">
        <v>84850</v>
      </c>
      <c r="D17" s="10"/>
      <c r="E17" s="10"/>
      <c r="F17" s="10">
        <v>60</v>
      </c>
      <c r="G17" s="10">
        <f t="shared" si="0"/>
        <v>84910</v>
      </c>
      <c r="H17" s="16">
        <f t="shared" si="1"/>
        <v>41.7</v>
      </c>
      <c r="I17" s="15">
        <f t="shared" si="2"/>
        <v>0.104</v>
      </c>
      <c r="J17" s="15">
        <f>ROUND(G17/67610-1,2)</f>
        <v>0.26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727</v>
      </c>
      <c r="F18" s="10"/>
      <c r="G18" s="10">
        <f t="shared" si="0"/>
        <v>727</v>
      </c>
      <c r="H18" s="16">
        <f t="shared" si="1"/>
        <v>0.36</v>
      </c>
      <c r="I18" s="15">
        <f t="shared" si="2"/>
        <v>1E-3</v>
      </c>
      <c r="J18" s="15">
        <f>ROUND(G18/1010-1,2)</f>
        <v>-0.28000000000000003</v>
      </c>
    </row>
    <row r="19" spans="1:10" x14ac:dyDescent="0.25">
      <c r="A19" s="1" t="s">
        <v>16</v>
      </c>
      <c r="B19" s="1" t="s">
        <v>28</v>
      </c>
      <c r="C19" s="10"/>
      <c r="D19" s="10"/>
      <c r="E19" s="10">
        <v>443</v>
      </c>
      <c r="F19" s="10"/>
      <c r="G19" s="10">
        <f t="shared" si="0"/>
        <v>443</v>
      </c>
      <c r="H19" s="16">
        <f t="shared" si="1"/>
        <v>0.22</v>
      </c>
      <c r="I19" s="15">
        <f t="shared" si="2"/>
        <v>1E-3</v>
      </c>
      <c r="J19" s="15">
        <f>ROUND(G19/410-1,2)</f>
        <v>0.08</v>
      </c>
    </row>
    <row r="20" spans="1:10" x14ac:dyDescent="0.25">
      <c r="A20" s="1" t="s">
        <v>16</v>
      </c>
      <c r="B20" s="1" t="s">
        <v>29</v>
      </c>
      <c r="C20" s="10"/>
      <c r="D20" s="10"/>
      <c r="E20" s="10">
        <v>554</v>
      </c>
      <c r="F20" s="10"/>
      <c r="G20" s="10">
        <f t="shared" si="0"/>
        <v>554</v>
      </c>
      <c r="H20" s="16">
        <f t="shared" si="1"/>
        <v>0.27</v>
      </c>
      <c r="I20" s="15">
        <f t="shared" si="2"/>
        <v>1E-3</v>
      </c>
      <c r="J20" s="15">
        <f>ROUND(G20/4334.55-1,2)</f>
        <v>-0.87</v>
      </c>
    </row>
    <row r="21" spans="1:10" x14ac:dyDescent="0.25">
      <c r="A21" s="1" t="s">
        <v>16</v>
      </c>
      <c r="B21" s="1" t="s">
        <v>30</v>
      </c>
      <c r="C21" s="10"/>
      <c r="D21" s="10"/>
      <c r="E21" s="10">
        <v>1037</v>
      </c>
      <c r="F21" s="10"/>
      <c r="G21" s="10">
        <f t="shared" si="0"/>
        <v>1037</v>
      </c>
      <c r="H21" s="16">
        <f t="shared" si="1"/>
        <v>0.51</v>
      </c>
      <c r="I21" s="15">
        <f t="shared" si="2"/>
        <v>1E-3</v>
      </c>
      <c r="J21" s="15">
        <f>ROUND(G21/1040.64-1,2)</f>
        <v>0</v>
      </c>
    </row>
    <row r="22" spans="1:10" x14ac:dyDescent="0.25">
      <c r="A22" s="1" t="s">
        <v>16</v>
      </c>
      <c r="B22" s="1" t="s">
        <v>32</v>
      </c>
      <c r="C22" s="10"/>
      <c r="D22" s="10"/>
      <c r="E22" s="10">
        <v>1508</v>
      </c>
      <c r="F22" s="10"/>
      <c r="G22" s="10">
        <f t="shared" si="0"/>
        <v>1508</v>
      </c>
      <c r="H22" s="16">
        <f t="shared" si="1"/>
        <v>0.74</v>
      </c>
      <c r="I22" s="15">
        <f t="shared" si="2"/>
        <v>2E-3</v>
      </c>
      <c r="J22" s="15">
        <f>ROUND(G22/2177.97-1,2)</f>
        <v>-0.31</v>
      </c>
    </row>
    <row r="23" spans="1:10" x14ac:dyDescent="0.25">
      <c r="A23" s="1" t="s">
        <v>16</v>
      </c>
      <c r="B23" s="1" t="s">
        <v>33</v>
      </c>
      <c r="C23" s="10"/>
      <c r="D23" s="10"/>
      <c r="E23" s="10">
        <v>105</v>
      </c>
      <c r="F23" s="10"/>
      <c r="G23" s="10">
        <f t="shared" si="0"/>
        <v>105</v>
      </c>
      <c r="H23" s="16">
        <f t="shared" si="1"/>
        <v>0.05</v>
      </c>
      <c r="I23" s="15">
        <f t="shared" si="2"/>
        <v>0</v>
      </c>
      <c r="J23" s="15">
        <f>ROUND(G23/540-1,2)</f>
        <v>-0.81</v>
      </c>
    </row>
    <row r="24" spans="1:10" x14ac:dyDescent="0.25">
      <c r="A24" s="1" t="s">
        <v>16</v>
      </c>
      <c r="B24" s="1" t="s">
        <v>34</v>
      </c>
      <c r="C24" s="10"/>
      <c r="D24" s="10"/>
      <c r="E24" s="10">
        <v>420</v>
      </c>
      <c r="F24" s="10"/>
      <c r="G24" s="10">
        <f t="shared" si="0"/>
        <v>420</v>
      </c>
      <c r="H24" s="16">
        <f t="shared" si="1"/>
        <v>0.21</v>
      </c>
      <c r="I24" s="15">
        <f t="shared" si="2"/>
        <v>1E-3</v>
      </c>
      <c r="J24" s="15">
        <f>ROUND(G24/610-1,2)</f>
        <v>-0.31</v>
      </c>
    </row>
    <row r="25" spans="1:10" x14ac:dyDescent="0.25">
      <c r="A25" s="1" t="s">
        <v>16</v>
      </c>
      <c r="B25" s="1" t="s">
        <v>35</v>
      </c>
      <c r="C25" s="10"/>
      <c r="D25" s="10"/>
      <c r="E25" s="10">
        <v>934</v>
      </c>
      <c r="F25" s="10"/>
      <c r="G25" s="10">
        <f t="shared" si="0"/>
        <v>934</v>
      </c>
      <c r="H25" s="16">
        <f t="shared" si="1"/>
        <v>0.46</v>
      </c>
      <c r="I25" s="15">
        <f t="shared" si="2"/>
        <v>1E-3</v>
      </c>
      <c r="J25" s="15">
        <f>ROUND(G25/725.25-1,2)</f>
        <v>0.28999999999999998</v>
      </c>
    </row>
    <row r="26" spans="1:10" x14ac:dyDescent="0.25">
      <c r="A26" s="1" t="s">
        <v>16</v>
      </c>
      <c r="B26" s="1" t="s">
        <v>37</v>
      </c>
      <c r="C26" s="10"/>
      <c r="D26" s="10"/>
      <c r="E26" s="10">
        <v>2479</v>
      </c>
      <c r="F26" s="10"/>
      <c r="G26" s="10">
        <f t="shared" si="0"/>
        <v>2479</v>
      </c>
      <c r="H26" s="16">
        <f t="shared" si="1"/>
        <v>1.22</v>
      </c>
      <c r="I26" s="15">
        <f t="shared" si="2"/>
        <v>3.0000000000000001E-3</v>
      </c>
      <c r="J26" s="15">
        <f>ROUND(G26/5099.69-1,2)</f>
        <v>-0.51</v>
      </c>
    </row>
    <row r="27" spans="1:10" x14ac:dyDescent="0.25">
      <c r="A27" s="1" t="s">
        <v>16</v>
      </c>
      <c r="B27" s="1" t="s">
        <v>38</v>
      </c>
      <c r="C27" s="10"/>
      <c r="D27" s="10"/>
      <c r="E27" s="10">
        <v>62836</v>
      </c>
      <c r="F27" s="10"/>
      <c r="G27" s="10">
        <f t="shared" si="0"/>
        <v>62836</v>
      </c>
      <c r="H27" s="16">
        <f t="shared" si="1"/>
        <v>30.86</v>
      </c>
      <c r="I27" s="15">
        <f t="shared" si="2"/>
        <v>7.6999999999999999E-2</v>
      </c>
      <c r="J27" s="15">
        <f>ROUND(G27/75131.34-1,2)</f>
        <v>-0.16</v>
      </c>
    </row>
    <row r="28" spans="1:10" x14ac:dyDescent="0.25">
      <c r="A28" s="1" t="s">
        <v>16</v>
      </c>
      <c r="B28" s="1" t="s">
        <v>40</v>
      </c>
      <c r="C28" s="10"/>
      <c r="D28" s="10"/>
      <c r="E28" s="10">
        <v>21214</v>
      </c>
      <c r="F28" s="10"/>
      <c r="G28" s="10">
        <f t="shared" si="0"/>
        <v>21214</v>
      </c>
      <c r="H28" s="16">
        <f t="shared" si="1"/>
        <v>10.42</v>
      </c>
      <c r="I28" s="15">
        <f t="shared" si="2"/>
        <v>2.5999999999999999E-2</v>
      </c>
      <c r="J28" s="15">
        <f>ROUND(G28/23020.79-1,2)</f>
        <v>-0.08</v>
      </c>
    </row>
    <row r="29" spans="1:10" x14ac:dyDescent="0.25">
      <c r="A29" s="1" t="s">
        <v>16</v>
      </c>
      <c r="B29" s="1" t="s">
        <v>41</v>
      </c>
      <c r="C29" s="10"/>
      <c r="D29" s="10"/>
      <c r="E29" s="10">
        <v>23042</v>
      </c>
      <c r="F29" s="10"/>
      <c r="G29" s="10">
        <f t="shared" si="0"/>
        <v>23042</v>
      </c>
      <c r="H29" s="16">
        <f t="shared" si="1"/>
        <v>11.32</v>
      </c>
      <c r="I29" s="15">
        <f t="shared" si="2"/>
        <v>2.8000000000000001E-2</v>
      </c>
      <c r="J29" s="15">
        <f>ROUND(G29/31157.95-1,2)</f>
        <v>-0.26</v>
      </c>
    </row>
    <row r="30" spans="1:10" x14ac:dyDescent="0.25">
      <c r="A30" s="1" t="s">
        <v>16</v>
      </c>
      <c r="B30" s="1" t="s">
        <v>42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>
        <f>ROUND(G30/194.23-1,2)</f>
        <v>-1</v>
      </c>
    </row>
    <row r="31" spans="1:10" x14ac:dyDescent="0.25">
      <c r="A31" s="1" t="s">
        <v>16</v>
      </c>
      <c r="B31" s="1" t="s">
        <v>36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>
        <f>ROUND(G31/3573.2-1,2)</f>
        <v>-1</v>
      </c>
    </row>
    <row r="32" spans="1:10" x14ac:dyDescent="0.25">
      <c r="A32" s="1" t="s">
        <v>16</v>
      </c>
      <c r="B32" s="1" t="s">
        <v>43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>
        <f>ROUND(G32/8830-1,2)</f>
        <v>-1</v>
      </c>
    </row>
    <row r="33" spans="1:10" x14ac:dyDescent="0.25">
      <c r="A33" s="1" t="s">
        <v>16</v>
      </c>
      <c r="B33" s="1" t="s">
        <v>18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>
        <f>ROUND(G33/640-1,2)</f>
        <v>-1</v>
      </c>
    </row>
    <row r="34" spans="1:10" x14ac:dyDescent="0.25">
      <c r="A34" s="1" t="s">
        <v>16</v>
      </c>
      <c r="B34" s="1" t="s">
        <v>31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/>
    </row>
    <row r="35" spans="1:10" x14ac:dyDescent="0.25">
      <c r="A35" s="1" t="s">
        <v>16</v>
      </c>
      <c r="B35" s="1" t="s">
        <v>39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44</v>
      </c>
      <c r="B36" s="1" t="s">
        <v>45</v>
      </c>
      <c r="C36" s="10">
        <v>239430</v>
      </c>
      <c r="D36" s="10"/>
      <c r="E36" s="10"/>
      <c r="F36" s="10">
        <v>80</v>
      </c>
      <c r="G36" s="10">
        <f t="shared" si="0"/>
        <v>239510</v>
      </c>
      <c r="H36" s="16">
        <f t="shared" si="1"/>
        <v>117.64</v>
      </c>
      <c r="I36" s="15">
        <f t="shared" si="2"/>
        <v>0.29399999999999998</v>
      </c>
      <c r="J36" s="15">
        <f>ROUND(G36/263260-1,2)</f>
        <v>-0.09</v>
      </c>
    </row>
    <row r="37" spans="1:10" x14ac:dyDescent="0.25">
      <c r="A37" s="1" t="s">
        <v>44</v>
      </c>
      <c r="B37" s="1" t="s">
        <v>46</v>
      </c>
      <c r="C37" s="10"/>
      <c r="D37" s="10"/>
      <c r="E37" s="10">
        <v>44636</v>
      </c>
      <c r="F37" s="10"/>
      <c r="G37" s="10">
        <f t="shared" si="0"/>
        <v>44636</v>
      </c>
      <c r="H37" s="16">
        <f t="shared" si="1"/>
        <v>21.92</v>
      </c>
      <c r="I37" s="15">
        <f t="shared" si="2"/>
        <v>5.5E-2</v>
      </c>
      <c r="J37" s="15">
        <f>ROUND(G37/48353.69-1,2)</f>
        <v>-0.08</v>
      </c>
    </row>
    <row r="38" spans="1:10" x14ac:dyDescent="0.25">
      <c r="A38" s="1" t="s">
        <v>44</v>
      </c>
      <c r="B38" s="1" t="s">
        <v>47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1" t="s">
        <v>48</v>
      </c>
      <c r="B39" s="1" t="s">
        <v>49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>
        <f>ROUND(G39/13-1,2)</f>
        <v>-1</v>
      </c>
    </row>
    <row r="40" spans="1:10" x14ac:dyDescent="0.25">
      <c r="A40" s="1" t="s">
        <v>48</v>
      </c>
      <c r="B40" s="1" t="s">
        <v>86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>
        <f>ROUND(G40/160-1,2)</f>
        <v>-1</v>
      </c>
    </row>
    <row r="41" spans="1:10" x14ac:dyDescent="0.25">
      <c r="A41" s="1" t="s">
        <v>48</v>
      </c>
      <c r="B41" s="1" t="s">
        <v>50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>
        <f>ROUND(G41/60-1,2)</f>
        <v>-1</v>
      </c>
    </row>
    <row r="42" spans="1:10" x14ac:dyDescent="0.25">
      <c r="A42" s="1" t="s">
        <v>48</v>
      </c>
      <c r="B42" s="1" t="s">
        <v>51</v>
      </c>
      <c r="C42" s="10"/>
      <c r="D42" s="10"/>
      <c r="E42" s="10"/>
      <c r="F42" s="10"/>
      <c r="G42" s="10">
        <f t="shared" si="0"/>
        <v>0</v>
      </c>
      <c r="H42" s="16">
        <f t="shared" si="1"/>
        <v>0</v>
      </c>
      <c r="I42" s="15">
        <f t="shared" si="2"/>
        <v>0</v>
      </c>
      <c r="J42" s="15"/>
    </row>
    <row r="43" spans="1:10" x14ac:dyDescent="0.25">
      <c r="A43" s="30" t="s">
        <v>12</v>
      </c>
      <c r="B43" s="30"/>
      <c r="C43" s="11">
        <f t="shared" ref="C43:H43" si="3">SUM(C8:C42)</f>
        <v>529150</v>
      </c>
      <c r="D43" s="11">
        <f t="shared" si="3"/>
        <v>0</v>
      </c>
      <c r="E43" s="11">
        <f t="shared" si="3"/>
        <v>285725</v>
      </c>
      <c r="F43" s="11">
        <f t="shared" si="3"/>
        <v>180</v>
      </c>
      <c r="G43" s="11">
        <f t="shared" si="3"/>
        <v>815055</v>
      </c>
      <c r="H43" s="14">
        <f t="shared" si="3"/>
        <v>400.32000000000005</v>
      </c>
      <c r="I43" s="17"/>
      <c r="J43" s="17"/>
    </row>
    <row r="44" spans="1:10" x14ac:dyDescent="0.25">
      <c r="A44" s="30" t="s">
        <v>14</v>
      </c>
      <c r="B44" s="30"/>
      <c r="C44" s="12">
        <f>ROUND(C43/G43,2)</f>
        <v>0.65</v>
      </c>
      <c r="D44" s="12">
        <f>ROUND(D43/G43,2)</f>
        <v>0</v>
      </c>
      <c r="E44" s="12">
        <f>ROUND(E43/G43,2)</f>
        <v>0.35</v>
      </c>
      <c r="F44" s="12">
        <f>ROUND(F43/G43,2)</f>
        <v>0</v>
      </c>
      <c r="G44" s="13"/>
      <c r="H44" s="13"/>
      <c r="I44" s="17"/>
      <c r="J44" s="17"/>
    </row>
    <row r="45" spans="1:10" x14ac:dyDescent="0.25">
      <c r="A45" s="2" t="s">
        <v>52</v>
      </c>
      <c r="B45" s="2"/>
      <c r="C45" s="13"/>
      <c r="D45" s="13"/>
      <c r="E45" s="13"/>
      <c r="F45" s="13"/>
      <c r="G45" s="13"/>
      <c r="H45" s="13"/>
      <c r="I45" s="17"/>
      <c r="J45" s="17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A49" s="30" t="s">
        <v>53</v>
      </c>
      <c r="B49" s="30"/>
      <c r="C49" s="11" t="s">
        <v>8</v>
      </c>
      <c r="D49" s="11" t="s">
        <v>9</v>
      </c>
      <c r="E49" s="11" t="s">
        <v>10</v>
      </c>
      <c r="F49" s="11" t="s">
        <v>11</v>
      </c>
      <c r="G49" s="11" t="s">
        <v>12</v>
      </c>
      <c r="H49" s="14" t="s">
        <v>13</v>
      </c>
      <c r="I49" s="17"/>
      <c r="J49" s="17"/>
    </row>
    <row r="50" spans="1:10" x14ac:dyDescent="0.25">
      <c r="A50" s="29" t="s">
        <v>54</v>
      </c>
      <c r="B50" s="29"/>
      <c r="C50" s="10">
        <v>289720</v>
      </c>
      <c r="D50" s="10">
        <v>0</v>
      </c>
      <c r="E50" s="10">
        <v>241089</v>
      </c>
      <c r="F50" s="10">
        <v>100</v>
      </c>
      <c r="G50" s="10">
        <f>SUM(C50:F50)</f>
        <v>530909</v>
      </c>
      <c r="H50" s="16">
        <f>ROUND(G50/2036,2)</f>
        <v>260.76</v>
      </c>
      <c r="I50" s="9"/>
      <c r="J50" s="9"/>
    </row>
    <row r="51" spans="1:10" x14ac:dyDescent="0.25">
      <c r="A51" s="29" t="s">
        <v>55</v>
      </c>
      <c r="B51" s="29"/>
      <c r="C51" s="10">
        <v>239430</v>
      </c>
      <c r="D51" s="10">
        <v>0</v>
      </c>
      <c r="E51" s="10">
        <v>44636</v>
      </c>
      <c r="F51" s="10">
        <v>80</v>
      </c>
      <c r="G51" s="10">
        <f>SUM(C51:F51)</f>
        <v>284146</v>
      </c>
      <c r="H51" s="16">
        <f>ROUND(G51/2036,2)</f>
        <v>139.56</v>
      </c>
      <c r="I51" s="9"/>
      <c r="J51" s="9"/>
    </row>
    <row r="52" spans="1:10" x14ac:dyDescent="0.25">
      <c r="A52" s="29" t="s">
        <v>56</v>
      </c>
      <c r="B52" s="29"/>
      <c r="C52" s="10">
        <v>0</v>
      </c>
      <c r="D52" s="10">
        <v>0</v>
      </c>
      <c r="E52" s="10">
        <v>0</v>
      </c>
      <c r="F52" s="10">
        <v>0</v>
      </c>
      <c r="G52" s="10">
        <f>SUM(C52:F52)</f>
        <v>0</v>
      </c>
      <c r="H52" s="16">
        <f>ROUND(G52/2036,2)</f>
        <v>0</v>
      </c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A57" s="30" t="s">
        <v>57</v>
      </c>
      <c r="B57" s="30"/>
      <c r="C57" s="14" t="s">
        <v>2</v>
      </c>
      <c r="D57" s="14">
        <v>2023</v>
      </c>
      <c r="E57" s="14" t="s">
        <v>59</v>
      </c>
      <c r="F57" s="13"/>
      <c r="G57" s="20" t="s">
        <v>60</v>
      </c>
      <c r="H57" s="14" t="s">
        <v>2</v>
      </c>
      <c r="I57" s="12" t="s">
        <v>61</v>
      </c>
      <c r="J57" s="12" t="s">
        <v>59</v>
      </c>
    </row>
    <row r="58" spans="1:10" x14ac:dyDescent="0.25">
      <c r="A58" s="29" t="s">
        <v>58</v>
      </c>
      <c r="B58" s="29"/>
      <c r="C58" s="15">
        <f>ROUND(0.6709, 4)</f>
        <v>0.67090000000000005</v>
      </c>
      <c r="D58" s="15">
        <f>ROUND(0.6592, 4)</f>
        <v>0.65920000000000001</v>
      </c>
      <c r="E58" s="15">
        <f>ROUND(0.777, 4)</f>
        <v>0.77700000000000002</v>
      </c>
      <c r="F58" s="8"/>
      <c r="G58" s="20" t="s">
        <v>62</v>
      </c>
      <c r="H58" s="33" t="s">
        <v>63</v>
      </c>
      <c r="I58" s="31" t="s">
        <v>64</v>
      </c>
      <c r="J58" s="31" t="s">
        <v>65</v>
      </c>
    </row>
    <row r="59" spans="1:10" x14ac:dyDescent="0.25">
      <c r="A59" s="29" t="s">
        <v>66</v>
      </c>
      <c r="B59" s="29"/>
      <c r="C59" s="15">
        <f>ROUND(0.6351, 4)</f>
        <v>0.6351</v>
      </c>
      <c r="D59" s="15">
        <f>ROUND(0.6252, 4)</f>
        <v>0.62519999999999998</v>
      </c>
      <c r="E59" s="15">
        <f>ROUND(0.7608, 4)</f>
        <v>0.76080000000000003</v>
      </c>
      <c r="F59" s="8"/>
      <c r="G59" s="14" t="s">
        <v>67</v>
      </c>
      <c r="H59" s="34"/>
      <c r="I59" s="32"/>
      <c r="J59" s="32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A63" s="30" t="s">
        <v>68</v>
      </c>
      <c r="B63" s="30"/>
      <c r="C63" s="14" t="s">
        <v>2</v>
      </c>
      <c r="D63" s="14" t="s">
        <v>87</v>
      </c>
      <c r="E63" s="14" t="s">
        <v>70</v>
      </c>
      <c r="F63" s="14" t="s">
        <v>71</v>
      </c>
      <c r="G63" s="14" t="s">
        <v>72</v>
      </c>
      <c r="H63" s="13"/>
      <c r="I63" s="17"/>
      <c r="J63" s="17"/>
    </row>
    <row r="64" spans="1:10" x14ac:dyDescent="0.25">
      <c r="A64" s="29" t="s">
        <v>73</v>
      </c>
      <c r="B64" s="29"/>
      <c r="C64" s="16">
        <v>117.64</v>
      </c>
      <c r="D64" s="16">
        <v>98.34</v>
      </c>
      <c r="E64" s="16">
        <v>93.87</v>
      </c>
      <c r="F64" s="16">
        <v>57.16</v>
      </c>
      <c r="G64" s="16">
        <f>12/12*C64</f>
        <v>117.64</v>
      </c>
      <c r="H64" s="8"/>
      <c r="I64" s="9"/>
      <c r="J64" s="9"/>
    </row>
    <row r="65" spans="1:10" x14ac:dyDescent="0.25">
      <c r="A65" s="29" t="s">
        <v>74</v>
      </c>
      <c r="B65" s="29"/>
      <c r="C65" s="16">
        <v>41.7</v>
      </c>
      <c r="D65" s="16">
        <v>45.63</v>
      </c>
      <c r="E65" s="16">
        <v>62.84</v>
      </c>
      <c r="F65" s="16">
        <v>65.39</v>
      </c>
      <c r="G65" s="16">
        <f>12/12*C65</f>
        <v>41.7</v>
      </c>
      <c r="H65" s="8"/>
      <c r="I65" s="9"/>
      <c r="J65" s="9"/>
    </row>
    <row r="66" spans="1:10" x14ac:dyDescent="0.25">
      <c r="A66" s="29" t="s">
        <v>75</v>
      </c>
      <c r="B66" s="29"/>
      <c r="C66" s="16">
        <v>260.76</v>
      </c>
      <c r="D66" s="16">
        <v>271.24</v>
      </c>
      <c r="E66" s="16">
        <v>295.08999999999997</v>
      </c>
      <c r="F66" s="16">
        <v>289.06</v>
      </c>
      <c r="G66" s="16">
        <f>12/12*C66</f>
        <v>260.76</v>
      </c>
      <c r="H66" s="8"/>
      <c r="I66" s="9"/>
      <c r="J66" s="9"/>
    </row>
    <row r="67" spans="1:10" x14ac:dyDescent="0.25">
      <c r="A67" s="29" t="s">
        <v>76</v>
      </c>
      <c r="B67" s="29"/>
      <c r="C67" s="16">
        <v>139.56</v>
      </c>
      <c r="D67" s="16">
        <v>122.38</v>
      </c>
      <c r="E67" s="16">
        <v>118.05</v>
      </c>
      <c r="F67" s="16">
        <v>81.41</v>
      </c>
      <c r="G67" s="16">
        <f>12/12*C67</f>
        <v>139.56</v>
      </c>
      <c r="H67" s="8"/>
      <c r="I67" s="9"/>
      <c r="J67" s="9"/>
    </row>
    <row r="68" spans="1:10" x14ac:dyDescent="0.25">
      <c r="C68" s="8"/>
      <c r="D68" s="8"/>
      <c r="E68" s="8"/>
      <c r="F68" s="8"/>
      <c r="G68" s="8"/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28" t="s">
        <v>60</v>
      </c>
      <c r="B70" s="35"/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3" t="s">
        <v>77</v>
      </c>
      <c r="B71" s="1" t="s">
        <v>88</v>
      </c>
      <c r="C71" s="8"/>
      <c r="D71" s="8"/>
      <c r="E71" s="8"/>
      <c r="F71" s="8"/>
      <c r="G71" s="8"/>
      <c r="H71" s="8"/>
      <c r="I71" s="9"/>
      <c r="J71" s="9"/>
    </row>
    <row r="72" spans="1:10" x14ac:dyDescent="0.25">
      <c r="A72" s="3" t="s">
        <v>70</v>
      </c>
      <c r="B72" s="1" t="s">
        <v>79</v>
      </c>
      <c r="C72" s="8"/>
      <c r="D72" s="8"/>
      <c r="E72" s="8"/>
      <c r="F72" s="8"/>
      <c r="G72" s="8"/>
      <c r="H72" s="8"/>
      <c r="I72" s="9"/>
      <c r="J72" s="9"/>
    </row>
    <row r="73" spans="1:10" x14ac:dyDescent="0.25">
      <c r="A73" s="3" t="s">
        <v>71</v>
      </c>
      <c r="B73" s="1" t="s">
        <v>80</v>
      </c>
      <c r="C73" s="8"/>
      <c r="D73" s="8"/>
      <c r="E73" s="8"/>
      <c r="F73" s="8"/>
      <c r="G73" s="8"/>
      <c r="H73" s="8"/>
      <c r="I73" s="9"/>
      <c r="J73" s="9"/>
    </row>
    <row r="74" spans="1:10" x14ac:dyDescent="0.25">
      <c r="A74" s="3" t="s">
        <v>72</v>
      </c>
      <c r="B74" s="1" t="s">
        <v>81</v>
      </c>
    </row>
  </sheetData>
  <mergeCells count="19">
    <mergeCell ref="A65:B65"/>
    <mergeCell ref="A66:B66"/>
    <mergeCell ref="A67:B67"/>
    <mergeCell ref="A70:B70"/>
    <mergeCell ref="I58:I59"/>
    <mergeCell ref="J58:J59"/>
    <mergeCell ref="A59:B59"/>
    <mergeCell ref="A63:B63"/>
    <mergeCell ref="A64:B64"/>
    <mergeCell ref="A51:B51"/>
    <mergeCell ref="A52:B52"/>
    <mergeCell ref="A57:B57"/>
    <mergeCell ref="A58:B58"/>
    <mergeCell ref="H58:H59"/>
    <mergeCell ref="C7:G7"/>
    <mergeCell ref="A43:B43"/>
    <mergeCell ref="A44:B44"/>
    <mergeCell ref="A49:B49"/>
    <mergeCell ref="A50:B5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79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3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89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2880</v>
      </c>
    </row>
    <row r="7" spans="1:10" x14ac:dyDescent="0.25">
      <c r="C7" s="28" t="s">
        <v>5</v>
      </c>
      <c r="D7" s="29"/>
      <c r="E7" s="29"/>
      <c r="F7" s="29"/>
      <c r="G7" s="29"/>
    </row>
    <row r="8" spans="1:10" x14ac:dyDescent="0.25">
      <c r="A8" s="25" t="s">
        <v>6</v>
      </c>
      <c r="B8" s="25" t="s">
        <v>7</v>
      </c>
      <c r="C8" s="27" t="s">
        <v>8</v>
      </c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75</v>
      </c>
      <c r="F9" s="10"/>
      <c r="G9" s="10">
        <f t="shared" ref="G9:G41" si="0">SUM(C9:F9)</f>
        <v>75</v>
      </c>
      <c r="H9" s="16">
        <f t="shared" ref="H9:H41" si="1">ROUND(G9/2880,2)</f>
        <v>0.03</v>
      </c>
      <c r="I9" s="15">
        <f t="shared" ref="I9:I41" si="2">ROUND(G9/$G$42,3)</f>
        <v>0</v>
      </c>
      <c r="J9" s="15">
        <f>ROUND(G9/81-1,2)</f>
        <v>-7.0000000000000007E-2</v>
      </c>
    </row>
    <row r="10" spans="1:10" x14ac:dyDescent="0.25">
      <c r="A10" s="1" t="s">
        <v>16</v>
      </c>
      <c r="B10" s="1" t="s">
        <v>19</v>
      </c>
      <c r="C10" s="10">
        <v>76250</v>
      </c>
      <c r="D10" s="10"/>
      <c r="E10" s="10"/>
      <c r="F10" s="10"/>
      <c r="G10" s="10">
        <f t="shared" si="0"/>
        <v>76250</v>
      </c>
      <c r="H10" s="16">
        <f t="shared" si="1"/>
        <v>26.48</v>
      </c>
      <c r="I10" s="15">
        <f t="shared" si="2"/>
        <v>7.2999999999999995E-2</v>
      </c>
      <c r="J10" s="15">
        <f>ROUND(G10/77940-1,2)</f>
        <v>-0.02</v>
      </c>
    </row>
    <row r="11" spans="1:10" x14ac:dyDescent="0.25">
      <c r="A11" s="1" t="s">
        <v>16</v>
      </c>
      <c r="B11" s="1" t="s">
        <v>20</v>
      </c>
      <c r="C11" s="10">
        <v>112020</v>
      </c>
      <c r="D11" s="10"/>
      <c r="E11" s="10"/>
      <c r="F11" s="10"/>
      <c r="G11" s="10">
        <f t="shared" si="0"/>
        <v>112020</v>
      </c>
      <c r="H11" s="16">
        <f t="shared" si="1"/>
        <v>38.9</v>
      </c>
      <c r="I11" s="15">
        <f t="shared" si="2"/>
        <v>0.107</v>
      </c>
      <c r="J11" s="15">
        <f>ROUND(G11/101210-1,2)</f>
        <v>0.11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341</v>
      </c>
      <c r="F12" s="10"/>
      <c r="G12" s="10">
        <f t="shared" si="0"/>
        <v>341</v>
      </c>
      <c r="H12" s="16">
        <f t="shared" si="1"/>
        <v>0.12</v>
      </c>
      <c r="I12" s="15">
        <f t="shared" si="2"/>
        <v>0</v>
      </c>
      <c r="J12" s="15">
        <f>ROUND(G12/271-1,2)</f>
        <v>0.26</v>
      </c>
    </row>
    <row r="13" spans="1:10" x14ac:dyDescent="0.25">
      <c r="A13" s="1" t="s">
        <v>16</v>
      </c>
      <c r="B13" s="1" t="s">
        <v>22</v>
      </c>
      <c r="C13" s="10"/>
      <c r="D13" s="10"/>
      <c r="E13" s="10">
        <v>2200</v>
      </c>
      <c r="F13" s="10"/>
      <c r="G13" s="10">
        <f t="shared" si="0"/>
        <v>2200</v>
      </c>
      <c r="H13" s="16">
        <f t="shared" si="1"/>
        <v>0.76</v>
      </c>
      <c r="I13" s="15">
        <f t="shared" si="2"/>
        <v>2E-3</v>
      </c>
      <c r="J13" s="15">
        <f>ROUND(G13/1600-1,2)</f>
        <v>0.38</v>
      </c>
    </row>
    <row r="14" spans="1:10" x14ac:dyDescent="0.25">
      <c r="A14" s="1" t="s">
        <v>16</v>
      </c>
      <c r="B14" s="1" t="s">
        <v>23</v>
      </c>
      <c r="C14" s="10"/>
      <c r="D14" s="10"/>
      <c r="E14" s="10">
        <v>41260</v>
      </c>
      <c r="F14" s="10"/>
      <c r="G14" s="10">
        <f t="shared" si="0"/>
        <v>41260</v>
      </c>
      <c r="H14" s="16">
        <f t="shared" si="1"/>
        <v>14.33</v>
      </c>
      <c r="I14" s="15">
        <f t="shared" si="2"/>
        <v>3.9E-2</v>
      </c>
      <c r="J14" s="15">
        <f>ROUND(G14/39160-1,2)</f>
        <v>0.05</v>
      </c>
    </row>
    <row r="15" spans="1:10" x14ac:dyDescent="0.25">
      <c r="A15" s="1" t="s">
        <v>16</v>
      </c>
      <c r="B15" s="1" t="s">
        <v>24</v>
      </c>
      <c r="C15" s="10">
        <v>127990</v>
      </c>
      <c r="D15" s="10"/>
      <c r="E15" s="10">
        <v>8290</v>
      </c>
      <c r="F15" s="10"/>
      <c r="G15" s="10">
        <f t="shared" si="0"/>
        <v>136280</v>
      </c>
      <c r="H15" s="16">
        <f t="shared" si="1"/>
        <v>47.32</v>
      </c>
      <c r="I15" s="15">
        <f t="shared" si="2"/>
        <v>0.13</v>
      </c>
      <c r="J15" s="15">
        <f>ROUND(G15/142645-1,2)</f>
        <v>-0.04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4170</v>
      </c>
      <c r="F16" s="10"/>
      <c r="G16" s="10">
        <f t="shared" si="0"/>
        <v>4170</v>
      </c>
      <c r="H16" s="16">
        <f t="shared" si="1"/>
        <v>1.45</v>
      </c>
      <c r="I16" s="15">
        <f t="shared" si="2"/>
        <v>4.0000000000000001E-3</v>
      </c>
      <c r="J16" s="15">
        <f>ROUND(G16/2190-1,2)</f>
        <v>0.9</v>
      </c>
    </row>
    <row r="17" spans="1:10" x14ac:dyDescent="0.25">
      <c r="A17" s="1" t="s">
        <v>16</v>
      </c>
      <c r="B17" s="1" t="s">
        <v>26</v>
      </c>
      <c r="C17" s="10">
        <v>154010</v>
      </c>
      <c r="D17" s="10"/>
      <c r="E17" s="10"/>
      <c r="F17" s="10"/>
      <c r="G17" s="10">
        <f t="shared" si="0"/>
        <v>154010</v>
      </c>
      <c r="H17" s="16">
        <f t="shared" si="1"/>
        <v>53.48</v>
      </c>
      <c r="I17" s="15">
        <f t="shared" si="2"/>
        <v>0.14699999999999999</v>
      </c>
      <c r="J17" s="15">
        <f>ROUND(G17/152960-1,2)</f>
        <v>0.01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574</v>
      </c>
      <c r="F18" s="10"/>
      <c r="G18" s="10">
        <f t="shared" si="0"/>
        <v>574</v>
      </c>
      <c r="H18" s="16">
        <f t="shared" si="1"/>
        <v>0.2</v>
      </c>
      <c r="I18" s="15">
        <f t="shared" si="2"/>
        <v>1E-3</v>
      </c>
      <c r="J18" s="15">
        <f>ROUND(G18/524-1,2)</f>
        <v>0.1</v>
      </c>
    </row>
    <row r="19" spans="1:10" x14ac:dyDescent="0.25">
      <c r="A19" s="1" t="s">
        <v>16</v>
      </c>
      <c r="B19" s="1" t="s">
        <v>28</v>
      </c>
      <c r="C19" s="10"/>
      <c r="D19" s="10"/>
      <c r="E19" s="10">
        <v>347</v>
      </c>
      <c r="F19" s="10"/>
      <c r="G19" s="10">
        <f t="shared" si="0"/>
        <v>347</v>
      </c>
      <c r="H19" s="16">
        <f t="shared" si="1"/>
        <v>0.12</v>
      </c>
      <c r="I19" s="15">
        <f t="shared" si="2"/>
        <v>0</v>
      </c>
      <c r="J19" s="15">
        <f>ROUND(G19/236-1,2)</f>
        <v>0.47</v>
      </c>
    </row>
    <row r="20" spans="1:10" x14ac:dyDescent="0.25">
      <c r="A20" s="1" t="s">
        <v>16</v>
      </c>
      <c r="B20" s="1" t="s">
        <v>29</v>
      </c>
      <c r="C20" s="10"/>
      <c r="D20" s="10"/>
      <c r="E20" s="10">
        <v>1940</v>
      </c>
      <c r="F20" s="10"/>
      <c r="G20" s="10">
        <f t="shared" si="0"/>
        <v>1940</v>
      </c>
      <c r="H20" s="16">
        <f t="shared" si="1"/>
        <v>0.67</v>
      </c>
      <c r="I20" s="15">
        <f t="shared" si="2"/>
        <v>2E-3</v>
      </c>
      <c r="J20" s="15">
        <f>ROUND(G20/2320-1,2)</f>
        <v>-0.16</v>
      </c>
    </row>
    <row r="21" spans="1:10" x14ac:dyDescent="0.25">
      <c r="A21" s="1" t="s">
        <v>16</v>
      </c>
      <c r="B21" s="1" t="s">
        <v>30</v>
      </c>
      <c r="C21" s="10"/>
      <c r="D21" s="10"/>
      <c r="E21" s="10">
        <v>1040</v>
      </c>
      <c r="F21" s="10"/>
      <c r="G21" s="10">
        <f t="shared" si="0"/>
        <v>1040</v>
      </c>
      <c r="H21" s="16">
        <f t="shared" si="1"/>
        <v>0.36</v>
      </c>
      <c r="I21" s="15">
        <f t="shared" si="2"/>
        <v>1E-3</v>
      </c>
      <c r="J21" s="15">
        <f>ROUND(G21/990-1,2)</f>
        <v>0.05</v>
      </c>
    </row>
    <row r="22" spans="1:10" x14ac:dyDescent="0.25">
      <c r="A22" s="1" t="s">
        <v>16</v>
      </c>
      <c r="B22" s="1" t="s">
        <v>31</v>
      </c>
      <c r="C22" s="10"/>
      <c r="D22" s="10"/>
      <c r="E22" s="10">
        <v>540</v>
      </c>
      <c r="F22" s="10"/>
      <c r="G22" s="10">
        <f t="shared" si="0"/>
        <v>540</v>
      </c>
      <c r="H22" s="16">
        <f t="shared" si="1"/>
        <v>0.19</v>
      </c>
      <c r="I22" s="15">
        <f t="shared" si="2"/>
        <v>1E-3</v>
      </c>
      <c r="J22" s="15">
        <f>ROUND(G22/180-1,2)</f>
        <v>2</v>
      </c>
    </row>
    <row r="23" spans="1:10" x14ac:dyDescent="0.25">
      <c r="A23" s="1" t="s">
        <v>16</v>
      </c>
      <c r="B23" s="1" t="s">
        <v>32</v>
      </c>
      <c r="C23" s="10"/>
      <c r="D23" s="10"/>
      <c r="E23" s="10">
        <v>1935</v>
      </c>
      <c r="F23" s="10"/>
      <c r="G23" s="10">
        <f t="shared" si="0"/>
        <v>1935</v>
      </c>
      <c r="H23" s="16">
        <f t="shared" si="1"/>
        <v>0.67</v>
      </c>
      <c r="I23" s="15">
        <f t="shared" si="2"/>
        <v>2E-3</v>
      </c>
      <c r="J23" s="15">
        <f>ROUND(G23/2070-1,2)</f>
        <v>-7.0000000000000007E-2</v>
      </c>
    </row>
    <row r="24" spans="1:10" x14ac:dyDescent="0.25">
      <c r="A24" s="1" t="s">
        <v>16</v>
      </c>
      <c r="B24" s="1" t="s">
        <v>33</v>
      </c>
      <c r="C24" s="10"/>
      <c r="D24" s="10">
        <v>235</v>
      </c>
      <c r="E24" s="10">
        <v>78</v>
      </c>
      <c r="F24" s="10"/>
      <c r="G24" s="10">
        <f t="shared" si="0"/>
        <v>313</v>
      </c>
      <c r="H24" s="16">
        <f t="shared" si="1"/>
        <v>0.11</v>
      </c>
      <c r="I24" s="15">
        <f t="shared" si="2"/>
        <v>0</v>
      </c>
      <c r="J24" s="15">
        <f>ROUND(G24/299-1,2)</f>
        <v>0.05</v>
      </c>
    </row>
    <row r="25" spans="1:10" x14ac:dyDescent="0.25">
      <c r="A25" s="1" t="s">
        <v>16</v>
      </c>
      <c r="B25" s="1" t="s">
        <v>34</v>
      </c>
      <c r="C25" s="10"/>
      <c r="D25" s="10"/>
      <c r="E25" s="10">
        <v>2280</v>
      </c>
      <c r="F25" s="10"/>
      <c r="G25" s="10">
        <f t="shared" si="0"/>
        <v>2280</v>
      </c>
      <c r="H25" s="16">
        <f t="shared" si="1"/>
        <v>0.79</v>
      </c>
      <c r="I25" s="15">
        <f t="shared" si="2"/>
        <v>2E-3</v>
      </c>
      <c r="J25" s="15">
        <f>ROUND(G25/916-1,2)</f>
        <v>1.49</v>
      </c>
    </row>
    <row r="26" spans="1:10" x14ac:dyDescent="0.25">
      <c r="A26" s="1" t="s">
        <v>16</v>
      </c>
      <c r="B26" s="1" t="s">
        <v>35</v>
      </c>
      <c r="C26" s="10"/>
      <c r="D26" s="10"/>
      <c r="E26" s="10">
        <v>460</v>
      </c>
      <c r="F26" s="10"/>
      <c r="G26" s="10">
        <f t="shared" si="0"/>
        <v>460</v>
      </c>
      <c r="H26" s="16">
        <f t="shared" si="1"/>
        <v>0.16</v>
      </c>
      <c r="I26" s="15">
        <f t="shared" si="2"/>
        <v>0</v>
      </c>
      <c r="J26" s="15">
        <f>ROUND(G26/553-1,2)</f>
        <v>-0.17</v>
      </c>
    </row>
    <row r="27" spans="1:10" x14ac:dyDescent="0.25">
      <c r="A27" s="1" t="s">
        <v>16</v>
      </c>
      <c r="B27" s="1" t="s">
        <v>36</v>
      </c>
      <c r="C27" s="10"/>
      <c r="D27" s="10"/>
      <c r="E27" s="10">
        <v>900</v>
      </c>
      <c r="F27" s="10"/>
      <c r="G27" s="10">
        <f t="shared" si="0"/>
        <v>900</v>
      </c>
      <c r="H27" s="16">
        <f t="shared" si="1"/>
        <v>0.31</v>
      </c>
      <c r="I27" s="15">
        <f t="shared" si="2"/>
        <v>1E-3</v>
      </c>
      <c r="J27" s="15">
        <f>ROUND(G27/2440-1,2)</f>
        <v>-0.63</v>
      </c>
    </row>
    <row r="28" spans="1:10" x14ac:dyDescent="0.25">
      <c r="A28" s="1" t="s">
        <v>16</v>
      </c>
      <c r="B28" s="1" t="s">
        <v>37</v>
      </c>
      <c r="C28" s="10"/>
      <c r="D28" s="10"/>
      <c r="E28" s="10">
        <v>3180</v>
      </c>
      <c r="F28" s="10"/>
      <c r="G28" s="10">
        <f t="shared" si="0"/>
        <v>3180</v>
      </c>
      <c r="H28" s="16">
        <f t="shared" si="1"/>
        <v>1.1000000000000001</v>
      </c>
      <c r="I28" s="15">
        <f t="shared" si="2"/>
        <v>3.0000000000000001E-3</v>
      </c>
      <c r="J28" s="15">
        <f>ROUND(G28/3390-1,2)</f>
        <v>-0.06</v>
      </c>
    </row>
    <row r="29" spans="1:10" x14ac:dyDescent="0.25">
      <c r="A29" s="1" t="s">
        <v>16</v>
      </c>
      <c r="B29" s="1" t="s">
        <v>43</v>
      </c>
      <c r="C29" s="10"/>
      <c r="D29" s="10"/>
      <c r="E29" s="10">
        <v>1500</v>
      </c>
      <c r="F29" s="10"/>
      <c r="G29" s="10">
        <f t="shared" si="0"/>
        <v>1500</v>
      </c>
      <c r="H29" s="16">
        <f t="shared" si="1"/>
        <v>0.52</v>
      </c>
      <c r="I29" s="15">
        <f t="shared" si="2"/>
        <v>1E-3</v>
      </c>
      <c r="J29" s="15">
        <f>ROUND(G29/7787-1,2)</f>
        <v>-0.81</v>
      </c>
    </row>
    <row r="30" spans="1:10" x14ac:dyDescent="0.25">
      <c r="A30" s="1" t="s">
        <v>16</v>
      </c>
      <c r="B30" s="1" t="s">
        <v>38</v>
      </c>
      <c r="C30" s="10"/>
      <c r="D30" s="10"/>
      <c r="E30" s="10">
        <v>57860</v>
      </c>
      <c r="F30" s="10"/>
      <c r="G30" s="10">
        <f t="shared" si="0"/>
        <v>57860</v>
      </c>
      <c r="H30" s="16">
        <f t="shared" si="1"/>
        <v>20.09</v>
      </c>
      <c r="I30" s="15">
        <f t="shared" si="2"/>
        <v>5.5E-2</v>
      </c>
      <c r="J30" s="15">
        <f>ROUND(G30/48080-1,2)</f>
        <v>0.2</v>
      </c>
    </row>
    <row r="31" spans="1:10" x14ac:dyDescent="0.25">
      <c r="A31" s="1" t="s">
        <v>16</v>
      </c>
      <c r="B31" s="1" t="s">
        <v>39</v>
      </c>
      <c r="C31" s="10"/>
      <c r="D31" s="10"/>
      <c r="E31" s="10">
        <v>5280</v>
      </c>
      <c r="F31" s="10"/>
      <c r="G31" s="10">
        <f t="shared" si="0"/>
        <v>5280</v>
      </c>
      <c r="H31" s="16">
        <f t="shared" si="1"/>
        <v>1.83</v>
      </c>
      <c r="I31" s="15">
        <f t="shared" si="2"/>
        <v>5.0000000000000001E-3</v>
      </c>
      <c r="J31" s="15">
        <f>ROUND(G31/4810-1,2)</f>
        <v>0.1</v>
      </c>
    </row>
    <row r="32" spans="1:10" x14ac:dyDescent="0.25">
      <c r="A32" s="1" t="s">
        <v>16</v>
      </c>
      <c r="B32" s="1" t="s">
        <v>40</v>
      </c>
      <c r="C32" s="10"/>
      <c r="D32" s="10"/>
      <c r="E32" s="10">
        <v>16430</v>
      </c>
      <c r="F32" s="10"/>
      <c r="G32" s="10">
        <f t="shared" si="0"/>
        <v>16430</v>
      </c>
      <c r="H32" s="16">
        <f t="shared" si="1"/>
        <v>5.7</v>
      </c>
      <c r="I32" s="15">
        <f t="shared" si="2"/>
        <v>1.6E-2</v>
      </c>
      <c r="J32" s="15">
        <f>ROUND(G32/16950-1,2)</f>
        <v>-0.03</v>
      </c>
    </row>
    <row r="33" spans="1:10" x14ac:dyDescent="0.25">
      <c r="A33" s="1" t="s">
        <v>16</v>
      </c>
      <c r="B33" s="1" t="s">
        <v>41</v>
      </c>
      <c r="C33" s="10"/>
      <c r="D33" s="10"/>
      <c r="E33" s="10">
        <v>130340</v>
      </c>
      <c r="F33" s="10"/>
      <c r="G33" s="10">
        <f t="shared" si="0"/>
        <v>130340</v>
      </c>
      <c r="H33" s="16">
        <f t="shared" si="1"/>
        <v>45.26</v>
      </c>
      <c r="I33" s="15">
        <f t="shared" si="2"/>
        <v>0.124</v>
      </c>
      <c r="J33" s="15">
        <f>ROUND(G33/106040-1,2)</f>
        <v>0.23</v>
      </c>
    </row>
    <row r="34" spans="1:10" x14ac:dyDescent="0.25">
      <c r="A34" s="1" t="s">
        <v>16</v>
      </c>
      <c r="B34" s="1" t="s">
        <v>18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/>
    </row>
    <row r="35" spans="1:10" x14ac:dyDescent="0.25">
      <c r="A35" s="1" t="s">
        <v>16</v>
      </c>
      <c r="B35" s="1" t="s">
        <v>90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16</v>
      </c>
      <c r="B36" s="1" t="s">
        <v>42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>
        <f>ROUND(G36/78-1,2)</f>
        <v>-1</v>
      </c>
    </row>
    <row r="37" spans="1:10" x14ac:dyDescent="0.25">
      <c r="A37" s="1" t="s">
        <v>44</v>
      </c>
      <c r="B37" s="1" t="s">
        <v>45</v>
      </c>
      <c r="C37" s="10">
        <v>236760</v>
      </c>
      <c r="D37" s="10"/>
      <c r="E37" s="10"/>
      <c r="F37" s="10"/>
      <c r="G37" s="10">
        <f t="shared" si="0"/>
        <v>236760</v>
      </c>
      <c r="H37" s="16">
        <f t="shared" si="1"/>
        <v>82.21</v>
      </c>
      <c r="I37" s="15">
        <f t="shared" si="2"/>
        <v>0.22600000000000001</v>
      </c>
      <c r="J37" s="15">
        <f>ROUND(G37/238740-1,2)</f>
        <v>-0.01</v>
      </c>
    </row>
    <row r="38" spans="1:10" x14ac:dyDescent="0.25">
      <c r="A38" s="1" t="s">
        <v>44</v>
      </c>
      <c r="B38" s="1" t="s">
        <v>47</v>
      </c>
      <c r="C38" s="10"/>
      <c r="D38" s="10"/>
      <c r="E38" s="10">
        <v>5700</v>
      </c>
      <c r="F38" s="10">
        <v>5360</v>
      </c>
      <c r="G38" s="10">
        <f t="shared" si="0"/>
        <v>11060</v>
      </c>
      <c r="H38" s="16">
        <f t="shared" si="1"/>
        <v>3.84</v>
      </c>
      <c r="I38" s="15">
        <f t="shared" si="2"/>
        <v>1.0999999999999999E-2</v>
      </c>
      <c r="J38" s="15">
        <f>ROUND(G38/7510-1,2)</f>
        <v>0.47</v>
      </c>
    </row>
    <row r="39" spans="1:10" x14ac:dyDescent="0.25">
      <c r="A39" s="1" t="s">
        <v>44</v>
      </c>
      <c r="B39" s="1" t="s">
        <v>46</v>
      </c>
      <c r="C39" s="10"/>
      <c r="D39" s="10"/>
      <c r="E39" s="10">
        <v>47930</v>
      </c>
      <c r="F39" s="10"/>
      <c r="G39" s="10">
        <f t="shared" si="0"/>
        <v>47930</v>
      </c>
      <c r="H39" s="16">
        <f t="shared" si="1"/>
        <v>16.64</v>
      </c>
      <c r="I39" s="15">
        <f t="shared" si="2"/>
        <v>4.5999999999999999E-2</v>
      </c>
      <c r="J39" s="15">
        <f>ROUND(G39/50980-1,2)</f>
        <v>-0.06</v>
      </c>
    </row>
    <row r="40" spans="1:10" x14ac:dyDescent="0.25">
      <c r="A40" s="1" t="s">
        <v>48</v>
      </c>
      <c r="B40" s="1" t="s">
        <v>50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>
        <f>ROUND(G40/470-1,2)</f>
        <v>-1</v>
      </c>
    </row>
    <row r="41" spans="1:10" x14ac:dyDescent="0.25">
      <c r="A41" s="1" t="s">
        <v>48</v>
      </c>
      <c r="B41" s="1" t="s">
        <v>51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/>
    </row>
    <row r="42" spans="1:10" x14ac:dyDescent="0.25">
      <c r="A42" s="30" t="s">
        <v>12</v>
      </c>
      <c r="B42" s="30"/>
      <c r="C42" s="11">
        <f t="shared" ref="C42:H42" si="3">SUM(C8:C41)</f>
        <v>707030</v>
      </c>
      <c r="D42" s="11">
        <f t="shared" si="3"/>
        <v>235</v>
      </c>
      <c r="E42" s="11">
        <f t="shared" si="3"/>
        <v>334650</v>
      </c>
      <c r="F42" s="11">
        <f t="shared" si="3"/>
        <v>5360</v>
      </c>
      <c r="G42" s="11">
        <f t="shared" si="3"/>
        <v>1047275</v>
      </c>
      <c r="H42" s="14">
        <f t="shared" si="3"/>
        <v>363.63999999999993</v>
      </c>
      <c r="I42" s="17"/>
      <c r="J42" s="17"/>
    </row>
    <row r="43" spans="1:10" x14ac:dyDescent="0.25">
      <c r="A43" s="30" t="s">
        <v>14</v>
      </c>
      <c r="B43" s="30"/>
      <c r="C43" s="12">
        <f>ROUND(C42/G42,2)</f>
        <v>0.68</v>
      </c>
      <c r="D43" s="12">
        <f>ROUND(D42/G42,2)</f>
        <v>0</v>
      </c>
      <c r="E43" s="12">
        <f>ROUND(E42/G42,2)</f>
        <v>0.32</v>
      </c>
      <c r="F43" s="12">
        <f>ROUND(F42/G42,2)</f>
        <v>0.01</v>
      </c>
      <c r="G43" s="13"/>
      <c r="H43" s="13"/>
      <c r="I43" s="17"/>
      <c r="J43" s="17"/>
    </row>
    <row r="44" spans="1:10" x14ac:dyDescent="0.25">
      <c r="A44" s="2" t="s">
        <v>52</v>
      </c>
      <c r="B44" s="2"/>
      <c r="C44" s="13"/>
      <c r="D44" s="13"/>
      <c r="E44" s="13"/>
      <c r="F44" s="13"/>
      <c r="G44" s="13"/>
      <c r="H44" s="13"/>
      <c r="I44" s="17"/>
      <c r="J44" s="17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A48" s="30" t="s">
        <v>53</v>
      </c>
      <c r="B48" s="30"/>
      <c r="C48" s="11" t="s">
        <v>8</v>
      </c>
      <c r="D48" s="11" t="s">
        <v>9</v>
      </c>
      <c r="E48" s="11" t="s">
        <v>10</v>
      </c>
      <c r="F48" s="11" t="s">
        <v>11</v>
      </c>
      <c r="G48" s="11" t="s">
        <v>12</v>
      </c>
      <c r="H48" s="14" t="s">
        <v>13</v>
      </c>
      <c r="I48" s="17"/>
      <c r="J48" s="17"/>
    </row>
    <row r="49" spans="1:10" x14ac:dyDescent="0.25">
      <c r="A49" s="29" t="s">
        <v>54</v>
      </c>
      <c r="B49" s="29"/>
      <c r="C49" s="10">
        <v>470270</v>
      </c>
      <c r="D49" s="10">
        <v>235</v>
      </c>
      <c r="E49" s="10">
        <v>281020</v>
      </c>
      <c r="F49" s="10">
        <v>0</v>
      </c>
      <c r="G49" s="10">
        <f>SUM(C49:F49)</f>
        <v>751525</v>
      </c>
      <c r="H49" s="16">
        <f>ROUND(G49/2880,2)</f>
        <v>260.95</v>
      </c>
      <c r="I49" s="9"/>
      <c r="J49" s="9"/>
    </row>
    <row r="50" spans="1:10" x14ac:dyDescent="0.25">
      <c r="A50" s="29" t="s">
        <v>55</v>
      </c>
      <c r="B50" s="29"/>
      <c r="C50" s="10">
        <v>236760</v>
      </c>
      <c r="D50" s="10">
        <v>0</v>
      </c>
      <c r="E50" s="10">
        <v>53630</v>
      </c>
      <c r="F50" s="10">
        <v>5360</v>
      </c>
      <c r="G50" s="10">
        <f>SUM(C50:F50)</f>
        <v>295750</v>
      </c>
      <c r="H50" s="16">
        <f>ROUND(G50/2880,2)</f>
        <v>102.69</v>
      </c>
      <c r="I50" s="9"/>
      <c r="J50" s="9"/>
    </row>
    <row r="51" spans="1:10" x14ac:dyDescent="0.25">
      <c r="A51" s="29" t="s">
        <v>56</v>
      </c>
      <c r="B51" s="29"/>
      <c r="C51" s="10">
        <v>0</v>
      </c>
      <c r="D51" s="10">
        <v>0</v>
      </c>
      <c r="E51" s="10">
        <v>0</v>
      </c>
      <c r="F51" s="10">
        <v>0</v>
      </c>
      <c r="G51" s="10">
        <f>SUM(C51:F51)</f>
        <v>0</v>
      </c>
      <c r="H51" s="16">
        <f>ROUND(G51/2880,2)</f>
        <v>0</v>
      </c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A56" s="30" t="s">
        <v>57</v>
      </c>
      <c r="B56" s="30"/>
      <c r="C56" s="14" t="s">
        <v>2</v>
      </c>
      <c r="D56" s="14">
        <v>2023</v>
      </c>
      <c r="E56" s="14" t="s">
        <v>59</v>
      </c>
      <c r="F56" s="13"/>
      <c r="G56" s="14" t="s">
        <v>60</v>
      </c>
      <c r="H56" s="14" t="s">
        <v>2</v>
      </c>
      <c r="I56" s="12" t="s">
        <v>61</v>
      </c>
      <c r="J56" s="12" t="s">
        <v>59</v>
      </c>
    </row>
    <row r="57" spans="1:10" x14ac:dyDescent="0.25">
      <c r="A57" s="29" t="s">
        <v>58</v>
      </c>
      <c r="B57" s="29"/>
      <c r="C57" s="15">
        <f>ROUND(0.7601, 4)</f>
        <v>0.7601</v>
      </c>
      <c r="D57" s="15">
        <f>ROUND(0.7477, 4)</f>
        <v>0.74770000000000003</v>
      </c>
      <c r="E57" s="15">
        <f>ROUND(0.777, 4)</f>
        <v>0.77700000000000002</v>
      </c>
      <c r="F57" s="8"/>
      <c r="G57" s="20" t="s">
        <v>62</v>
      </c>
      <c r="H57" s="33" t="s">
        <v>63</v>
      </c>
      <c r="I57" s="31" t="s">
        <v>64</v>
      </c>
      <c r="J57" s="31" t="s">
        <v>65</v>
      </c>
    </row>
    <row r="58" spans="1:10" x14ac:dyDescent="0.25">
      <c r="A58" s="29" t="s">
        <v>66</v>
      </c>
      <c r="B58" s="29"/>
      <c r="C58" s="15">
        <f>ROUND(0.7503, 4)</f>
        <v>0.75029999999999997</v>
      </c>
      <c r="D58" s="15">
        <f>ROUND(0.7374, 4)</f>
        <v>0.73740000000000006</v>
      </c>
      <c r="E58" s="15">
        <f>ROUND(0.7608, 4)</f>
        <v>0.76080000000000003</v>
      </c>
      <c r="F58" s="8"/>
      <c r="G58" s="20" t="s">
        <v>67</v>
      </c>
      <c r="H58" s="34"/>
      <c r="I58" s="32"/>
      <c r="J58" s="32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A62" s="30" t="s">
        <v>68</v>
      </c>
      <c r="B62" s="30"/>
      <c r="C62" s="14" t="s">
        <v>2</v>
      </c>
      <c r="D62" s="14" t="s">
        <v>91</v>
      </c>
      <c r="E62" s="14" t="s">
        <v>70</v>
      </c>
      <c r="F62" s="14" t="s">
        <v>71</v>
      </c>
      <c r="G62" s="14" t="s">
        <v>72</v>
      </c>
      <c r="H62" s="13"/>
      <c r="I62" s="17"/>
      <c r="J62" s="17"/>
    </row>
    <row r="63" spans="1:10" x14ac:dyDescent="0.25">
      <c r="A63" s="29" t="s">
        <v>73</v>
      </c>
      <c r="B63" s="29"/>
      <c r="C63" s="16">
        <v>82.21</v>
      </c>
      <c r="D63" s="16">
        <v>82.3</v>
      </c>
      <c r="E63" s="16">
        <v>93.87</v>
      </c>
      <c r="F63" s="16">
        <v>57.16</v>
      </c>
      <c r="G63" s="16">
        <f>12/12*C63</f>
        <v>82.21</v>
      </c>
      <c r="H63" s="8"/>
      <c r="I63" s="9"/>
      <c r="J63" s="9"/>
    </row>
    <row r="64" spans="1:10" x14ac:dyDescent="0.25">
      <c r="A64" s="29" t="s">
        <v>74</v>
      </c>
      <c r="B64" s="29"/>
      <c r="C64" s="16">
        <v>53.48</v>
      </c>
      <c r="D64" s="16">
        <v>56.31</v>
      </c>
      <c r="E64" s="16">
        <v>62.84</v>
      </c>
      <c r="F64" s="16">
        <v>65.39</v>
      </c>
      <c r="G64" s="16">
        <f>12/12*C64</f>
        <v>53.48</v>
      </c>
      <c r="H64" s="8"/>
      <c r="I64" s="9"/>
      <c r="J64" s="9"/>
    </row>
    <row r="65" spans="1:10" x14ac:dyDescent="0.25">
      <c r="A65" s="29" t="s">
        <v>75</v>
      </c>
      <c r="B65" s="29"/>
      <c r="C65" s="16">
        <v>260.95</v>
      </c>
      <c r="D65" s="16">
        <v>275.02</v>
      </c>
      <c r="E65" s="16">
        <v>295.08999999999997</v>
      </c>
      <c r="F65" s="16">
        <v>289.06</v>
      </c>
      <c r="G65" s="16">
        <f>12/12*C65</f>
        <v>260.95</v>
      </c>
      <c r="H65" s="8"/>
      <c r="I65" s="9"/>
      <c r="J65" s="9"/>
    </row>
    <row r="66" spans="1:10" x14ac:dyDescent="0.25">
      <c r="A66" s="29" t="s">
        <v>76</v>
      </c>
      <c r="B66" s="29"/>
      <c r="C66" s="16">
        <v>102.69</v>
      </c>
      <c r="D66" s="16">
        <v>104.27</v>
      </c>
      <c r="E66" s="16">
        <v>118.05</v>
      </c>
      <c r="F66" s="16">
        <v>81.41</v>
      </c>
      <c r="G66" s="16">
        <f>12/12*C66</f>
        <v>102.69</v>
      </c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28" t="s">
        <v>60</v>
      </c>
      <c r="B69" s="35"/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77</v>
      </c>
      <c r="B70" s="1" t="s">
        <v>92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3" t="s">
        <v>70</v>
      </c>
      <c r="B71" s="1" t="s">
        <v>79</v>
      </c>
      <c r="C71" s="8"/>
      <c r="D71" s="8"/>
      <c r="E71" s="8"/>
      <c r="F71" s="8"/>
      <c r="G71" s="8"/>
      <c r="H71" s="8"/>
      <c r="I71" s="9"/>
      <c r="J71" s="9"/>
    </row>
    <row r="72" spans="1:10" x14ac:dyDescent="0.25">
      <c r="A72" s="3" t="s">
        <v>71</v>
      </c>
      <c r="B72" s="1" t="s">
        <v>80</v>
      </c>
      <c r="C72" s="8"/>
      <c r="D72" s="8"/>
      <c r="E72" s="8"/>
      <c r="F72" s="8"/>
      <c r="G72" s="8"/>
      <c r="H72" s="8"/>
      <c r="I72" s="9"/>
      <c r="J72" s="9"/>
    </row>
    <row r="73" spans="1:10" x14ac:dyDescent="0.25">
      <c r="A73" s="3" t="s">
        <v>72</v>
      </c>
      <c r="B73" s="1" t="s">
        <v>81</v>
      </c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  <row r="76" spans="1:10" x14ac:dyDescent="0.25">
      <c r="C76" s="8"/>
      <c r="D76" s="8"/>
      <c r="E76" s="8"/>
      <c r="F76" s="8"/>
      <c r="G76" s="8"/>
      <c r="H76" s="8"/>
      <c r="I76" s="9"/>
      <c r="J76" s="9"/>
    </row>
    <row r="77" spans="1:10" x14ac:dyDescent="0.25">
      <c r="C77" s="8"/>
      <c r="D77" s="8"/>
      <c r="E77" s="8"/>
      <c r="F77" s="8"/>
      <c r="G77" s="8"/>
      <c r="H77" s="8"/>
      <c r="I77" s="9"/>
      <c r="J77" s="9"/>
    </row>
    <row r="78" spans="1:10" x14ac:dyDescent="0.25">
      <c r="C78" s="8"/>
      <c r="D78" s="8"/>
      <c r="E78" s="8"/>
      <c r="F78" s="8"/>
      <c r="G78" s="8"/>
      <c r="H78" s="8"/>
      <c r="I78" s="9"/>
      <c r="J78" s="9"/>
    </row>
    <row r="79" spans="1:10" x14ac:dyDescent="0.25">
      <c r="C79" s="8"/>
      <c r="D79" s="8"/>
      <c r="E79" s="8"/>
      <c r="F79" s="8"/>
      <c r="G79" s="8"/>
      <c r="H79" s="8"/>
      <c r="I79" s="9"/>
      <c r="J79" s="9"/>
    </row>
  </sheetData>
  <mergeCells count="19">
    <mergeCell ref="A64:B64"/>
    <mergeCell ref="A65:B65"/>
    <mergeCell ref="A66:B66"/>
    <mergeCell ref="A69:B69"/>
    <mergeCell ref="I57:I58"/>
    <mergeCell ref="J57:J58"/>
    <mergeCell ref="A58:B58"/>
    <mergeCell ref="A62:B62"/>
    <mergeCell ref="A63:B63"/>
    <mergeCell ref="A50:B50"/>
    <mergeCell ref="A51:B51"/>
    <mergeCell ref="A56:B56"/>
    <mergeCell ref="A57:B57"/>
    <mergeCell ref="H57:H58"/>
    <mergeCell ref="C7:G7"/>
    <mergeCell ref="A42:B42"/>
    <mergeCell ref="A43:B43"/>
    <mergeCell ref="A48:B48"/>
    <mergeCell ref="A49:B4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79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4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93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5150</v>
      </c>
    </row>
    <row r="7" spans="1:10" x14ac:dyDescent="0.25">
      <c r="C7" s="28" t="s">
        <v>5</v>
      </c>
      <c r="D7" s="29"/>
      <c r="E7" s="29"/>
      <c r="F7" s="29"/>
      <c r="G7" s="29"/>
    </row>
    <row r="8" spans="1:10" x14ac:dyDescent="0.25">
      <c r="A8" s="25" t="s">
        <v>6</v>
      </c>
      <c r="B8" s="25" t="s">
        <v>7</v>
      </c>
      <c r="C8" s="27" t="s">
        <v>8</v>
      </c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</row>
    <row r="9" spans="1:10" x14ac:dyDescent="0.25">
      <c r="A9" s="1" t="s">
        <v>48</v>
      </c>
      <c r="B9" s="1" t="s">
        <v>49</v>
      </c>
      <c r="C9" s="10"/>
      <c r="D9" s="10"/>
      <c r="E9" s="10"/>
      <c r="F9" s="10">
        <v>120</v>
      </c>
      <c r="G9" s="10">
        <f t="shared" ref="G9:G47" si="0">SUM(C9:F9)</f>
        <v>120</v>
      </c>
      <c r="H9" s="16">
        <f t="shared" ref="H9:H47" si="1">ROUND(G9/5150,2)</f>
        <v>0.02</v>
      </c>
      <c r="I9" s="15">
        <f t="shared" ref="I9:I47" si="2">ROUND(G9/$G$48,3)</f>
        <v>0</v>
      </c>
      <c r="J9" s="15"/>
    </row>
    <row r="10" spans="1:10" x14ac:dyDescent="0.25">
      <c r="A10" s="1" t="s">
        <v>48</v>
      </c>
      <c r="B10" s="1" t="s">
        <v>50</v>
      </c>
      <c r="C10" s="10"/>
      <c r="D10" s="10"/>
      <c r="E10" s="10"/>
      <c r="F10" s="10">
        <v>280</v>
      </c>
      <c r="G10" s="10">
        <f t="shared" si="0"/>
        <v>280</v>
      </c>
      <c r="H10" s="16">
        <f t="shared" si="1"/>
        <v>0.05</v>
      </c>
      <c r="I10" s="15">
        <f t="shared" si="2"/>
        <v>0</v>
      </c>
      <c r="J10" s="15">
        <f>ROUND(G10/360-1,2)</f>
        <v>-0.22</v>
      </c>
    </row>
    <row r="11" spans="1:10" x14ac:dyDescent="0.25">
      <c r="A11" s="1" t="s">
        <v>48</v>
      </c>
      <c r="B11" s="1" t="s">
        <v>51</v>
      </c>
      <c r="C11" s="10"/>
      <c r="D11" s="10"/>
      <c r="E11" s="10"/>
      <c r="F11" s="10"/>
      <c r="G11" s="10">
        <f t="shared" si="0"/>
        <v>0</v>
      </c>
      <c r="H11" s="16">
        <f t="shared" si="1"/>
        <v>0</v>
      </c>
      <c r="I11" s="15">
        <f t="shared" si="2"/>
        <v>0</v>
      </c>
      <c r="J11" s="15"/>
    </row>
    <row r="12" spans="1:10" x14ac:dyDescent="0.25">
      <c r="A12" s="1" t="s">
        <v>48</v>
      </c>
      <c r="B12" s="1" t="s">
        <v>86</v>
      </c>
      <c r="C12" s="10"/>
      <c r="D12" s="10"/>
      <c r="E12" s="10"/>
      <c r="F12" s="10"/>
      <c r="G12" s="10">
        <f t="shared" si="0"/>
        <v>0</v>
      </c>
      <c r="H12" s="16">
        <f t="shared" si="1"/>
        <v>0</v>
      </c>
      <c r="I12" s="15">
        <f t="shared" si="2"/>
        <v>0</v>
      </c>
      <c r="J12" s="15"/>
    </row>
    <row r="13" spans="1:10" x14ac:dyDescent="0.25">
      <c r="A13" s="1" t="s">
        <v>48</v>
      </c>
      <c r="B13" s="1" t="s">
        <v>94</v>
      </c>
      <c r="C13" s="10"/>
      <c r="D13" s="10"/>
      <c r="E13" s="10"/>
      <c r="F13" s="10"/>
      <c r="G13" s="10">
        <f t="shared" si="0"/>
        <v>0</v>
      </c>
      <c r="H13" s="16">
        <f t="shared" si="1"/>
        <v>0</v>
      </c>
      <c r="I13" s="15">
        <f t="shared" si="2"/>
        <v>0</v>
      </c>
      <c r="J13" s="15"/>
    </row>
    <row r="14" spans="1:10" x14ac:dyDescent="0.25">
      <c r="A14" s="1" t="s">
        <v>16</v>
      </c>
      <c r="B14" s="1" t="s">
        <v>17</v>
      </c>
      <c r="C14" s="10"/>
      <c r="D14" s="10"/>
      <c r="E14" s="10">
        <v>102</v>
      </c>
      <c r="F14" s="10"/>
      <c r="G14" s="10">
        <f t="shared" si="0"/>
        <v>102</v>
      </c>
      <c r="H14" s="16">
        <f t="shared" si="1"/>
        <v>0.02</v>
      </c>
      <c r="I14" s="15">
        <f t="shared" si="2"/>
        <v>0</v>
      </c>
      <c r="J14" s="15">
        <f>ROUND(G14/174-1,2)</f>
        <v>-0.41</v>
      </c>
    </row>
    <row r="15" spans="1:10" x14ac:dyDescent="0.25">
      <c r="A15" s="1" t="s">
        <v>16</v>
      </c>
      <c r="B15" s="1" t="s">
        <v>19</v>
      </c>
      <c r="C15" s="10">
        <v>150270</v>
      </c>
      <c r="D15" s="10"/>
      <c r="E15" s="10">
        <v>17050</v>
      </c>
      <c r="F15" s="10">
        <v>540</v>
      </c>
      <c r="G15" s="10">
        <f t="shared" si="0"/>
        <v>167860</v>
      </c>
      <c r="H15" s="16">
        <f t="shared" si="1"/>
        <v>32.590000000000003</v>
      </c>
      <c r="I15" s="15">
        <f t="shared" si="2"/>
        <v>7.6999999999999999E-2</v>
      </c>
      <c r="J15" s="15">
        <f>ROUND(G15/159780-1,2)</f>
        <v>0.05</v>
      </c>
    </row>
    <row r="16" spans="1:10" x14ac:dyDescent="0.25">
      <c r="A16" s="1" t="s">
        <v>16</v>
      </c>
      <c r="B16" s="1" t="s">
        <v>20</v>
      </c>
      <c r="C16" s="10">
        <v>208420</v>
      </c>
      <c r="D16" s="10"/>
      <c r="E16" s="10"/>
      <c r="F16" s="10"/>
      <c r="G16" s="10">
        <f t="shared" si="0"/>
        <v>208420</v>
      </c>
      <c r="H16" s="16">
        <f t="shared" si="1"/>
        <v>40.47</v>
      </c>
      <c r="I16" s="15">
        <f t="shared" si="2"/>
        <v>9.5000000000000001E-2</v>
      </c>
      <c r="J16" s="15">
        <f>ROUND(G16/229470-1,2)</f>
        <v>-0.09</v>
      </c>
    </row>
    <row r="17" spans="1:10" x14ac:dyDescent="0.25">
      <c r="A17" s="1" t="s">
        <v>16</v>
      </c>
      <c r="B17" s="1" t="s">
        <v>95</v>
      </c>
      <c r="C17" s="10"/>
      <c r="D17" s="10"/>
      <c r="E17" s="10">
        <v>369</v>
      </c>
      <c r="F17" s="10"/>
      <c r="G17" s="10">
        <f t="shared" si="0"/>
        <v>369</v>
      </c>
      <c r="H17" s="16">
        <f t="shared" si="1"/>
        <v>7.0000000000000007E-2</v>
      </c>
      <c r="I17" s="15">
        <f t="shared" si="2"/>
        <v>0</v>
      </c>
      <c r="J17" s="15">
        <f>ROUND(G17/335-1,2)</f>
        <v>0.1</v>
      </c>
    </row>
    <row r="18" spans="1:10" x14ac:dyDescent="0.25">
      <c r="A18" s="1" t="s">
        <v>16</v>
      </c>
      <c r="B18" s="1" t="s">
        <v>21</v>
      </c>
      <c r="C18" s="10"/>
      <c r="D18" s="10"/>
      <c r="E18" s="10">
        <v>577</v>
      </c>
      <c r="F18" s="10"/>
      <c r="G18" s="10">
        <f t="shared" si="0"/>
        <v>577</v>
      </c>
      <c r="H18" s="16">
        <f t="shared" si="1"/>
        <v>0.11</v>
      </c>
      <c r="I18" s="15">
        <f t="shared" si="2"/>
        <v>0</v>
      </c>
      <c r="J18" s="15">
        <f>ROUND(G18/575-1,2)</f>
        <v>0</v>
      </c>
    </row>
    <row r="19" spans="1:10" x14ac:dyDescent="0.25">
      <c r="A19" s="1" t="s">
        <v>16</v>
      </c>
      <c r="B19" s="1" t="s">
        <v>22</v>
      </c>
      <c r="C19" s="10"/>
      <c r="D19" s="10"/>
      <c r="E19" s="10">
        <v>4200</v>
      </c>
      <c r="F19" s="10"/>
      <c r="G19" s="10">
        <f t="shared" si="0"/>
        <v>4200</v>
      </c>
      <c r="H19" s="16">
        <f t="shared" si="1"/>
        <v>0.82</v>
      </c>
      <c r="I19" s="15">
        <f t="shared" si="2"/>
        <v>2E-3</v>
      </c>
      <c r="J19" s="15">
        <f>ROUND(G19/4300-1,2)</f>
        <v>-0.02</v>
      </c>
    </row>
    <row r="20" spans="1:10" x14ac:dyDescent="0.25">
      <c r="A20" s="1" t="s">
        <v>16</v>
      </c>
      <c r="B20" s="1" t="s">
        <v>96</v>
      </c>
      <c r="C20" s="10"/>
      <c r="D20" s="10"/>
      <c r="E20" s="10"/>
      <c r="F20" s="10">
        <v>319</v>
      </c>
      <c r="G20" s="10">
        <f t="shared" si="0"/>
        <v>319</v>
      </c>
      <c r="H20" s="16">
        <f t="shared" si="1"/>
        <v>0.06</v>
      </c>
      <c r="I20" s="15">
        <f t="shared" si="2"/>
        <v>0</v>
      </c>
      <c r="J20" s="15"/>
    </row>
    <row r="21" spans="1:10" x14ac:dyDescent="0.25">
      <c r="A21" s="1" t="s">
        <v>16</v>
      </c>
      <c r="B21" s="1" t="s">
        <v>97</v>
      </c>
      <c r="C21" s="10"/>
      <c r="D21" s="10"/>
      <c r="E21" s="10"/>
      <c r="F21" s="10">
        <v>54</v>
      </c>
      <c r="G21" s="10">
        <f t="shared" si="0"/>
        <v>54</v>
      </c>
      <c r="H21" s="16">
        <f t="shared" si="1"/>
        <v>0.01</v>
      </c>
      <c r="I21" s="15">
        <f t="shared" si="2"/>
        <v>0</v>
      </c>
      <c r="J21" s="15"/>
    </row>
    <row r="22" spans="1:10" x14ac:dyDescent="0.25">
      <c r="A22" s="1" t="s">
        <v>16</v>
      </c>
      <c r="B22" s="1" t="s">
        <v>98</v>
      </c>
      <c r="C22" s="10"/>
      <c r="D22" s="10"/>
      <c r="E22" s="10"/>
      <c r="F22" s="10">
        <v>820</v>
      </c>
      <c r="G22" s="10">
        <f t="shared" si="0"/>
        <v>820</v>
      </c>
      <c r="H22" s="16">
        <f t="shared" si="1"/>
        <v>0.16</v>
      </c>
      <c r="I22" s="15">
        <f t="shared" si="2"/>
        <v>0</v>
      </c>
      <c r="J22" s="15">
        <f>ROUND(G22/215-1,2)</f>
        <v>2.81</v>
      </c>
    </row>
    <row r="23" spans="1:10" x14ac:dyDescent="0.25">
      <c r="A23" s="1" t="s">
        <v>16</v>
      </c>
      <c r="B23" s="1" t="s">
        <v>23</v>
      </c>
      <c r="C23" s="10"/>
      <c r="D23" s="10"/>
      <c r="E23" s="10">
        <v>211540</v>
      </c>
      <c r="F23" s="10"/>
      <c r="G23" s="10">
        <f t="shared" si="0"/>
        <v>211540</v>
      </c>
      <c r="H23" s="16">
        <f t="shared" si="1"/>
        <v>41.08</v>
      </c>
      <c r="I23" s="15">
        <f t="shared" si="2"/>
        <v>9.7000000000000003E-2</v>
      </c>
      <c r="J23" s="15">
        <f>ROUND(G23/288343-1,2)</f>
        <v>-0.27</v>
      </c>
    </row>
    <row r="24" spans="1:10" x14ac:dyDescent="0.25">
      <c r="A24" s="1" t="s">
        <v>16</v>
      </c>
      <c r="B24" s="1" t="s">
        <v>24</v>
      </c>
      <c r="C24" s="10">
        <v>181100</v>
      </c>
      <c r="D24" s="10"/>
      <c r="E24" s="10">
        <v>32940</v>
      </c>
      <c r="F24" s="10">
        <v>500</v>
      </c>
      <c r="G24" s="10">
        <f t="shared" si="0"/>
        <v>214540</v>
      </c>
      <c r="H24" s="16">
        <f t="shared" si="1"/>
        <v>41.66</v>
      </c>
      <c r="I24" s="15">
        <f t="shared" si="2"/>
        <v>9.8000000000000004E-2</v>
      </c>
      <c r="J24" s="15">
        <f>ROUND(G24/217870-1,2)</f>
        <v>-0.02</v>
      </c>
    </row>
    <row r="25" spans="1:10" x14ac:dyDescent="0.25">
      <c r="A25" s="1" t="s">
        <v>16</v>
      </c>
      <c r="B25" s="1" t="s">
        <v>25</v>
      </c>
      <c r="C25" s="10"/>
      <c r="D25" s="10"/>
      <c r="E25" s="10">
        <v>11630</v>
      </c>
      <c r="F25" s="10"/>
      <c r="G25" s="10">
        <f t="shared" si="0"/>
        <v>11630</v>
      </c>
      <c r="H25" s="16">
        <f t="shared" si="1"/>
        <v>2.2599999999999998</v>
      </c>
      <c r="I25" s="15">
        <f t="shared" si="2"/>
        <v>5.0000000000000001E-3</v>
      </c>
      <c r="J25" s="15">
        <f>ROUND(G25/13430-1,2)</f>
        <v>-0.13</v>
      </c>
    </row>
    <row r="26" spans="1:10" x14ac:dyDescent="0.25">
      <c r="A26" s="1" t="s">
        <v>16</v>
      </c>
      <c r="B26" s="1" t="s">
        <v>26</v>
      </c>
      <c r="C26" s="10">
        <v>255850</v>
      </c>
      <c r="D26" s="10"/>
      <c r="E26" s="10"/>
      <c r="F26" s="10">
        <v>890</v>
      </c>
      <c r="G26" s="10">
        <f t="shared" si="0"/>
        <v>256740</v>
      </c>
      <c r="H26" s="16">
        <f t="shared" si="1"/>
        <v>49.85</v>
      </c>
      <c r="I26" s="15">
        <f t="shared" si="2"/>
        <v>0.11700000000000001</v>
      </c>
      <c r="J26" s="15">
        <f>ROUND(G26/253210-1,2)</f>
        <v>0.01</v>
      </c>
    </row>
    <row r="27" spans="1:10" x14ac:dyDescent="0.25">
      <c r="A27" s="1" t="s">
        <v>16</v>
      </c>
      <c r="B27" s="1" t="s">
        <v>27</v>
      </c>
      <c r="C27" s="10"/>
      <c r="D27" s="10"/>
      <c r="E27" s="10">
        <v>2794</v>
      </c>
      <c r="F27" s="10"/>
      <c r="G27" s="10">
        <f t="shared" si="0"/>
        <v>2794</v>
      </c>
      <c r="H27" s="16">
        <f t="shared" si="1"/>
        <v>0.54</v>
      </c>
      <c r="I27" s="15">
        <f t="shared" si="2"/>
        <v>1E-3</v>
      </c>
      <c r="J27" s="15">
        <f>ROUND(G27/2801-1,2)</f>
        <v>0</v>
      </c>
    </row>
    <row r="28" spans="1:10" x14ac:dyDescent="0.25">
      <c r="A28" s="1" t="s">
        <v>16</v>
      </c>
      <c r="B28" s="1" t="s">
        <v>28</v>
      </c>
      <c r="C28" s="10"/>
      <c r="D28" s="10"/>
      <c r="E28" s="10">
        <v>2383</v>
      </c>
      <c r="F28" s="10"/>
      <c r="G28" s="10">
        <f t="shared" si="0"/>
        <v>2383</v>
      </c>
      <c r="H28" s="16">
        <f t="shared" si="1"/>
        <v>0.46</v>
      </c>
      <c r="I28" s="15">
        <f t="shared" si="2"/>
        <v>1E-3</v>
      </c>
      <c r="J28" s="15">
        <f>ROUND(G28/2112-1,2)</f>
        <v>0.13</v>
      </c>
    </row>
    <row r="29" spans="1:10" x14ac:dyDescent="0.25">
      <c r="A29" s="1" t="s">
        <v>16</v>
      </c>
      <c r="B29" s="1" t="s">
        <v>29</v>
      </c>
      <c r="C29" s="10"/>
      <c r="D29" s="10"/>
      <c r="E29" s="10">
        <v>4540</v>
      </c>
      <c r="F29" s="10"/>
      <c r="G29" s="10">
        <f t="shared" si="0"/>
        <v>4540</v>
      </c>
      <c r="H29" s="16">
        <f t="shared" si="1"/>
        <v>0.88</v>
      </c>
      <c r="I29" s="15">
        <f t="shared" si="2"/>
        <v>2E-3</v>
      </c>
      <c r="J29" s="15">
        <f>ROUND(G29/13510-1,2)</f>
        <v>-0.66</v>
      </c>
    </row>
    <row r="30" spans="1:10" x14ac:dyDescent="0.25">
      <c r="A30" s="1" t="s">
        <v>16</v>
      </c>
      <c r="B30" s="1" t="s">
        <v>30</v>
      </c>
      <c r="C30" s="10"/>
      <c r="D30" s="10"/>
      <c r="E30" s="10">
        <v>2080</v>
      </c>
      <c r="F30" s="10"/>
      <c r="G30" s="10">
        <f t="shared" si="0"/>
        <v>2080</v>
      </c>
      <c r="H30" s="16">
        <f t="shared" si="1"/>
        <v>0.4</v>
      </c>
      <c r="I30" s="15">
        <f t="shared" si="2"/>
        <v>1E-3</v>
      </c>
      <c r="J30" s="15">
        <f>ROUND(G30/2230-1,2)</f>
        <v>-7.0000000000000007E-2</v>
      </c>
    </row>
    <row r="31" spans="1:10" x14ac:dyDescent="0.25">
      <c r="A31" s="1" t="s">
        <v>16</v>
      </c>
      <c r="B31" s="1" t="s">
        <v>31</v>
      </c>
      <c r="C31" s="10"/>
      <c r="D31" s="10"/>
      <c r="E31" s="10">
        <v>1650</v>
      </c>
      <c r="F31" s="10"/>
      <c r="G31" s="10">
        <f t="shared" si="0"/>
        <v>1650</v>
      </c>
      <c r="H31" s="16">
        <f t="shared" si="1"/>
        <v>0.32</v>
      </c>
      <c r="I31" s="15">
        <f t="shared" si="2"/>
        <v>1E-3</v>
      </c>
      <c r="J31" s="15">
        <f>ROUND(G31/2230-1,2)</f>
        <v>-0.26</v>
      </c>
    </row>
    <row r="32" spans="1:10" x14ac:dyDescent="0.25">
      <c r="A32" s="1" t="s">
        <v>16</v>
      </c>
      <c r="B32" s="1" t="s">
        <v>32</v>
      </c>
      <c r="C32" s="10"/>
      <c r="D32" s="10"/>
      <c r="E32" s="10">
        <v>5228</v>
      </c>
      <c r="F32" s="10"/>
      <c r="G32" s="10">
        <f t="shared" si="0"/>
        <v>5228</v>
      </c>
      <c r="H32" s="16">
        <f t="shared" si="1"/>
        <v>1.02</v>
      </c>
      <c r="I32" s="15">
        <f t="shared" si="2"/>
        <v>2E-3</v>
      </c>
      <c r="J32" s="15">
        <f>ROUND(G32/3905-1,2)</f>
        <v>0.34</v>
      </c>
    </row>
    <row r="33" spans="1:10" x14ac:dyDescent="0.25">
      <c r="A33" s="1" t="s">
        <v>16</v>
      </c>
      <c r="B33" s="1" t="s">
        <v>33</v>
      </c>
      <c r="C33" s="10"/>
      <c r="D33" s="10">
        <v>358</v>
      </c>
      <c r="E33" s="10">
        <v>82</v>
      </c>
      <c r="F33" s="10"/>
      <c r="G33" s="10">
        <f t="shared" si="0"/>
        <v>440</v>
      </c>
      <c r="H33" s="16">
        <f t="shared" si="1"/>
        <v>0.09</v>
      </c>
      <c r="I33" s="15">
        <f t="shared" si="2"/>
        <v>0</v>
      </c>
      <c r="J33" s="15">
        <f>ROUND(G33/448-1,2)</f>
        <v>-0.02</v>
      </c>
    </row>
    <row r="34" spans="1:10" x14ac:dyDescent="0.25">
      <c r="A34" s="1" t="s">
        <v>16</v>
      </c>
      <c r="B34" s="1" t="s">
        <v>35</v>
      </c>
      <c r="C34" s="10"/>
      <c r="D34" s="10"/>
      <c r="E34" s="10">
        <v>310</v>
      </c>
      <c r="F34" s="10"/>
      <c r="G34" s="10">
        <f t="shared" si="0"/>
        <v>310</v>
      </c>
      <c r="H34" s="16">
        <f t="shared" si="1"/>
        <v>0.06</v>
      </c>
      <c r="I34" s="15">
        <f t="shared" si="2"/>
        <v>0</v>
      </c>
      <c r="J34" s="15">
        <f>ROUND(G34/1553-1,2)</f>
        <v>-0.8</v>
      </c>
    </row>
    <row r="35" spans="1:10" x14ac:dyDescent="0.25">
      <c r="A35" s="1" t="s">
        <v>16</v>
      </c>
      <c r="B35" s="1" t="s">
        <v>37</v>
      </c>
      <c r="C35" s="10"/>
      <c r="D35" s="10"/>
      <c r="E35" s="10">
        <v>6400</v>
      </c>
      <c r="F35" s="10"/>
      <c r="G35" s="10">
        <f t="shared" si="0"/>
        <v>6400</v>
      </c>
      <c r="H35" s="16">
        <f t="shared" si="1"/>
        <v>1.24</v>
      </c>
      <c r="I35" s="15">
        <f t="shared" si="2"/>
        <v>3.0000000000000001E-3</v>
      </c>
      <c r="J35" s="15">
        <f>ROUND(G35/10210-1,2)</f>
        <v>-0.37</v>
      </c>
    </row>
    <row r="36" spans="1:10" x14ac:dyDescent="0.25">
      <c r="A36" s="1" t="s">
        <v>16</v>
      </c>
      <c r="B36" s="1" t="s">
        <v>43</v>
      </c>
      <c r="C36" s="10"/>
      <c r="D36" s="10"/>
      <c r="E36" s="10">
        <v>8345</v>
      </c>
      <c r="F36" s="10"/>
      <c r="G36" s="10">
        <f t="shared" si="0"/>
        <v>8345</v>
      </c>
      <c r="H36" s="16">
        <f t="shared" si="1"/>
        <v>1.62</v>
      </c>
      <c r="I36" s="15">
        <f t="shared" si="2"/>
        <v>4.0000000000000001E-3</v>
      </c>
      <c r="J36" s="15">
        <f>ROUND(G36/18240-1,2)</f>
        <v>-0.54</v>
      </c>
    </row>
    <row r="37" spans="1:10" x14ac:dyDescent="0.25">
      <c r="A37" s="1" t="s">
        <v>16</v>
      </c>
      <c r="B37" s="1" t="s">
        <v>38</v>
      </c>
      <c r="C37" s="10"/>
      <c r="D37" s="10"/>
      <c r="E37" s="10">
        <v>223340</v>
      </c>
      <c r="F37" s="10"/>
      <c r="G37" s="10">
        <f t="shared" si="0"/>
        <v>223340</v>
      </c>
      <c r="H37" s="16">
        <f t="shared" si="1"/>
        <v>43.37</v>
      </c>
      <c r="I37" s="15">
        <f t="shared" si="2"/>
        <v>0.10199999999999999</v>
      </c>
      <c r="J37" s="15">
        <f>ROUND(G37/202310-1,2)</f>
        <v>0.1</v>
      </c>
    </row>
    <row r="38" spans="1:10" x14ac:dyDescent="0.25">
      <c r="A38" s="1" t="s">
        <v>16</v>
      </c>
      <c r="B38" s="1" t="s">
        <v>39</v>
      </c>
      <c r="C38" s="10"/>
      <c r="D38" s="10"/>
      <c r="E38" s="10">
        <v>17105</v>
      </c>
      <c r="F38" s="10"/>
      <c r="G38" s="10">
        <f t="shared" si="0"/>
        <v>17105</v>
      </c>
      <c r="H38" s="16">
        <f t="shared" si="1"/>
        <v>3.32</v>
      </c>
      <c r="I38" s="15">
        <f t="shared" si="2"/>
        <v>8.0000000000000002E-3</v>
      </c>
      <c r="J38" s="15">
        <f>ROUND(G38/16835-1,2)</f>
        <v>0.02</v>
      </c>
    </row>
    <row r="39" spans="1:10" x14ac:dyDescent="0.25">
      <c r="A39" s="1" t="s">
        <v>16</v>
      </c>
      <c r="B39" s="1" t="s">
        <v>40</v>
      </c>
      <c r="C39" s="10"/>
      <c r="D39" s="10"/>
      <c r="E39" s="10">
        <v>46860</v>
      </c>
      <c r="F39" s="10"/>
      <c r="G39" s="10">
        <f t="shared" si="0"/>
        <v>46860</v>
      </c>
      <c r="H39" s="16">
        <f t="shared" si="1"/>
        <v>9.1</v>
      </c>
      <c r="I39" s="15">
        <f t="shared" si="2"/>
        <v>2.1000000000000001E-2</v>
      </c>
      <c r="J39" s="15">
        <f>ROUND(G39/35040-1,2)</f>
        <v>0.34</v>
      </c>
    </row>
    <row r="40" spans="1:10" x14ac:dyDescent="0.25">
      <c r="A40" s="1" t="s">
        <v>16</v>
      </c>
      <c r="B40" s="1" t="s">
        <v>41</v>
      </c>
      <c r="C40" s="10"/>
      <c r="D40" s="10"/>
      <c r="E40" s="10">
        <v>342290</v>
      </c>
      <c r="F40" s="10">
        <v>200</v>
      </c>
      <c r="G40" s="10">
        <f t="shared" si="0"/>
        <v>342490</v>
      </c>
      <c r="H40" s="16">
        <f t="shared" si="1"/>
        <v>66.5</v>
      </c>
      <c r="I40" s="15">
        <f t="shared" si="2"/>
        <v>0.157</v>
      </c>
      <c r="J40" s="15">
        <f>ROUND(G40/320800-1,2)</f>
        <v>7.0000000000000007E-2</v>
      </c>
    </row>
    <row r="41" spans="1:10" x14ac:dyDescent="0.25">
      <c r="A41" s="1" t="s">
        <v>16</v>
      </c>
      <c r="B41" s="1" t="s">
        <v>42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>
        <f>ROUND(G41/357-1,2)</f>
        <v>-1</v>
      </c>
    </row>
    <row r="42" spans="1:10" x14ac:dyDescent="0.25">
      <c r="A42" s="1" t="s">
        <v>16</v>
      </c>
      <c r="B42" s="1" t="s">
        <v>34</v>
      </c>
      <c r="C42" s="10"/>
      <c r="D42" s="10"/>
      <c r="E42" s="10"/>
      <c r="F42" s="10"/>
      <c r="G42" s="10">
        <f t="shared" si="0"/>
        <v>0</v>
      </c>
      <c r="H42" s="16">
        <f t="shared" si="1"/>
        <v>0</v>
      </c>
      <c r="I42" s="15">
        <f t="shared" si="2"/>
        <v>0</v>
      </c>
      <c r="J42" s="15">
        <f>ROUND(G42/600-1,2)</f>
        <v>-1</v>
      </c>
    </row>
    <row r="43" spans="1:10" x14ac:dyDescent="0.25">
      <c r="A43" s="1" t="s">
        <v>16</v>
      </c>
      <c r="B43" s="1" t="s">
        <v>36</v>
      </c>
      <c r="C43" s="10"/>
      <c r="D43" s="10"/>
      <c r="E43" s="10"/>
      <c r="F43" s="10"/>
      <c r="G43" s="10">
        <f t="shared" si="0"/>
        <v>0</v>
      </c>
      <c r="H43" s="16">
        <f t="shared" si="1"/>
        <v>0</v>
      </c>
      <c r="I43" s="15">
        <f t="shared" si="2"/>
        <v>0</v>
      </c>
      <c r="J43" s="15">
        <f>ROUND(G43/6669-1,2)</f>
        <v>-1</v>
      </c>
    </row>
    <row r="44" spans="1:10" x14ac:dyDescent="0.25">
      <c r="A44" s="1" t="s">
        <v>16</v>
      </c>
      <c r="B44" s="1" t="s">
        <v>99</v>
      </c>
      <c r="C44" s="10"/>
      <c r="D44" s="10"/>
      <c r="E44" s="10"/>
      <c r="F44" s="10"/>
      <c r="G44" s="10">
        <f t="shared" si="0"/>
        <v>0</v>
      </c>
      <c r="H44" s="16">
        <f t="shared" si="1"/>
        <v>0</v>
      </c>
      <c r="I44" s="15">
        <f t="shared" si="2"/>
        <v>0</v>
      </c>
      <c r="J44" s="15"/>
    </row>
    <row r="45" spans="1:10" x14ac:dyDescent="0.25">
      <c r="A45" s="1" t="s">
        <v>44</v>
      </c>
      <c r="B45" s="1" t="s">
        <v>45</v>
      </c>
      <c r="C45" s="10">
        <v>274950</v>
      </c>
      <c r="D45" s="10"/>
      <c r="E45" s="10"/>
      <c r="F45" s="10">
        <v>1360</v>
      </c>
      <c r="G45" s="10">
        <f t="shared" si="0"/>
        <v>276310</v>
      </c>
      <c r="H45" s="16">
        <f t="shared" si="1"/>
        <v>53.65</v>
      </c>
      <c r="I45" s="15">
        <f t="shared" si="2"/>
        <v>0.126</v>
      </c>
      <c r="J45" s="15">
        <f>ROUND(G45/275530-1,2)</f>
        <v>0</v>
      </c>
    </row>
    <row r="46" spans="1:10" x14ac:dyDescent="0.25">
      <c r="A46" s="1" t="s">
        <v>44</v>
      </c>
      <c r="B46" s="1" t="s">
        <v>47</v>
      </c>
      <c r="C46" s="10"/>
      <c r="D46" s="10"/>
      <c r="E46" s="10">
        <v>11400</v>
      </c>
      <c r="F46" s="10">
        <v>22820</v>
      </c>
      <c r="G46" s="10">
        <f t="shared" si="0"/>
        <v>34220</v>
      </c>
      <c r="H46" s="16">
        <f t="shared" si="1"/>
        <v>6.64</v>
      </c>
      <c r="I46" s="15">
        <f t="shared" si="2"/>
        <v>1.6E-2</v>
      </c>
      <c r="J46" s="15">
        <f>ROUND(G46/67300-1,2)</f>
        <v>-0.49</v>
      </c>
    </row>
    <row r="47" spans="1:10" x14ac:dyDescent="0.25">
      <c r="A47" s="1" t="s">
        <v>44</v>
      </c>
      <c r="B47" s="1" t="s">
        <v>46</v>
      </c>
      <c r="C47" s="10"/>
      <c r="D47" s="10"/>
      <c r="E47" s="10">
        <v>133990</v>
      </c>
      <c r="F47" s="10"/>
      <c r="G47" s="10">
        <f t="shared" si="0"/>
        <v>133990</v>
      </c>
      <c r="H47" s="16">
        <f t="shared" si="1"/>
        <v>26.02</v>
      </c>
      <c r="I47" s="15">
        <f t="shared" si="2"/>
        <v>6.0999999999999999E-2</v>
      </c>
      <c r="J47" s="15">
        <f>ROUND(G47/134760-1,2)</f>
        <v>-0.01</v>
      </c>
    </row>
    <row r="48" spans="1:10" x14ac:dyDescent="0.25">
      <c r="A48" s="30" t="s">
        <v>12</v>
      </c>
      <c r="B48" s="30"/>
      <c r="C48" s="11">
        <f t="shared" ref="C48:H48" si="3">SUM(C8:C47)</f>
        <v>1070590</v>
      </c>
      <c r="D48" s="11">
        <f t="shared" si="3"/>
        <v>358</v>
      </c>
      <c r="E48" s="11">
        <f t="shared" si="3"/>
        <v>1087205</v>
      </c>
      <c r="F48" s="11">
        <f t="shared" si="3"/>
        <v>27903</v>
      </c>
      <c r="G48" s="11">
        <f t="shared" si="3"/>
        <v>2186056</v>
      </c>
      <c r="H48" s="14">
        <f t="shared" si="3"/>
        <v>424.46</v>
      </c>
      <c r="I48" s="17"/>
      <c r="J48" s="17"/>
    </row>
    <row r="49" spans="1:10" x14ac:dyDescent="0.25">
      <c r="A49" s="30" t="s">
        <v>14</v>
      </c>
      <c r="B49" s="30"/>
      <c r="C49" s="12">
        <f>ROUND(C48/G48,2)</f>
        <v>0.49</v>
      </c>
      <c r="D49" s="12">
        <f>ROUND(D48/G48,2)</f>
        <v>0</v>
      </c>
      <c r="E49" s="12">
        <f>ROUND(E48/G48,2)</f>
        <v>0.5</v>
      </c>
      <c r="F49" s="12">
        <f>ROUND(F48/G48,2)</f>
        <v>0.01</v>
      </c>
      <c r="G49" s="13"/>
      <c r="H49" s="13"/>
      <c r="I49" s="17"/>
      <c r="J49" s="17"/>
    </row>
    <row r="50" spans="1:10" x14ac:dyDescent="0.25">
      <c r="A50" s="2" t="s">
        <v>52</v>
      </c>
      <c r="B50" s="2"/>
      <c r="C50" s="13"/>
      <c r="D50" s="13"/>
      <c r="E50" s="13"/>
      <c r="F50" s="13"/>
      <c r="G50" s="13"/>
      <c r="H50" s="13"/>
      <c r="I50" s="17"/>
      <c r="J50" s="17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A54" s="30" t="s">
        <v>53</v>
      </c>
      <c r="B54" s="30"/>
      <c r="C54" s="11" t="s">
        <v>8</v>
      </c>
      <c r="D54" s="11" t="s">
        <v>9</v>
      </c>
      <c r="E54" s="11" t="s">
        <v>10</v>
      </c>
      <c r="F54" s="11" t="s">
        <v>11</v>
      </c>
      <c r="G54" s="11" t="s">
        <v>12</v>
      </c>
      <c r="H54" s="14" t="s">
        <v>13</v>
      </c>
      <c r="I54" s="17"/>
      <c r="J54" s="17"/>
    </row>
    <row r="55" spans="1:10" x14ac:dyDescent="0.25">
      <c r="A55" s="29" t="s">
        <v>54</v>
      </c>
      <c r="B55" s="29"/>
      <c r="C55" s="10">
        <v>795640</v>
      </c>
      <c r="D55" s="10">
        <v>358</v>
      </c>
      <c r="E55" s="10">
        <v>941815</v>
      </c>
      <c r="F55" s="10">
        <v>3323</v>
      </c>
      <c r="G55" s="10">
        <f>SUM(C55:F55)</f>
        <v>1741136</v>
      </c>
      <c r="H55" s="16">
        <f>ROUND(G55/5150,2)</f>
        <v>338.08</v>
      </c>
      <c r="I55" s="9"/>
      <c r="J55" s="9"/>
    </row>
    <row r="56" spans="1:10" x14ac:dyDescent="0.25">
      <c r="A56" s="29" t="s">
        <v>55</v>
      </c>
      <c r="B56" s="29"/>
      <c r="C56" s="10">
        <v>274950</v>
      </c>
      <c r="D56" s="10">
        <v>0</v>
      </c>
      <c r="E56" s="10">
        <v>145390</v>
      </c>
      <c r="F56" s="10">
        <v>24180</v>
      </c>
      <c r="G56" s="10">
        <f>SUM(C56:F56)</f>
        <v>444520</v>
      </c>
      <c r="H56" s="16">
        <f>ROUND(G56/5150,2)</f>
        <v>86.31</v>
      </c>
      <c r="I56" s="9"/>
      <c r="J56" s="9"/>
    </row>
    <row r="57" spans="1:10" x14ac:dyDescent="0.25">
      <c r="A57" s="29" t="s">
        <v>56</v>
      </c>
      <c r="B57" s="29"/>
      <c r="C57" s="10">
        <v>0</v>
      </c>
      <c r="D57" s="10">
        <v>0</v>
      </c>
      <c r="E57" s="10">
        <v>0</v>
      </c>
      <c r="F57" s="10">
        <v>400</v>
      </c>
      <c r="G57" s="23">
        <f>SUM(C57:F57)</f>
        <v>400</v>
      </c>
      <c r="H57" s="16">
        <f>ROUND(G57/5150,2)</f>
        <v>0.08</v>
      </c>
      <c r="I57" s="9"/>
      <c r="J57" s="9"/>
    </row>
    <row r="58" spans="1:10" x14ac:dyDescent="0.25">
      <c r="C58" s="8"/>
      <c r="D58" s="8"/>
      <c r="E58" s="8"/>
      <c r="F58" s="8"/>
      <c r="G58" s="21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A62" s="30" t="s">
        <v>57</v>
      </c>
      <c r="B62" s="30"/>
      <c r="C62" s="14" t="s">
        <v>2</v>
      </c>
      <c r="D62" s="14">
        <v>2023</v>
      </c>
      <c r="E62" s="14" t="s">
        <v>59</v>
      </c>
      <c r="F62" s="13"/>
      <c r="G62" s="14" t="s">
        <v>60</v>
      </c>
      <c r="H62" s="14" t="s">
        <v>2</v>
      </c>
      <c r="I62" s="12" t="s">
        <v>61</v>
      </c>
      <c r="J62" s="12" t="s">
        <v>59</v>
      </c>
    </row>
    <row r="63" spans="1:10" x14ac:dyDescent="0.25">
      <c r="A63" s="29" t="s">
        <v>58</v>
      </c>
      <c r="B63" s="29"/>
      <c r="C63" s="15">
        <f>ROUND(0.8527, 4)</f>
        <v>0.85270000000000001</v>
      </c>
      <c r="D63" s="15">
        <f>ROUND(0.8502, 4)</f>
        <v>0.85019999999999996</v>
      </c>
      <c r="E63" s="15">
        <f>ROUND(0.777, 4)</f>
        <v>0.77700000000000002</v>
      </c>
      <c r="F63" s="8"/>
      <c r="G63" s="14" t="s">
        <v>62</v>
      </c>
      <c r="H63" s="33" t="s">
        <v>63</v>
      </c>
      <c r="I63" s="31" t="s">
        <v>64</v>
      </c>
      <c r="J63" s="31" t="s">
        <v>65</v>
      </c>
    </row>
    <row r="64" spans="1:10" x14ac:dyDescent="0.25">
      <c r="A64" s="29" t="s">
        <v>66</v>
      </c>
      <c r="B64" s="29"/>
      <c r="C64" s="15">
        <f>ROUND(0.8418, 4)</f>
        <v>0.84179999999999999</v>
      </c>
      <c r="D64" s="15">
        <f>ROUND(0.8398, 4)</f>
        <v>0.83979999999999999</v>
      </c>
      <c r="E64" s="15">
        <f>ROUND(0.7608, 4)</f>
        <v>0.76080000000000003</v>
      </c>
      <c r="F64" s="8"/>
      <c r="G64" s="14" t="s">
        <v>67</v>
      </c>
      <c r="H64" s="34"/>
      <c r="I64" s="32"/>
      <c r="J64" s="32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0" t="s">
        <v>68</v>
      </c>
      <c r="B68" s="30"/>
      <c r="C68" s="14" t="s">
        <v>2</v>
      </c>
      <c r="D68" s="14" t="s">
        <v>100</v>
      </c>
      <c r="E68" s="14" t="s">
        <v>70</v>
      </c>
      <c r="F68" s="14" t="s">
        <v>71</v>
      </c>
      <c r="G68" s="14" t="s">
        <v>72</v>
      </c>
      <c r="H68" s="13"/>
      <c r="I68" s="17"/>
      <c r="J68" s="17"/>
    </row>
    <row r="69" spans="1:10" x14ac:dyDescent="0.25">
      <c r="A69" s="29" t="s">
        <v>73</v>
      </c>
      <c r="B69" s="29"/>
      <c r="C69" s="16">
        <v>53.65</v>
      </c>
      <c r="D69" s="16">
        <v>51.13</v>
      </c>
      <c r="E69" s="16">
        <v>93.87</v>
      </c>
      <c r="F69" s="16">
        <v>57.16</v>
      </c>
      <c r="G69" s="16">
        <f>12/12*C69</f>
        <v>53.65</v>
      </c>
      <c r="H69" s="8"/>
      <c r="I69" s="9"/>
      <c r="J69" s="9"/>
    </row>
    <row r="70" spans="1:10" x14ac:dyDescent="0.25">
      <c r="A70" s="29" t="s">
        <v>74</v>
      </c>
      <c r="B70" s="29"/>
      <c r="C70" s="16">
        <v>49.85</v>
      </c>
      <c r="D70" s="16">
        <v>49.41</v>
      </c>
      <c r="E70" s="16">
        <v>62.84</v>
      </c>
      <c r="F70" s="16">
        <v>65.39</v>
      </c>
      <c r="G70" s="16">
        <f>12/12*C70</f>
        <v>49.85</v>
      </c>
      <c r="H70" s="8"/>
      <c r="I70" s="9"/>
      <c r="J70" s="9"/>
    </row>
    <row r="71" spans="1:10" x14ac:dyDescent="0.25">
      <c r="A71" s="29" t="s">
        <v>75</v>
      </c>
      <c r="B71" s="29"/>
      <c r="C71" s="16">
        <v>341.2</v>
      </c>
      <c r="D71" s="16">
        <v>332.93</v>
      </c>
      <c r="E71" s="16">
        <v>295.08999999999997</v>
      </c>
      <c r="F71" s="16">
        <v>289.06</v>
      </c>
      <c r="G71" s="16">
        <f>12/12*C71</f>
        <v>341.2</v>
      </c>
      <c r="H71" s="8"/>
      <c r="I71" s="9"/>
      <c r="J71" s="9"/>
    </row>
    <row r="72" spans="1:10" x14ac:dyDescent="0.25">
      <c r="A72" s="29" t="s">
        <v>76</v>
      </c>
      <c r="B72" s="29"/>
      <c r="C72" s="16">
        <v>86.31</v>
      </c>
      <c r="D72" s="16">
        <v>87.07</v>
      </c>
      <c r="E72" s="16">
        <v>118.05</v>
      </c>
      <c r="F72" s="16">
        <v>81.41</v>
      </c>
      <c r="G72" s="16">
        <f>12/12*C72</f>
        <v>86.31</v>
      </c>
      <c r="H72" s="8"/>
      <c r="I72" s="9"/>
      <c r="J72" s="9"/>
    </row>
    <row r="75" spans="1:10" x14ac:dyDescent="0.25">
      <c r="A75" s="28" t="s">
        <v>60</v>
      </c>
      <c r="B75" s="35"/>
    </row>
    <row r="76" spans="1:10" x14ac:dyDescent="0.25">
      <c r="A76" s="3" t="s">
        <v>77</v>
      </c>
      <c r="B76" s="1" t="s">
        <v>101</v>
      </c>
    </row>
    <row r="77" spans="1:10" x14ac:dyDescent="0.25">
      <c r="A77" s="3" t="s">
        <v>70</v>
      </c>
      <c r="B77" s="1" t="s">
        <v>79</v>
      </c>
    </row>
    <row r="78" spans="1:10" x14ac:dyDescent="0.25">
      <c r="A78" s="3" t="s">
        <v>71</v>
      </c>
      <c r="B78" s="1" t="s">
        <v>80</v>
      </c>
    </row>
    <row r="79" spans="1:10" x14ac:dyDescent="0.25">
      <c r="A79" s="3" t="s">
        <v>72</v>
      </c>
      <c r="B79" s="1" t="s">
        <v>81</v>
      </c>
    </row>
  </sheetData>
  <mergeCells count="19">
    <mergeCell ref="A70:B70"/>
    <mergeCell ref="A71:B71"/>
    <mergeCell ref="A72:B72"/>
    <mergeCell ref="A75:B75"/>
    <mergeCell ref="I63:I64"/>
    <mergeCell ref="J63:J64"/>
    <mergeCell ref="A64:B64"/>
    <mergeCell ref="A68:B68"/>
    <mergeCell ref="A69:B69"/>
    <mergeCell ref="A56:B56"/>
    <mergeCell ref="A57:B57"/>
    <mergeCell ref="A62:B62"/>
    <mergeCell ref="A63:B63"/>
    <mergeCell ref="H63:H64"/>
    <mergeCell ref="C7:G7"/>
    <mergeCell ref="A48:B48"/>
    <mergeCell ref="A49:B49"/>
    <mergeCell ref="A54:B54"/>
    <mergeCell ref="A55:B5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J72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3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102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2345</v>
      </c>
    </row>
    <row r="7" spans="1:10" x14ac:dyDescent="0.25">
      <c r="C7" s="28" t="s">
        <v>5</v>
      </c>
      <c r="D7" s="29"/>
      <c r="E7" s="29"/>
      <c r="F7" s="29"/>
      <c r="G7" s="29"/>
    </row>
    <row r="8" spans="1:10" x14ac:dyDescent="0.25">
      <c r="A8" s="25" t="s">
        <v>6</v>
      </c>
      <c r="B8" s="25" t="s">
        <v>7</v>
      </c>
      <c r="C8" s="27" t="s">
        <v>8</v>
      </c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10</v>
      </c>
      <c r="F9" s="10"/>
      <c r="G9" s="10">
        <f t="shared" ref="G9:G40" si="0">SUM(C9:F9)</f>
        <v>10</v>
      </c>
      <c r="H9" s="16">
        <f t="shared" ref="H9:H40" si="1">ROUND(G9/2345,2)</f>
        <v>0</v>
      </c>
      <c r="I9" s="15">
        <f t="shared" ref="I9:I40" si="2">ROUND(G9/$G$41,3)</f>
        <v>0</v>
      </c>
      <c r="J9" s="15">
        <f>ROUND(G9/35-1,2)</f>
        <v>-0.71</v>
      </c>
    </row>
    <row r="10" spans="1:10" x14ac:dyDescent="0.25">
      <c r="A10" s="1" t="s">
        <v>16</v>
      </c>
      <c r="B10" s="1" t="s">
        <v>19</v>
      </c>
      <c r="C10" s="10">
        <v>87550</v>
      </c>
      <c r="D10" s="10"/>
      <c r="E10" s="10"/>
      <c r="F10" s="10">
        <v>380</v>
      </c>
      <c r="G10" s="10">
        <f t="shared" si="0"/>
        <v>87930</v>
      </c>
      <c r="H10" s="16">
        <f t="shared" si="1"/>
        <v>37.5</v>
      </c>
      <c r="I10" s="15">
        <f t="shared" si="2"/>
        <v>0.1</v>
      </c>
      <c r="J10" s="15">
        <f>ROUND(G10/85520-1,2)</f>
        <v>0.03</v>
      </c>
    </row>
    <row r="11" spans="1:10" x14ac:dyDescent="0.25">
      <c r="A11" s="1" t="s">
        <v>16</v>
      </c>
      <c r="B11" s="1" t="s">
        <v>20</v>
      </c>
      <c r="C11" s="10">
        <v>93690</v>
      </c>
      <c r="D11" s="10"/>
      <c r="E11" s="10"/>
      <c r="F11" s="10"/>
      <c r="G11" s="10">
        <f t="shared" si="0"/>
        <v>93690</v>
      </c>
      <c r="H11" s="16">
        <f t="shared" si="1"/>
        <v>39.950000000000003</v>
      </c>
      <c r="I11" s="15">
        <f t="shared" si="2"/>
        <v>0.106</v>
      </c>
      <c r="J11" s="15">
        <f>ROUND(G11/101940-1,2)</f>
        <v>-0.08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62</v>
      </c>
      <c r="F12" s="10"/>
      <c r="G12" s="10">
        <f t="shared" si="0"/>
        <v>62</v>
      </c>
      <c r="H12" s="16">
        <f t="shared" si="1"/>
        <v>0.03</v>
      </c>
      <c r="I12" s="15">
        <f t="shared" si="2"/>
        <v>0</v>
      </c>
      <c r="J12" s="15">
        <f>ROUND(G12/76-1,2)</f>
        <v>-0.18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335</v>
      </c>
      <c r="F13" s="10"/>
      <c r="G13" s="10">
        <f t="shared" si="0"/>
        <v>335</v>
      </c>
      <c r="H13" s="16">
        <f t="shared" si="1"/>
        <v>0.14000000000000001</v>
      </c>
      <c r="I13" s="15">
        <f t="shared" si="2"/>
        <v>0</v>
      </c>
      <c r="J13" s="15">
        <f>ROUND(G13/277-1,2)</f>
        <v>0.21</v>
      </c>
    </row>
    <row r="14" spans="1:10" x14ac:dyDescent="0.25">
      <c r="A14" s="1" t="s">
        <v>16</v>
      </c>
      <c r="B14" s="1" t="s">
        <v>22</v>
      </c>
      <c r="C14" s="10"/>
      <c r="D14" s="10"/>
      <c r="E14" s="10">
        <v>800</v>
      </c>
      <c r="F14" s="10"/>
      <c r="G14" s="10">
        <f t="shared" si="0"/>
        <v>800</v>
      </c>
      <c r="H14" s="16">
        <f t="shared" si="1"/>
        <v>0.34</v>
      </c>
      <c r="I14" s="15">
        <f t="shared" si="2"/>
        <v>1E-3</v>
      </c>
      <c r="J14" s="15">
        <f>ROUND(G14/1600-1,2)</f>
        <v>-0.5</v>
      </c>
    </row>
    <row r="15" spans="1:10" x14ac:dyDescent="0.25">
      <c r="A15" s="1" t="s">
        <v>16</v>
      </c>
      <c r="B15" s="1" t="s">
        <v>23</v>
      </c>
      <c r="C15" s="10"/>
      <c r="D15" s="10"/>
      <c r="E15" s="10">
        <v>45040</v>
      </c>
      <c r="F15" s="10"/>
      <c r="G15" s="10">
        <f t="shared" si="0"/>
        <v>45040</v>
      </c>
      <c r="H15" s="16">
        <f t="shared" si="1"/>
        <v>19.21</v>
      </c>
      <c r="I15" s="15">
        <f t="shared" si="2"/>
        <v>5.0999999999999997E-2</v>
      </c>
      <c r="J15" s="15">
        <f>ROUND(G15/48140-1,2)</f>
        <v>-0.06</v>
      </c>
    </row>
    <row r="16" spans="1:10" x14ac:dyDescent="0.25">
      <c r="A16" s="1" t="s">
        <v>16</v>
      </c>
      <c r="B16" s="1" t="s">
        <v>24</v>
      </c>
      <c r="C16" s="10">
        <v>98600</v>
      </c>
      <c r="D16" s="10"/>
      <c r="E16" s="10">
        <v>12660</v>
      </c>
      <c r="F16" s="10">
        <v>470</v>
      </c>
      <c r="G16" s="10">
        <f t="shared" si="0"/>
        <v>111730</v>
      </c>
      <c r="H16" s="16">
        <f t="shared" si="1"/>
        <v>47.65</v>
      </c>
      <c r="I16" s="15">
        <f t="shared" si="2"/>
        <v>0.127</v>
      </c>
      <c r="J16" s="15">
        <f>ROUND(G16/116780-1,2)</f>
        <v>-0.04</v>
      </c>
    </row>
    <row r="17" spans="1:10" x14ac:dyDescent="0.25">
      <c r="A17" s="1" t="s">
        <v>16</v>
      </c>
      <c r="B17" s="1" t="s">
        <v>25</v>
      </c>
      <c r="C17" s="10"/>
      <c r="D17" s="10"/>
      <c r="E17" s="10">
        <v>3290</v>
      </c>
      <c r="F17" s="10"/>
      <c r="G17" s="10">
        <f t="shared" si="0"/>
        <v>3290</v>
      </c>
      <c r="H17" s="16">
        <f t="shared" si="1"/>
        <v>1.4</v>
      </c>
      <c r="I17" s="15">
        <f t="shared" si="2"/>
        <v>4.0000000000000001E-3</v>
      </c>
      <c r="J17" s="15">
        <f>ROUND(G17/3180-1,2)</f>
        <v>0.03</v>
      </c>
    </row>
    <row r="18" spans="1:10" x14ac:dyDescent="0.25">
      <c r="A18" s="1" t="s">
        <v>16</v>
      </c>
      <c r="B18" s="1" t="s">
        <v>26</v>
      </c>
      <c r="C18" s="10">
        <v>160170</v>
      </c>
      <c r="D18" s="10"/>
      <c r="E18" s="10"/>
      <c r="F18" s="10">
        <v>830</v>
      </c>
      <c r="G18" s="10">
        <f t="shared" si="0"/>
        <v>161000</v>
      </c>
      <c r="H18" s="16">
        <f t="shared" si="1"/>
        <v>68.66</v>
      </c>
      <c r="I18" s="15">
        <f t="shared" si="2"/>
        <v>0.183</v>
      </c>
      <c r="J18" s="15">
        <f>ROUND(G18/167340-1,2)</f>
        <v>-0.04</v>
      </c>
    </row>
    <row r="19" spans="1:10" x14ac:dyDescent="0.25">
      <c r="A19" s="1" t="s">
        <v>16</v>
      </c>
      <c r="B19" s="1" t="s">
        <v>27</v>
      </c>
      <c r="C19" s="10"/>
      <c r="D19" s="10"/>
      <c r="E19" s="10">
        <v>1630</v>
      </c>
      <c r="F19" s="10"/>
      <c r="G19" s="10">
        <f t="shared" si="0"/>
        <v>1630</v>
      </c>
      <c r="H19" s="16">
        <f t="shared" si="1"/>
        <v>0.7</v>
      </c>
      <c r="I19" s="15">
        <f t="shared" si="2"/>
        <v>2E-3</v>
      </c>
      <c r="J19" s="15">
        <f>ROUND(G19/1156-1,2)</f>
        <v>0.41</v>
      </c>
    </row>
    <row r="20" spans="1:10" x14ac:dyDescent="0.25">
      <c r="A20" s="1" t="s">
        <v>16</v>
      </c>
      <c r="B20" s="1" t="s">
        <v>28</v>
      </c>
      <c r="C20" s="10"/>
      <c r="D20" s="10"/>
      <c r="E20" s="10">
        <v>1150</v>
      </c>
      <c r="F20" s="10"/>
      <c r="G20" s="10">
        <f t="shared" si="0"/>
        <v>1150</v>
      </c>
      <c r="H20" s="16">
        <f t="shared" si="1"/>
        <v>0.49</v>
      </c>
      <c r="I20" s="15">
        <f t="shared" si="2"/>
        <v>1E-3</v>
      </c>
      <c r="J20" s="15">
        <f>ROUND(G20/438-1,2)</f>
        <v>1.63</v>
      </c>
    </row>
    <row r="21" spans="1:10" x14ac:dyDescent="0.25">
      <c r="A21" s="1" t="s">
        <v>16</v>
      </c>
      <c r="B21" s="1" t="s">
        <v>29</v>
      </c>
      <c r="C21" s="10"/>
      <c r="D21" s="10"/>
      <c r="E21" s="10">
        <v>1060</v>
      </c>
      <c r="F21" s="10"/>
      <c r="G21" s="10">
        <f t="shared" si="0"/>
        <v>1060</v>
      </c>
      <c r="H21" s="16">
        <f t="shared" si="1"/>
        <v>0.45</v>
      </c>
      <c r="I21" s="15">
        <f t="shared" si="2"/>
        <v>1E-3</v>
      </c>
      <c r="J21" s="15">
        <f>ROUND(G21/3870-1,2)</f>
        <v>-0.73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1260</v>
      </c>
      <c r="F22" s="10"/>
      <c r="G22" s="10">
        <f t="shared" si="0"/>
        <v>1260</v>
      </c>
      <c r="H22" s="16">
        <f t="shared" si="1"/>
        <v>0.54</v>
      </c>
      <c r="I22" s="15">
        <f t="shared" si="2"/>
        <v>1E-3</v>
      </c>
      <c r="J22" s="15">
        <f>ROUND(G22/960-1,2)</f>
        <v>0.31</v>
      </c>
    </row>
    <row r="23" spans="1:10" x14ac:dyDescent="0.25">
      <c r="A23" s="1" t="s">
        <v>16</v>
      </c>
      <c r="B23" s="1" t="s">
        <v>32</v>
      </c>
      <c r="C23" s="10"/>
      <c r="D23" s="10"/>
      <c r="E23" s="10">
        <v>1481</v>
      </c>
      <c r="F23" s="10"/>
      <c r="G23" s="10">
        <f t="shared" si="0"/>
        <v>1481</v>
      </c>
      <c r="H23" s="16">
        <f t="shared" si="1"/>
        <v>0.63</v>
      </c>
      <c r="I23" s="15">
        <f t="shared" si="2"/>
        <v>2E-3</v>
      </c>
      <c r="J23" s="15">
        <f>ROUND(G23/1860-1,2)</f>
        <v>-0.2</v>
      </c>
    </row>
    <row r="24" spans="1:10" x14ac:dyDescent="0.25">
      <c r="A24" s="1" t="s">
        <v>16</v>
      </c>
      <c r="B24" s="1" t="s">
        <v>33</v>
      </c>
      <c r="C24" s="10"/>
      <c r="D24" s="10">
        <v>276</v>
      </c>
      <c r="E24" s="10">
        <v>53</v>
      </c>
      <c r="F24" s="10"/>
      <c r="G24" s="10">
        <f t="shared" si="0"/>
        <v>329</v>
      </c>
      <c r="H24" s="16">
        <f t="shared" si="1"/>
        <v>0.14000000000000001</v>
      </c>
      <c r="I24" s="15">
        <f t="shared" si="2"/>
        <v>0</v>
      </c>
      <c r="J24" s="15">
        <f>ROUND(G24/359-1,2)</f>
        <v>-0.08</v>
      </c>
    </row>
    <row r="25" spans="1:10" x14ac:dyDescent="0.25">
      <c r="A25" s="1" t="s">
        <v>16</v>
      </c>
      <c r="B25" s="1" t="s">
        <v>34</v>
      </c>
      <c r="C25" s="10"/>
      <c r="D25" s="10"/>
      <c r="E25" s="10">
        <v>200</v>
      </c>
      <c r="F25" s="10"/>
      <c r="G25" s="10">
        <f t="shared" si="0"/>
        <v>200</v>
      </c>
      <c r="H25" s="16">
        <f t="shared" si="1"/>
        <v>0.09</v>
      </c>
      <c r="I25" s="15">
        <f t="shared" si="2"/>
        <v>0</v>
      </c>
      <c r="J25" s="15">
        <f>ROUND(G25/600-1,2)</f>
        <v>-0.67</v>
      </c>
    </row>
    <row r="26" spans="1:10" x14ac:dyDescent="0.25">
      <c r="A26" s="1" t="s">
        <v>16</v>
      </c>
      <c r="B26" s="1" t="s">
        <v>35</v>
      </c>
      <c r="C26" s="10"/>
      <c r="D26" s="10"/>
      <c r="E26" s="10">
        <v>240</v>
      </c>
      <c r="F26" s="10"/>
      <c r="G26" s="10">
        <f t="shared" si="0"/>
        <v>240</v>
      </c>
      <c r="H26" s="16">
        <f t="shared" si="1"/>
        <v>0.1</v>
      </c>
      <c r="I26" s="15">
        <f t="shared" si="2"/>
        <v>0</v>
      </c>
      <c r="J26" s="15">
        <f>ROUND(G26/314-1,2)</f>
        <v>-0.24</v>
      </c>
    </row>
    <row r="27" spans="1:10" x14ac:dyDescent="0.25">
      <c r="A27" s="1" t="s">
        <v>16</v>
      </c>
      <c r="B27" s="1" t="s">
        <v>37</v>
      </c>
      <c r="C27" s="10"/>
      <c r="D27" s="10"/>
      <c r="E27" s="10">
        <v>2070</v>
      </c>
      <c r="F27" s="10"/>
      <c r="G27" s="10">
        <f t="shared" si="0"/>
        <v>2070</v>
      </c>
      <c r="H27" s="16">
        <f t="shared" si="1"/>
        <v>0.88</v>
      </c>
      <c r="I27" s="15">
        <f t="shared" si="2"/>
        <v>2E-3</v>
      </c>
      <c r="J27" s="15">
        <f>ROUND(G27/4450-1,2)</f>
        <v>-0.53</v>
      </c>
    </row>
    <row r="28" spans="1:10" x14ac:dyDescent="0.25">
      <c r="A28" s="1" t="s">
        <v>16</v>
      </c>
      <c r="B28" s="1" t="s">
        <v>38</v>
      </c>
      <c r="C28" s="10"/>
      <c r="D28" s="10"/>
      <c r="E28" s="10">
        <v>70275</v>
      </c>
      <c r="F28" s="10"/>
      <c r="G28" s="10">
        <f t="shared" si="0"/>
        <v>70275</v>
      </c>
      <c r="H28" s="16">
        <f t="shared" si="1"/>
        <v>29.97</v>
      </c>
      <c r="I28" s="15">
        <f t="shared" si="2"/>
        <v>0.08</v>
      </c>
      <c r="J28" s="15">
        <f>ROUND(G28/61310-1,2)</f>
        <v>0.15</v>
      </c>
    </row>
    <row r="29" spans="1:10" x14ac:dyDescent="0.25">
      <c r="A29" s="1" t="s">
        <v>16</v>
      </c>
      <c r="B29" s="1" t="s">
        <v>39</v>
      </c>
      <c r="C29" s="10"/>
      <c r="D29" s="10"/>
      <c r="E29" s="10">
        <v>6150</v>
      </c>
      <c r="F29" s="10"/>
      <c r="G29" s="10">
        <f t="shared" si="0"/>
        <v>6150</v>
      </c>
      <c r="H29" s="16">
        <f t="shared" si="1"/>
        <v>2.62</v>
      </c>
      <c r="I29" s="15">
        <f t="shared" si="2"/>
        <v>7.0000000000000001E-3</v>
      </c>
      <c r="J29" s="15">
        <f>ROUND(G29/6575-1,2)</f>
        <v>-0.06</v>
      </c>
    </row>
    <row r="30" spans="1:10" x14ac:dyDescent="0.25">
      <c r="A30" s="1" t="s">
        <v>16</v>
      </c>
      <c r="B30" s="1" t="s">
        <v>40</v>
      </c>
      <c r="C30" s="10"/>
      <c r="D30" s="10"/>
      <c r="E30" s="10">
        <v>18950</v>
      </c>
      <c r="F30" s="10"/>
      <c r="G30" s="10">
        <f t="shared" si="0"/>
        <v>18950</v>
      </c>
      <c r="H30" s="16">
        <f t="shared" si="1"/>
        <v>8.08</v>
      </c>
      <c r="I30" s="15">
        <f t="shared" si="2"/>
        <v>2.1999999999999999E-2</v>
      </c>
      <c r="J30" s="15">
        <f>ROUND(G30/17340-1,2)</f>
        <v>0.09</v>
      </c>
    </row>
    <row r="31" spans="1:10" x14ac:dyDescent="0.25">
      <c r="A31" s="1" t="s">
        <v>16</v>
      </c>
      <c r="B31" s="1" t="s">
        <v>41</v>
      </c>
      <c r="C31" s="10"/>
      <c r="D31" s="10"/>
      <c r="E31" s="10">
        <v>77500</v>
      </c>
      <c r="F31" s="10"/>
      <c r="G31" s="10">
        <f t="shared" si="0"/>
        <v>77500</v>
      </c>
      <c r="H31" s="16">
        <f t="shared" si="1"/>
        <v>33.049999999999997</v>
      </c>
      <c r="I31" s="15">
        <f t="shared" si="2"/>
        <v>8.7999999999999995E-2</v>
      </c>
      <c r="J31" s="15">
        <f>ROUND(G31/91490-1,2)</f>
        <v>-0.15</v>
      </c>
    </row>
    <row r="32" spans="1:10" x14ac:dyDescent="0.25">
      <c r="A32" s="1" t="s">
        <v>16</v>
      </c>
      <c r="B32" s="1" t="s">
        <v>36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>
        <f>ROUND(G32/4490-1,2)</f>
        <v>-1</v>
      </c>
    </row>
    <row r="33" spans="1:10" x14ac:dyDescent="0.25">
      <c r="A33" s="1" t="s">
        <v>16</v>
      </c>
      <c r="B33" s="1" t="s">
        <v>43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>
        <f>ROUND(G33/7680-1,2)</f>
        <v>-1</v>
      </c>
    </row>
    <row r="34" spans="1:10" x14ac:dyDescent="0.25">
      <c r="A34" s="1" t="s">
        <v>16</v>
      </c>
      <c r="B34" s="1" t="s">
        <v>42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ROUND(G34/239-1,2)</f>
        <v>-1</v>
      </c>
    </row>
    <row r="35" spans="1:10" x14ac:dyDescent="0.25">
      <c r="A35" s="1" t="s">
        <v>16</v>
      </c>
      <c r="B35" s="1" t="s">
        <v>98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>
        <f>ROUND(G35/160-1,2)</f>
        <v>-1</v>
      </c>
    </row>
    <row r="36" spans="1:10" x14ac:dyDescent="0.25">
      <c r="A36" s="1" t="s">
        <v>44</v>
      </c>
      <c r="B36" s="1" t="s">
        <v>45</v>
      </c>
      <c r="C36" s="10">
        <v>126280</v>
      </c>
      <c r="D36" s="10"/>
      <c r="E36" s="10"/>
      <c r="F36" s="10">
        <v>640</v>
      </c>
      <c r="G36" s="10">
        <f t="shared" si="0"/>
        <v>126920</v>
      </c>
      <c r="H36" s="16">
        <f t="shared" si="1"/>
        <v>54.12</v>
      </c>
      <c r="I36" s="15">
        <f t="shared" si="2"/>
        <v>0.14399999999999999</v>
      </c>
      <c r="J36" s="15">
        <f>ROUND(G36/114780-1,2)</f>
        <v>0.11</v>
      </c>
    </row>
    <row r="37" spans="1:10" x14ac:dyDescent="0.25">
      <c r="A37" s="1" t="s">
        <v>44</v>
      </c>
      <c r="B37" s="1" t="s">
        <v>47</v>
      </c>
      <c r="C37" s="10"/>
      <c r="D37" s="10"/>
      <c r="E37" s="10"/>
      <c r="F37" s="10">
        <v>15240</v>
      </c>
      <c r="G37" s="10">
        <f t="shared" si="0"/>
        <v>15240</v>
      </c>
      <c r="H37" s="16">
        <f t="shared" si="1"/>
        <v>6.5</v>
      </c>
      <c r="I37" s="15">
        <f t="shared" si="2"/>
        <v>1.7000000000000001E-2</v>
      </c>
      <c r="J37" s="15">
        <f>ROUND(G37/19540-1,2)</f>
        <v>-0.22</v>
      </c>
    </row>
    <row r="38" spans="1:10" x14ac:dyDescent="0.25">
      <c r="A38" s="1" t="s">
        <v>44</v>
      </c>
      <c r="B38" s="1" t="s">
        <v>46</v>
      </c>
      <c r="C38" s="10"/>
      <c r="D38" s="10"/>
      <c r="E38" s="10">
        <v>51410</v>
      </c>
      <c r="F38" s="10"/>
      <c r="G38" s="10">
        <f t="shared" si="0"/>
        <v>51410</v>
      </c>
      <c r="H38" s="16">
        <f t="shared" si="1"/>
        <v>21.92</v>
      </c>
      <c r="I38" s="15">
        <f t="shared" si="2"/>
        <v>5.8000000000000003E-2</v>
      </c>
      <c r="J38" s="15">
        <f>ROUND(G38/46800-1,2)</f>
        <v>0.1</v>
      </c>
    </row>
    <row r="39" spans="1:10" x14ac:dyDescent="0.25">
      <c r="A39" s="1" t="s">
        <v>48</v>
      </c>
      <c r="B39" s="1" t="s">
        <v>51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1" t="s">
        <v>48</v>
      </c>
      <c r="B40" s="1" t="s">
        <v>86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/>
    </row>
    <row r="41" spans="1:10" x14ac:dyDescent="0.25">
      <c r="A41" s="30" t="s">
        <v>12</v>
      </c>
      <c r="B41" s="30"/>
      <c r="C41" s="11">
        <f t="shared" ref="C41:H41" si="3">SUM(C8:C40)</f>
        <v>566290</v>
      </c>
      <c r="D41" s="11">
        <f t="shared" si="3"/>
        <v>276</v>
      </c>
      <c r="E41" s="11">
        <f t="shared" si="3"/>
        <v>295626</v>
      </c>
      <c r="F41" s="11">
        <f t="shared" si="3"/>
        <v>17560</v>
      </c>
      <c r="G41" s="11">
        <f t="shared" si="3"/>
        <v>879752</v>
      </c>
      <c r="H41" s="14">
        <f t="shared" si="3"/>
        <v>375.16</v>
      </c>
      <c r="I41" s="17"/>
      <c r="J41" s="17"/>
    </row>
    <row r="42" spans="1:10" x14ac:dyDescent="0.25">
      <c r="A42" s="30" t="s">
        <v>14</v>
      </c>
      <c r="B42" s="30"/>
      <c r="C42" s="12">
        <f>ROUND(C41/G41,2)</f>
        <v>0.64</v>
      </c>
      <c r="D42" s="12">
        <f>ROUND(D41/G41,2)</f>
        <v>0</v>
      </c>
      <c r="E42" s="12">
        <f>ROUND(E41/G41,2)</f>
        <v>0.34</v>
      </c>
      <c r="F42" s="12">
        <f>ROUND(F41/G41,2)</f>
        <v>0.02</v>
      </c>
      <c r="G42" s="13"/>
      <c r="H42" s="13"/>
      <c r="I42" s="17"/>
      <c r="J42" s="17"/>
    </row>
    <row r="43" spans="1:10" x14ac:dyDescent="0.25">
      <c r="A43" s="2" t="s">
        <v>52</v>
      </c>
      <c r="B43" s="2"/>
      <c r="C43" s="13"/>
      <c r="D43" s="13"/>
      <c r="E43" s="13"/>
      <c r="F43" s="13"/>
      <c r="G43" s="13"/>
      <c r="H43" s="13"/>
      <c r="I43" s="17"/>
      <c r="J43" s="17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A47" s="30" t="s">
        <v>53</v>
      </c>
      <c r="B47" s="30"/>
      <c r="C47" s="11" t="s">
        <v>8</v>
      </c>
      <c r="D47" s="11" t="s">
        <v>9</v>
      </c>
      <c r="E47" s="11" t="s">
        <v>10</v>
      </c>
      <c r="F47" s="11" t="s">
        <v>11</v>
      </c>
      <c r="G47" s="11" t="s">
        <v>12</v>
      </c>
      <c r="H47" s="14" t="s">
        <v>13</v>
      </c>
      <c r="I47" s="17"/>
      <c r="J47" s="17"/>
    </row>
    <row r="48" spans="1:10" x14ac:dyDescent="0.25">
      <c r="A48" s="29" t="s">
        <v>54</v>
      </c>
      <c r="B48" s="29"/>
      <c r="C48" s="10">
        <v>440010</v>
      </c>
      <c r="D48" s="10">
        <v>276</v>
      </c>
      <c r="E48" s="10">
        <v>244216</v>
      </c>
      <c r="F48" s="10">
        <v>1680</v>
      </c>
      <c r="G48" s="10">
        <f>SUM(C48:F48)</f>
        <v>686182</v>
      </c>
      <c r="H48" s="16">
        <f>ROUND(G48/2345,2)</f>
        <v>292.61</v>
      </c>
      <c r="I48" s="9"/>
      <c r="J48" s="9"/>
    </row>
    <row r="49" spans="1:10" x14ac:dyDescent="0.25">
      <c r="A49" s="29" t="s">
        <v>55</v>
      </c>
      <c r="B49" s="29"/>
      <c r="C49" s="10">
        <v>126280</v>
      </c>
      <c r="D49" s="10">
        <v>0</v>
      </c>
      <c r="E49" s="10">
        <v>51410</v>
      </c>
      <c r="F49" s="10">
        <v>15880</v>
      </c>
      <c r="G49" s="10">
        <f>SUM(C49:F49)</f>
        <v>193570</v>
      </c>
      <c r="H49" s="16">
        <f>ROUND(G49/2345,2)</f>
        <v>82.55</v>
      </c>
      <c r="I49" s="9"/>
      <c r="J49" s="9"/>
    </row>
    <row r="50" spans="1:10" x14ac:dyDescent="0.25">
      <c r="A50" s="29" t="s">
        <v>56</v>
      </c>
      <c r="B50" s="29"/>
      <c r="C50" s="10">
        <v>0</v>
      </c>
      <c r="D50" s="10">
        <v>0</v>
      </c>
      <c r="E50" s="10">
        <v>0</v>
      </c>
      <c r="F50" s="10">
        <v>0</v>
      </c>
      <c r="G50" s="10">
        <f>SUM(C50:F50)</f>
        <v>0</v>
      </c>
      <c r="H50" s="16">
        <f>ROUND(G50/2345,2)</f>
        <v>0</v>
      </c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A55" s="30" t="s">
        <v>57</v>
      </c>
      <c r="B55" s="30"/>
      <c r="C55" s="14" t="s">
        <v>2</v>
      </c>
      <c r="D55" s="14">
        <v>2023</v>
      </c>
      <c r="E55" s="14" t="s">
        <v>59</v>
      </c>
      <c r="F55" s="13"/>
      <c r="G55" s="14" t="s">
        <v>60</v>
      </c>
      <c r="H55" s="14" t="s">
        <v>2</v>
      </c>
      <c r="I55" s="12" t="s">
        <v>61</v>
      </c>
      <c r="J55" s="12" t="s">
        <v>59</v>
      </c>
    </row>
    <row r="56" spans="1:10" x14ac:dyDescent="0.25">
      <c r="A56" s="29" t="s">
        <v>58</v>
      </c>
      <c r="B56" s="29"/>
      <c r="C56" s="15">
        <f>ROUND(0.8392, 4)</f>
        <v>0.83919999999999995</v>
      </c>
      <c r="D56" s="15">
        <f>ROUND(0.8574, 4)</f>
        <v>0.85740000000000005</v>
      </c>
      <c r="E56" s="15">
        <f>ROUND(0.777, 4)</f>
        <v>0.77700000000000002</v>
      </c>
      <c r="F56" s="8"/>
      <c r="G56" s="14" t="s">
        <v>62</v>
      </c>
      <c r="H56" s="33" t="s">
        <v>63</v>
      </c>
      <c r="I56" s="31" t="s">
        <v>64</v>
      </c>
      <c r="J56" s="31" t="s">
        <v>65</v>
      </c>
    </row>
    <row r="57" spans="1:10" x14ac:dyDescent="0.25">
      <c r="A57" s="29" t="s">
        <v>66</v>
      </c>
      <c r="B57" s="29"/>
      <c r="C57" s="15">
        <f>ROUND(0.8257, 4)</f>
        <v>0.82569999999999999</v>
      </c>
      <c r="D57" s="15">
        <f>ROUND(0.8445, 4)</f>
        <v>0.84450000000000003</v>
      </c>
      <c r="E57" s="15">
        <f>ROUND(0.7608, 4)</f>
        <v>0.76080000000000003</v>
      </c>
      <c r="F57" s="8"/>
      <c r="G57" s="20" t="s">
        <v>67</v>
      </c>
      <c r="H57" s="34"/>
      <c r="I57" s="32"/>
      <c r="J57" s="32"/>
    </row>
    <row r="58" spans="1:10" x14ac:dyDescent="0.25">
      <c r="C58" s="8"/>
      <c r="D58" s="8"/>
      <c r="E58" s="8"/>
      <c r="F58" s="8"/>
      <c r="G58" s="21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A61" s="30" t="s">
        <v>68</v>
      </c>
      <c r="B61" s="30"/>
      <c r="C61" s="14" t="s">
        <v>2</v>
      </c>
      <c r="D61" s="14" t="s">
        <v>103</v>
      </c>
      <c r="E61" s="14" t="s">
        <v>70</v>
      </c>
      <c r="F61" s="14" t="s">
        <v>71</v>
      </c>
      <c r="G61" s="14" t="s">
        <v>72</v>
      </c>
      <c r="H61" s="13"/>
      <c r="I61" s="17"/>
      <c r="J61" s="17"/>
    </row>
    <row r="62" spans="1:10" x14ac:dyDescent="0.25">
      <c r="A62" s="29" t="s">
        <v>73</v>
      </c>
      <c r="B62" s="29"/>
      <c r="C62" s="16">
        <v>54.12</v>
      </c>
      <c r="D62" s="16">
        <v>78.52</v>
      </c>
      <c r="E62" s="16">
        <v>93.87</v>
      </c>
      <c r="F62" s="16">
        <v>57.16</v>
      </c>
      <c r="G62" s="16">
        <f>12/12*C62</f>
        <v>54.12</v>
      </c>
      <c r="H62" s="8"/>
      <c r="I62" s="9"/>
      <c r="J62" s="9"/>
    </row>
    <row r="63" spans="1:10" x14ac:dyDescent="0.25">
      <c r="A63" s="29" t="s">
        <v>74</v>
      </c>
      <c r="B63" s="29"/>
      <c r="C63" s="16">
        <v>68.66</v>
      </c>
      <c r="D63" s="16">
        <v>67.959999999999994</v>
      </c>
      <c r="E63" s="16">
        <v>62.84</v>
      </c>
      <c r="F63" s="16">
        <v>65.39</v>
      </c>
      <c r="G63" s="16">
        <f>12/12*C63</f>
        <v>68.66</v>
      </c>
      <c r="H63" s="8"/>
      <c r="I63" s="9"/>
      <c r="J63" s="9"/>
    </row>
    <row r="64" spans="1:10" x14ac:dyDescent="0.25">
      <c r="A64" s="29" t="s">
        <v>75</v>
      </c>
      <c r="B64" s="29"/>
      <c r="C64" s="16">
        <v>292.61</v>
      </c>
      <c r="D64" s="16">
        <v>285.97000000000003</v>
      </c>
      <c r="E64" s="16">
        <v>295.08999999999997</v>
      </c>
      <c r="F64" s="16">
        <v>289.06</v>
      </c>
      <c r="G64" s="16">
        <f>12/12*C64</f>
        <v>292.61</v>
      </c>
      <c r="H64" s="8"/>
      <c r="I64" s="9"/>
      <c r="J64" s="9"/>
    </row>
    <row r="65" spans="1:10" x14ac:dyDescent="0.25">
      <c r="A65" s="29" t="s">
        <v>76</v>
      </c>
      <c r="B65" s="29"/>
      <c r="C65" s="16">
        <v>82.55</v>
      </c>
      <c r="D65" s="16">
        <v>105.91</v>
      </c>
      <c r="E65" s="16">
        <v>118.05</v>
      </c>
      <c r="F65" s="16">
        <v>81.41</v>
      </c>
      <c r="G65" s="16">
        <f>12/12*C65</f>
        <v>82.55</v>
      </c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28" t="s">
        <v>60</v>
      </c>
      <c r="B68" s="35"/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77</v>
      </c>
      <c r="B69" s="1" t="s">
        <v>104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70</v>
      </c>
      <c r="B70" s="1" t="s">
        <v>79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3" t="s">
        <v>71</v>
      </c>
      <c r="B71" s="1" t="s">
        <v>80</v>
      </c>
      <c r="C71" s="8"/>
      <c r="D71" s="8"/>
      <c r="E71" s="8"/>
      <c r="F71" s="8"/>
      <c r="G71" s="8"/>
      <c r="H71" s="8"/>
      <c r="I71" s="9"/>
      <c r="J71" s="9"/>
    </row>
    <row r="72" spans="1:10" x14ac:dyDescent="0.25">
      <c r="A72" s="3" t="s">
        <v>72</v>
      </c>
      <c r="B72" s="1" t="s">
        <v>81</v>
      </c>
    </row>
  </sheetData>
  <mergeCells count="19">
    <mergeCell ref="A63:B63"/>
    <mergeCell ref="A64:B64"/>
    <mergeCell ref="A65:B65"/>
    <mergeCell ref="A68:B68"/>
    <mergeCell ref="I56:I57"/>
    <mergeCell ref="J56:J57"/>
    <mergeCell ref="A57:B57"/>
    <mergeCell ref="A61:B61"/>
    <mergeCell ref="A62:B62"/>
    <mergeCell ref="A49:B49"/>
    <mergeCell ref="A50:B50"/>
    <mergeCell ref="A55:B55"/>
    <mergeCell ref="A56:B56"/>
    <mergeCell ref="H56:H57"/>
    <mergeCell ref="C7:G7"/>
    <mergeCell ref="A41:B41"/>
    <mergeCell ref="A42:B42"/>
    <mergeCell ref="A47:B47"/>
    <mergeCell ref="A48:B4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J72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3.57031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105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699</v>
      </c>
    </row>
    <row r="7" spans="1:10" x14ac:dyDescent="0.25">
      <c r="C7" s="28" t="s">
        <v>5</v>
      </c>
      <c r="D7" s="29"/>
      <c r="E7" s="29"/>
      <c r="F7" s="29"/>
      <c r="G7" s="29"/>
    </row>
    <row r="8" spans="1:10" x14ac:dyDescent="0.25">
      <c r="A8" s="25" t="s">
        <v>6</v>
      </c>
      <c r="B8" s="25" t="s">
        <v>7</v>
      </c>
      <c r="C8" s="27" t="s">
        <v>8</v>
      </c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81</v>
      </c>
      <c r="F9" s="10"/>
      <c r="G9" s="10">
        <f t="shared" ref="G9:G39" si="0">SUM(C9:F9)</f>
        <v>81</v>
      </c>
      <c r="H9" s="16">
        <f t="shared" ref="H9:H39" si="1">ROUND(G9/699,2)</f>
        <v>0.12</v>
      </c>
      <c r="I9" s="15">
        <f t="shared" ref="I9:I39" si="2">ROUND(G9/$G$40,3)</f>
        <v>0</v>
      </c>
      <c r="J9" s="15">
        <f>ROUND(G9/25-1,2)</f>
        <v>2.2400000000000002</v>
      </c>
    </row>
    <row r="10" spans="1:10" x14ac:dyDescent="0.25">
      <c r="A10" s="1" t="s">
        <v>16</v>
      </c>
      <c r="B10" s="1" t="s">
        <v>19</v>
      </c>
      <c r="C10" s="10">
        <v>23785</v>
      </c>
      <c r="D10" s="10"/>
      <c r="E10" s="10"/>
      <c r="F10" s="10"/>
      <c r="G10" s="10">
        <f t="shared" si="0"/>
        <v>23785</v>
      </c>
      <c r="H10" s="16">
        <f t="shared" si="1"/>
        <v>34.03</v>
      </c>
      <c r="I10" s="15">
        <f t="shared" si="2"/>
        <v>7.4999999999999997E-2</v>
      </c>
      <c r="J10" s="15">
        <f>ROUND(G10/23960-1,2)</f>
        <v>-0.01</v>
      </c>
    </row>
    <row r="11" spans="1:10" x14ac:dyDescent="0.25">
      <c r="A11" s="1" t="s">
        <v>16</v>
      </c>
      <c r="B11" s="1" t="s">
        <v>20</v>
      </c>
      <c r="C11" s="10">
        <v>34215</v>
      </c>
      <c r="D11" s="10"/>
      <c r="E11" s="10"/>
      <c r="F11" s="10"/>
      <c r="G11" s="10">
        <f t="shared" si="0"/>
        <v>34215</v>
      </c>
      <c r="H11" s="16">
        <f t="shared" si="1"/>
        <v>48.95</v>
      </c>
      <c r="I11" s="15">
        <f t="shared" si="2"/>
        <v>0.108</v>
      </c>
      <c r="J11" s="15">
        <f>ROUND(G11/34665-1,2)</f>
        <v>-0.01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148</v>
      </c>
      <c r="F12" s="10"/>
      <c r="G12" s="10">
        <f t="shared" si="0"/>
        <v>148</v>
      </c>
      <c r="H12" s="16">
        <f t="shared" si="1"/>
        <v>0.21</v>
      </c>
      <c r="I12" s="15">
        <f t="shared" si="2"/>
        <v>0</v>
      </c>
      <c r="J12" s="15">
        <f>ROUND(G12/74-1,2)</f>
        <v>1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145</v>
      </c>
      <c r="F13" s="10"/>
      <c r="G13" s="10">
        <f t="shared" si="0"/>
        <v>145</v>
      </c>
      <c r="H13" s="16">
        <f t="shared" si="1"/>
        <v>0.21</v>
      </c>
      <c r="I13" s="15">
        <f t="shared" si="2"/>
        <v>0</v>
      </c>
      <c r="J13" s="15"/>
    </row>
    <row r="14" spans="1:10" x14ac:dyDescent="0.25">
      <c r="A14" s="1" t="s">
        <v>16</v>
      </c>
      <c r="B14" s="1" t="s">
        <v>22</v>
      </c>
      <c r="C14" s="10"/>
      <c r="D14" s="10"/>
      <c r="E14" s="10">
        <v>900</v>
      </c>
      <c r="F14" s="10"/>
      <c r="G14" s="10">
        <f t="shared" si="0"/>
        <v>900</v>
      </c>
      <c r="H14" s="16">
        <f t="shared" si="1"/>
        <v>1.29</v>
      </c>
      <c r="I14" s="15">
        <f t="shared" si="2"/>
        <v>3.0000000000000001E-3</v>
      </c>
      <c r="J14" s="15">
        <f>ROUND(G14/1000-1,2)</f>
        <v>-0.1</v>
      </c>
    </row>
    <row r="15" spans="1:10" x14ac:dyDescent="0.25">
      <c r="A15" s="1" t="s">
        <v>16</v>
      </c>
      <c r="B15" s="1" t="s">
        <v>23</v>
      </c>
      <c r="C15" s="10"/>
      <c r="D15" s="10"/>
      <c r="E15" s="10">
        <v>52660</v>
      </c>
      <c r="F15" s="10"/>
      <c r="G15" s="10">
        <f t="shared" si="0"/>
        <v>52660</v>
      </c>
      <c r="H15" s="16">
        <f t="shared" si="1"/>
        <v>75.34</v>
      </c>
      <c r="I15" s="15">
        <f t="shared" si="2"/>
        <v>0.16700000000000001</v>
      </c>
      <c r="J15" s="15">
        <f>ROUND(G15/65260-1,2)</f>
        <v>-0.19</v>
      </c>
    </row>
    <row r="16" spans="1:10" x14ac:dyDescent="0.25">
      <c r="A16" s="1" t="s">
        <v>16</v>
      </c>
      <c r="B16" s="1" t="s">
        <v>24</v>
      </c>
      <c r="C16" s="10">
        <v>28445</v>
      </c>
      <c r="D16" s="10"/>
      <c r="E16" s="10"/>
      <c r="F16" s="10"/>
      <c r="G16" s="10">
        <f t="shared" si="0"/>
        <v>28445</v>
      </c>
      <c r="H16" s="16">
        <f t="shared" si="1"/>
        <v>40.69</v>
      </c>
      <c r="I16" s="15">
        <f t="shared" si="2"/>
        <v>0.09</v>
      </c>
      <c r="J16" s="15">
        <f>ROUND(G16/30025-1,2)</f>
        <v>-0.05</v>
      </c>
    </row>
    <row r="17" spans="1:10" x14ac:dyDescent="0.25">
      <c r="A17" s="1" t="s">
        <v>16</v>
      </c>
      <c r="B17" s="1" t="s">
        <v>25</v>
      </c>
      <c r="C17" s="10"/>
      <c r="D17" s="10"/>
      <c r="E17" s="10">
        <v>1140</v>
      </c>
      <c r="F17" s="10"/>
      <c r="G17" s="10">
        <f t="shared" si="0"/>
        <v>1140</v>
      </c>
      <c r="H17" s="16">
        <f t="shared" si="1"/>
        <v>1.63</v>
      </c>
      <c r="I17" s="15">
        <f t="shared" si="2"/>
        <v>4.0000000000000001E-3</v>
      </c>
      <c r="J17" s="15">
        <f>ROUND(G17/1040-1,2)</f>
        <v>0.1</v>
      </c>
    </row>
    <row r="18" spans="1:10" x14ac:dyDescent="0.25">
      <c r="A18" s="1" t="s">
        <v>16</v>
      </c>
      <c r="B18" s="1" t="s">
        <v>26</v>
      </c>
      <c r="C18" s="10">
        <v>35050</v>
      </c>
      <c r="D18" s="10"/>
      <c r="E18" s="10"/>
      <c r="F18" s="10">
        <v>170</v>
      </c>
      <c r="G18" s="10">
        <f t="shared" si="0"/>
        <v>35220</v>
      </c>
      <c r="H18" s="16">
        <f t="shared" si="1"/>
        <v>50.39</v>
      </c>
      <c r="I18" s="15">
        <f t="shared" si="2"/>
        <v>0.112</v>
      </c>
      <c r="J18" s="15">
        <f>ROUND(G18/37270-1,2)</f>
        <v>-0.06</v>
      </c>
    </row>
    <row r="19" spans="1:10" x14ac:dyDescent="0.25">
      <c r="A19" s="1" t="s">
        <v>16</v>
      </c>
      <c r="B19" s="1" t="s">
        <v>27</v>
      </c>
      <c r="C19" s="10"/>
      <c r="D19" s="10"/>
      <c r="E19" s="10">
        <v>275</v>
      </c>
      <c r="F19" s="10"/>
      <c r="G19" s="10">
        <f t="shared" si="0"/>
        <v>275</v>
      </c>
      <c r="H19" s="16">
        <f t="shared" si="1"/>
        <v>0.39</v>
      </c>
      <c r="I19" s="15">
        <f t="shared" si="2"/>
        <v>1E-3</v>
      </c>
      <c r="J19" s="15">
        <f>ROUND(G19/71-1,2)</f>
        <v>2.87</v>
      </c>
    </row>
    <row r="20" spans="1:10" x14ac:dyDescent="0.25">
      <c r="A20" s="1" t="s">
        <v>16</v>
      </c>
      <c r="B20" s="1" t="s">
        <v>28</v>
      </c>
      <c r="C20" s="10"/>
      <c r="D20" s="10"/>
      <c r="E20" s="10">
        <v>191</v>
      </c>
      <c r="F20" s="10"/>
      <c r="G20" s="10">
        <f t="shared" si="0"/>
        <v>191</v>
      </c>
      <c r="H20" s="16">
        <f t="shared" si="1"/>
        <v>0.27</v>
      </c>
      <c r="I20" s="15">
        <f t="shared" si="2"/>
        <v>1E-3</v>
      </c>
      <c r="J20" s="15">
        <f>ROUND(G20/40-1,2)</f>
        <v>3.78</v>
      </c>
    </row>
    <row r="21" spans="1:10" x14ac:dyDescent="0.25">
      <c r="A21" s="1" t="s">
        <v>16</v>
      </c>
      <c r="B21" s="1" t="s">
        <v>30</v>
      </c>
      <c r="C21" s="10"/>
      <c r="D21" s="10"/>
      <c r="E21" s="10">
        <v>200</v>
      </c>
      <c r="F21" s="10"/>
      <c r="G21" s="10">
        <f t="shared" si="0"/>
        <v>200</v>
      </c>
      <c r="H21" s="16">
        <f t="shared" si="1"/>
        <v>0.28999999999999998</v>
      </c>
      <c r="I21" s="15">
        <f t="shared" si="2"/>
        <v>1E-3</v>
      </c>
      <c r="J21" s="15">
        <f>ROUND(G21/600-1,2)</f>
        <v>-0.67</v>
      </c>
    </row>
    <row r="22" spans="1:10" x14ac:dyDescent="0.25">
      <c r="A22" s="1" t="s">
        <v>16</v>
      </c>
      <c r="B22" s="1" t="s">
        <v>32</v>
      </c>
      <c r="C22" s="10"/>
      <c r="D22" s="10"/>
      <c r="E22" s="10">
        <v>925</v>
      </c>
      <c r="F22" s="10"/>
      <c r="G22" s="10">
        <f t="shared" si="0"/>
        <v>925</v>
      </c>
      <c r="H22" s="16">
        <f t="shared" si="1"/>
        <v>1.32</v>
      </c>
      <c r="I22" s="15">
        <f t="shared" si="2"/>
        <v>3.0000000000000001E-3</v>
      </c>
      <c r="J22" s="15">
        <f>ROUND(G22/660-1,2)</f>
        <v>0.4</v>
      </c>
    </row>
    <row r="23" spans="1:10" x14ac:dyDescent="0.25">
      <c r="A23" s="1" t="s">
        <v>16</v>
      </c>
      <c r="B23" s="1" t="s">
        <v>33</v>
      </c>
      <c r="C23" s="10"/>
      <c r="D23" s="10">
        <v>96</v>
      </c>
      <c r="E23" s="10">
        <v>22</v>
      </c>
      <c r="F23" s="10"/>
      <c r="G23" s="10">
        <f t="shared" si="0"/>
        <v>118</v>
      </c>
      <c r="H23" s="16">
        <f t="shared" si="1"/>
        <v>0.17</v>
      </c>
      <c r="I23" s="15">
        <f t="shared" si="2"/>
        <v>0</v>
      </c>
      <c r="J23" s="15">
        <f>ROUND(G23/108-1,2)</f>
        <v>0.09</v>
      </c>
    </row>
    <row r="24" spans="1:10" x14ac:dyDescent="0.25">
      <c r="A24" s="1" t="s">
        <v>16</v>
      </c>
      <c r="B24" s="1" t="s">
        <v>34</v>
      </c>
      <c r="C24" s="10"/>
      <c r="D24" s="10"/>
      <c r="E24" s="10">
        <v>590</v>
      </c>
      <c r="F24" s="10"/>
      <c r="G24" s="10">
        <f t="shared" si="0"/>
        <v>590</v>
      </c>
      <c r="H24" s="16">
        <f t="shared" si="1"/>
        <v>0.84</v>
      </c>
      <c r="I24" s="15">
        <f t="shared" si="2"/>
        <v>2E-3</v>
      </c>
      <c r="J24" s="15">
        <f>ROUND(G24/460-1,2)</f>
        <v>0.28000000000000003</v>
      </c>
    </row>
    <row r="25" spans="1:10" x14ac:dyDescent="0.25">
      <c r="A25" s="1" t="s">
        <v>16</v>
      </c>
      <c r="B25" s="1" t="s">
        <v>35</v>
      </c>
      <c r="C25" s="10"/>
      <c r="D25" s="10">
        <v>30</v>
      </c>
      <c r="E25" s="10"/>
      <c r="F25" s="10"/>
      <c r="G25" s="10">
        <f t="shared" si="0"/>
        <v>30</v>
      </c>
      <c r="H25" s="16">
        <f t="shared" si="1"/>
        <v>0.04</v>
      </c>
      <c r="I25" s="15">
        <f t="shared" si="2"/>
        <v>0</v>
      </c>
      <c r="J25" s="15">
        <f>ROUND(G25/125-1,2)</f>
        <v>-0.76</v>
      </c>
    </row>
    <row r="26" spans="1:10" x14ac:dyDescent="0.25">
      <c r="A26" s="1" t="s">
        <v>16</v>
      </c>
      <c r="B26" s="1" t="s">
        <v>37</v>
      </c>
      <c r="C26" s="10"/>
      <c r="D26" s="10"/>
      <c r="E26" s="10">
        <v>910</v>
      </c>
      <c r="F26" s="10"/>
      <c r="G26" s="10">
        <f t="shared" si="0"/>
        <v>910</v>
      </c>
      <c r="H26" s="16">
        <f t="shared" si="1"/>
        <v>1.3</v>
      </c>
      <c r="I26" s="15">
        <f t="shared" si="2"/>
        <v>3.0000000000000001E-3</v>
      </c>
      <c r="J26" s="15">
        <f>ROUND(G26/2900-1,2)</f>
        <v>-0.69</v>
      </c>
    </row>
    <row r="27" spans="1:10" x14ac:dyDescent="0.25">
      <c r="A27" s="1" t="s">
        <v>16</v>
      </c>
      <c r="B27" s="1" t="s">
        <v>43</v>
      </c>
      <c r="C27" s="10"/>
      <c r="D27" s="10"/>
      <c r="E27" s="10">
        <v>1630</v>
      </c>
      <c r="F27" s="10"/>
      <c r="G27" s="10">
        <f t="shared" si="0"/>
        <v>1630</v>
      </c>
      <c r="H27" s="16">
        <f t="shared" si="1"/>
        <v>2.33</v>
      </c>
      <c r="I27" s="15">
        <f t="shared" si="2"/>
        <v>5.0000000000000001E-3</v>
      </c>
      <c r="J27" s="15">
        <f>ROUND(G27/1160-1,2)</f>
        <v>0.41</v>
      </c>
    </row>
    <row r="28" spans="1:10" x14ac:dyDescent="0.25">
      <c r="A28" s="1" t="s">
        <v>16</v>
      </c>
      <c r="B28" s="1" t="s">
        <v>38</v>
      </c>
      <c r="C28" s="10"/>
      <c r="D28" s="10"/>
      <c r="E28" s="10">
        <v>23540</v>
      </c>
      <c r="F28" s="10"/>
      <c r="G28" s="10">
        <f t="shared" si="0"/>
        <v>23540</v>
      </c>
      <c r="H28" s="16">
        <f t="shared" si="1"/>
        <v>33.68</v>
      </c>
      <c r="I28" s="15">
        <f t="shared" si="2"/>
        <v>7.4999999999999997E-2</v>
      </c>
      <c r="J28" s="15">
        <f>ROUND(G28/14315-1,2)</f>
        <v>0.64</v>
      </c>
    </row>
    <row r="29" spans="1:10" x14ac:dyDescent="0.25">
      <c r="A29" s="1" t="s">
        <v>16</v>
      </c>
      <c r="B29" s="1" t="s">
        <v>39</v>
      </c>
      <c r="C29" s="10"/>
      <c r="D29" s="10"/>
      <c r="E29" s="10">
        <v>3350</v>
      </c>
      <c r="F29" s="10"/>
      <c r="G29" s="10">
        <f t="shared" si="0"/>
        <v>3350</v>
      </c>
      <c r="H29" s="16">
        <f t="shared" si="1"/>
        <v>4.79</v>
      </c>
      <c r="I29" s="15">
        <f t="shared" si="2"/>
        <v>1.0999999999999999E-2</v>
      </c>
      <c r="J29" s="15">
        <f>ROUND(G29/2870-1,2)</f>
        <v>0.17</v>
      </c>
    </row>
    <row r="30" spans="1:10" x14ac:dyDescent="0.25">
      <c r="A30" s="1" t="s">
        <v>16</v>
      </c>
      <c r="B30" s="1" t="s">
        <v>40</v>
      </c>
      <c r="C30" s="10"/>
      <c r="D30" s="10"/>
      <c r="E30" s="10">
        <v>9030</v>
      </c>
      <c r="F30" s="10"/>
      <c r="G30" s="10">
        <f t="shared" si="0"/>
        <v>9030</v>
      </c>
      <c r="H30" s="16">
        <f t="shared" si="1"/>
        <v>12.92</v>
      </c>
      <c r="I30" s="15">
        <f t="shared" si="2"/>
        <v>2.9000000000000001E-2</v>
      </c>
      <c r="J30" s="15">
        <f>ROUND(G30/8550-1,2)</f>
        <v>0.06</v>
      </c>
    </row>
    <row r="31" spans="1:10" x14ac:dyDescent="0.25">
      <c r="A31" s="1" t="s">
        <v>16</v>
      </c>
      <c r="B31" s="1" t="s">
        <v>41</v>
      </c>
      <c r="C31" s="10"/>
      <c r="D31" s="10"/>
      <c r="E31" s="10">
        <v>19440</v>
      </c>
      <c r="F31" s="10"/>
      <c r="G31" s="10">
        <f t="shared" si="0"/>
        <v>19440</v>
      </c>
      <c r="H31" s="16">
        <f t="shared" si="1"/>
        <v>27.81</v>
      </c>
      <c r="I31" s="15">
        <f t="shared" si="2"/>
        <v>6.2E-2</v>
      </c>
      <c r="J31" s="15">
        <f>ROUND(G31/10960-1,2)</f>
        <v>0.77</v>
      </c>
    </row>
    <row r="32" spans="1:10" x14ac:dyDescent="0.25">
      <c r="A32" s="1" t="s">
        <v>16</v>
      </c>
      <c r="B32" s="1" t="s">
        <v>29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>
        <f>ROUND(G32/420-1,2)</f>
        <v>-1</v>
      </c>
    </row>
    <row r="33" spans="1:10" x14ac:dyDescent="0.25">
      <c r="A33" s="1" t="s">
        <v>16</v>
      </c>
      <c r="B33" s="1" t="s">
        <v>36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>
        <f>ROUND(G33/1390-1,2)</f>
        <v>-1</v>
      </c>
    </row>
    <row r="34" spans="1:10" x14ac:dyDescent="0.25">
      <c r="A34" s="1" t="s">
        <v>16</v>
      </c>
      <c r="B34" s="1" t="s">
        <v>42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ROUND(G34/29-1,2)</f>
        <v>-1</v>
      </c>
    </row>
    <row r="35" spans="1:10" x14ac:dyDescent="0.25">
      <c r="A35" s="1" t="s">
        <v>16</v>
      </c>
      <c r="B35" s="1" t="s">
        <v>31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>
        <f>ROUND(G35/230-1,2)</f>
        <v>-1</v>
      </c>
    </row>
    <row r="36" spans="1:10" x14ac:dyDescent="0.25">
      <c r="A36" s="1" t="s">
        <v>44</v>
      </c>
      <c r="B36" s="1" t="s">
        <v>45</v>
      </c>
      <c r="C36" s="10">
        <v>61930</v>
      </c>
      <c r="D36" s="10"/>
      <c r="E36" s="10"/>
      <c r="F36" s="10"/>
      <c r="G36" s="10">
        <f t="shared" si="0"/>
        <v>61930</v>
      </c>
      <c r="H36" s="16">
        <f t="shared" si="1"/>
        <v>88.6</v>
      </c>
      <c r="I36" s="15">
        <f t="shared" si="2"/>
        <v>0.19600000000000001</v>
      </c>
      <c r="J36" s="15">
        <f>ROUND(G36/54430-1,2)</f>
        <v>0.14000000000000001</v>
      </c>
    </row>
    <row r="37" spans="1:10" x14ac:dyDescent="0.25">
      <c r="A37" s="1" t="s">
        <v>44</v>
      </c>
      <c r="B37" s="1" t="s">
        <v>47</v>
      </c>
      <c r="C37" s="10"/>
      <c r="D37" s="10"/>
      <c r="E37" s="10"/>
      <c r="F37" s="10">
        <v>5500</v>
      </c>
      <c r="G37" s="10">
        <f t="shared" si="0"/>
        <v>5500</v>
      </c>
      <c r="H37" s="16">
        <f t="shared" si="1"/>
        <v>7.87</v>
      </c>
      <c r="I37" s="15">
        <f t="shared" si="2"/>
        <v>1.7000000000000001E-2</v>
      </c>
      <c r="J37" s="15"/>
    </row>
    <row r="38" spans="1:10" x14ac:dyDescent="0.25">
      <c r="A38" s="1" t="s">
        <v>44</v>
      </c>
      <c r="B38" s="1" t="s">
        <v>46</v>
      </c>
      <c r="C38" s="10"/>
      <c r="D38" s="10"/>
      <c r="E38" s="10">
        <v>11220</v>
      </c>
      <c r="F38" s="10"/>
      <c r="G38" s="10">
        <f t="shared" si="0"/>
        <v>11220</v>
      </c>
      <c r="H38" s="16">
        <f t="shared" si="1"/>
        <v>16.05</v>
      </c>
      <c r="I38" s="15">
        <f t="shared" si="2"/>
        <v>3.5999999999999997E-2</v>
      </c>
      <c r="J38" s="15">
        <f>ROUND(G38/7540-1,2)</f>
        <v>0.49</v>
      </c>
    </row>
    <row r="39" spans="1:10" x14ac:dyDescent="0.25">
      <c r="A39" s="1" t="s">
        <v>48</v>
      </c>
      <c r="B39" s="1" t="s">
        <v>86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30" t="s">
        <v>12</v>
      </c>
      <c r="B40" s="30"/>
      <c r="C40" s="11">
        <f t="shared" ref="C40:H40" si="3">SUM(C8:C39)</f>
        <v>183425</v>
      </c>
      <c r="D40" s="11">
        <f t="shared" si="3"/>
        <v>126</v>
      </c>
      <c r="E40" s="11">
        <f t="shared" si="3"/>
        <v>126397</v>
      </c>
      <c r="F40" s="11">
        <f t="shared" si="3"/>
        <v>5670</v>
      </c>
      <c r="G40" s="11">
        <f t="shared" si="3"/>
        <v>315618</v>
      </c>
      <c r="H40" s="14">
        <f t="shared" si="3"/>
        <v>451.53000000000003</v>
      </c>
      <c r="I40" s="17"/>
      <c r="J40" s="17"/>
    </row>
    <row r="41" spans="1:10" x14ac:dyDescent="0.25">
      <c r="A41" s="30" t="s">
        <v>14</v>
      </c>
      <c r="B41" s="30"/>
      <c r="C41" s="12">
        <f>ROUND(C40/G40,2)</f>
        <v>0.57999999999999996</v>
      </c>
      <c r="D41" s="12">
        <f>ROUND(D40/G40,2)</f>
        <v>0</v>
      </c>
      <c r="E41" s="12">
        <f>ROUND(E40/G40,2)</f>
        <v>0.4</v>
      </c>
      <c r="F41" s="12">
        <f>ROUND(F40/G40,2)</f>
        <v>0.02</v>
      </c>
      <c r="G41" s="13"/>
      <c r="H41" s="13"/>
      <c r="I41" s="17"/>
      <c r="J41" s="17"/>
    </row>
    <row r="42" spans="1:10" x14ac:dyDescent="0.25">
      <c r="A42" s="2" t="s">
        <v>52</v>
      </c>
      <c r="B42" s="2"/>
      <c r="C42" s="13"/>
      <c r="D42" s="13"/>
      <c r="E42" s="13"/>
      <c r="F42" s="13"/>
      <c r="G42" s="13"/>
      <c r="H42" s="13"/>
      <c r="I42" s="17"/>
      <c r="J42" s="17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A46" s="30" t="s">
        <v>53</v>
      </c>
      <c r="B46" s="30"/>
      <c r="C46" s="11" t="s">
        <v>8</v>
      </c>
      <c r="D46" s="11" t="s">
        <v>9</v>
      </c>
      <c r="E46" s="11" t="s">
        <v>10</v>
      </c>
      <c r="F46" s="11" t="s">
        <v>11</v>
      </c>
      <c r="G46" s="11" t="s">
        <v>12</v>
      </c>
      <c r="H46" s="14" t="s">
        <v>13</v>
      </c>
      <c r="I46" s="17"/>
      <c r="J46" s="17"/>
    </row>
    <row r="47" spans="1:10" x14ac:dyDescent="0.25">
      <c r="A47" s="29" t="s">
        <v>54</v>
      </c>
      <c r="B47" s="29"/>
      <c r="C47" s="10">
        <v>121495</v>
      </c>
      <c r="D47" s="10">
        <v>126</v>
      </c>
      <c r="E47" s="10">
        <v>115177</v>
      </c>
      <c r="F47" s="10">
        <v>170</v>
      </c>
      <c r="G47" s="10">
        <f>SUM(C47:F47)</f>
        <v>236968</v>
      </c>
      <c r="H47" s="16">
        <f>ROUND(G47/699,2)</f>
        <v>339.01</v>
      </c>
      <c r="I47" s="9"/>
      <c r="J47" s="9"/>
    </row>
    <row r="48" spans="1:10" x14ac:dyDescent="0.25">
      <c r="A48" s="29" t="s">
        <v>55</v>
      </c>
      <c r="B48" s="29"/>
      <c r="C48" s="10">
        <v>61930</v>
      </c>
      <c r="D48" s="10">
        <v>0</v>
      </c>
      <c r="E48" s="10">
        <v>11220</v>
      </c>
      <c r="F48" s="10">
        <v>5500</v>
      </c>
      <c r="G48" s="10">
        <f>SUM(C48:F48)</f>
        <v>78650</v>
      </c>
      <c r="H48" s="16">
        <f>ROUND(G48/699,2)</f>
        <v>112.52</v>
      </c>
      <c r="I48" s="9"/>
      <c r="J48" s="9"/>
    </row>
    <row r="49" spans="1:10" x14ac:dyDescent="0.25">
      <c r="A49" s="29" t="s">
        <v>56</v>
      </c>
      <c r="B49" s="29"/>
      <c r="C49" s="10">
        <v>0</v>
      </c>
      <c r="D49" s="10">
        <v>0</v>
      </c>
      <c r="E49" s="10">
        <v>0</v>
      </c>
      <c r="F49" s="10">
        <v>0</v>
      </c>
      <c r="G49" s="10">
        <f>SUM(C49:F49)</f>
        <v>0</v>
      </c>
      <c r="H49" s="16">
        <f>ROUND(G49/699,2)</f>
        <v>0</v>
      </c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A54" s="30" t="s">
        <v>57</v>
      </c>
      <c r="B54" s="30"/>
      <c r="C54" s="14" t="s">
        <v>2</v>
      </c>
      <c r="D54" s="14">
        <v>2023</v>
      </c>
      <c r="E54" s="14" t="s">
        <v>59</v>
      </c>
      <c r="F54" s="13"/>
      <c r="G54" s="14" t="s">
        <v>60</v>
      </c>
      <c r="H54" s="14" t="s">
        <v>2</v>
      </c>
      <c r="I54" s="12" t="s">
        <v>61</v>
      </c>
      <c r="J54" s="12" t="s">
        <v>59</v>
      </c>
    </row>
    <row r="55" spans="1:10" x14ac:dyDescent="0.25">
      <c r="A55" s="29" t="s">
        <v>58</v>
      </c>
      <c r="B55" s="29"/>
      <c r="C55" s="15">
        <f>ROUND(0.7578, 4)</f>
        <v>0.75780000000000003</v>
      </c>
      <c r="D55" s="15">
        <f>ROUND(0.7642, 4)</f>
        <v>0.76419999999999999</v>
      </c>
      <c r="E55" s="15">
        <f>ROUND(0.777, 4)</f>
        <v>0.77700000000000002</v>
      </c>
      <c r="F55" s="8"/>
      <c r="G55" s="14" t="s">
        <v>62</v>
      </c>
      <c r="H55" s="33" t="s">
        <v>63</v>
      </c>
      <c r="I55" s="31" t="s">
        <v>64</v>
      </c>
      <c r="J55" s="31" t="s">
        <v>65</v>
      </c>
    </row>
    <row r="56" spans="1:10" x14ac:dyDescent="0.25">
      <c r="A56" s="29" t="s">
        <v>66</v>
      </c>
      <c r="B56" s="29"/>
      <c r="C56" s="15">
        <f>ROUND(0.7461, 4)</f>
        <v>0.74609999999999999</v>
      </c>
      <c r="D56" s="15">
        <f>ROUND(0.7505, 4)</f>
        <v>0.75049999999999994</v>
      </c>
      <c r="E56" s="15">
        <f>ROUND(0.7608, 4)</f>
        <v>0.76080000000000003</v>
      </c>
      <c r="F56" s="8"/>
      <c r="G56" s="14" t="s">
        <v>67</v>
      </c>
      <c r="H56" s="34"/>
      <c r="I56" s="32"/>
      <c r="J56" s="32"/>
    </row>
    <row r="57" spans="1:10" x14ac:dyDescent="0.25">
      <c r="C57" s="8"/>
      <c r="D57" s="8"/>
      <c r="E57" s="8"/>
      <c r="F57" s="8"/>
      <c r="G57" s="21"/>
      <c r="H57" s="8"/>
      <c r="I57" s="9"/>
      <c r="J57" s="9"/>
    </row>
    <row r="58" spans="1:10" x14ac:dyDescent="0.25">
      <c r="C58" s="8"/>
      <c r="D58" s="8"/>
      <c r="E58" s="8"/>
      <c r="F58" s="8"/>
      <c r="G58" s="21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A60" s="30" t="s">
        <v>68</v>
      </c>
      <c r="B60" s="30"/>
      <c r="C60" s="14" t="s">
        <v>2</v>
      </c>
      <c r="D60" s="14" t="s">
        <v>106</v>
      </c>
      <c r="E60" s="14" t="s">
        <v>70</v>
      </c>
      <c r="F60" s="14" t="s">
        <v>71</v>
      </c>
      <c r="G60" s="14" t="s">
        <v>72</v>
      </c>
      <c r="H60" s="13"/>
      <c r="I60" s="17"/>
      <c r="J60" s="17"/>
    </row>
    <row r="61" spans="1:10" x14ac:dyDescent="0.25">
      <c r="A61" s="29" t="s">
        <v>73</v>
      </c>
      <c r="B61" s="29"/>
      <c r="C61" s="16">
        <v>88.6</v>
      </c>
      <c r="D61" s="16">
        <v>86.14</v>
      </c>
      <c r="E61" s="16">
        <v>93.87</v>
      </c>
      <c r="F61" s="16">
        <v>57.16</v>
      </c>
      <c r="G61" s="16">
        <f>12/12*C61</f>
        <v>88.6</v>
      </c>
      <c r="H61" s="8"/>
      <c r="I61" s="9"/>
      <c r="J61" s="9"/>
    </row>
    <row r="62" spans="1:10" x14ac:dyDescent="0.25">
      <c r="A62" s="29" t="s">
        <v>74</v>
      </c>
      <c r="B62" s="29"/>
      <c r="C62" s="16">
        <v>50.39</v>
      </c>
      <c r="D62" s="16">
        <v>54.65</v>
      </c>
      <c r="E62" s="16">
        <v>62.84</v>
      </c>
      <c r="F62" s="16">
        <v>65.39</v>
      </c>
      <c r="G62" s="16">
        <f>12/12*C62</f>
        <v>50.39</v>
      </c>
      <c r="H62" s="8"/>
      <c r="I62" s="9"/>
      <c r="J62" s="9"/>
    </row>
    <row r="63" spans="1:10" x14ac:dyDescent="0.25">
      <c r="A63" s="29" t="s">
        <v>75</v>
      </c>
      <c r="B63" s="29"/>
      <c r="C63" s="16">
        <v>339.01</v>
      </c>
      <c r="D63" s="16">
        <v>318.62</v>
      </c>
      <c r="E63" s="16">
        <v>295.08999999999997</v>
      </c>
      <c r="F63" s="16">
        <v>289.06</v>
      </c>
      <c r="G63" s="16">
        <f>12/12*C63</f>
        <v>339.01</v>
      </c>
      <c r="H63" s="8"/>
      <c r="I63" s="9"/>
      <c r="J63" s="9"/>
    </row>
    <row r="64" spans="1:10" x14ac:dyDescent="0.25">
      <c r="A64" s="29" t="s">
        <v>76</v>
      </c>
      <c r="B64" s="29"/>
      <c r="C64" s="16">
        <v>112.52</v>
      </c>
      <c r="D64" s="16">
        <v>101.9</v>
      </c>
      <c r="E64" s="16">
        <v>118.05</v>
      </c>
      <c r="F64" s="16">
        <v>81.41</v>
      </c>
      <c r="G64" s="16">
        <f>12/12*C64</f>
        <v>112.52</v>
      </c>
      <c r="H64" s="8"/>
      <c r="I64" s="9"/>
      <c r="J64" s="9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28" t="s">
        <v>60</v>
      </c>
      <c r="B67" s="35"/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77</v>
      </c>
      <c r="B68" s="1" t="s">
        <v>107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70</v>
      </c>
      <c r="B69" s="1" t="s">
        <v>79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71</v>
      </c>
      <c r="B70" s="1" t="s">
        <v>80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3" t="s">
        <v>72</v>
      </c>
      <c r="B71" s="1" t="s">
        <v>81</v>
      </c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</sheetData>
  <mergeCells count="19">
    <mergeCell ref="A62:B62"/>
    <mergeCell ref="A63:B63"/>
    <mergeCell ref="A64:B64"/>
    <mergeCell ref="A67:B67"/>
    <mergeCell ref="I55:I56"/>
    <mergeCell ref="J55:J56"/>
    <mergeCell ref="A56:B56"/>
    <mergeCell ref="A60:B60"/>
    <mergeCell ref="A61:B61"/>
    <mergeCell ref="A48:B48"/>
    <mergeCell ref="A49:B49"/>
    <mergeCell ref="A54:B54"/>
    <mergeCell ref="A55:B55"/>
    <mergeCell ref="H55:H56"/>
    <mergeCell ref="C7:G7"/>
    <mergeCell ref="A40:B40"/>
    <mergeCell ref="A41:B41"/>
    <mergeCell ref="A46:B46"/>
    <mergeCell ref="A47:B4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J72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2.1406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108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3926</v>
      </c>
    </row>
    <row r="7" spans="1:10" x14ac:dyDescent="0.25">
      <c r="C7" s="28" t="s">
        <v>5</v>
      </c>
      <c r="D7" s="29"/>
      <c r="E7" s="29"/>
      <c r="F7" s="29"/>
      <c r="G7" s="29"/>
    </row>
    <row r="8" spans="1:10" x14ac:dyDescent="0.25">
      <c r="A8" s="25" t="s">
        <v>6</v>
      </c>
      <c r="B8" s="25" t="s">
        <v>7</v>
      </c>
      <c r="C8" s="27" t="s">
        <v>8</v>
      </c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159</v>
      </c>
      <c r="F9" s="10"/>
      <c r="G9" s="10">
        <f t="shared" ref="G9:G40" si="0">SUM(C9:F9)</f>
        <v>159</v>
      </c>
      <c r="H9" s="16">
        <f t="shared" ref="H9:H40" si="1">ROUND(G9/3926,2)</f>
        <v>0.04</v>
      </c>
      <c r="I9" s="15">
        <f t="shared" ref="I9:I40" si="2">ROUND(G9/$G$41,3)</f>
        <v>0</v>
      </c>
      <c r="J9" s="15">
        <f>ROUND(G9/75-1,2)</f>
        <v>1.1200000000000001</v>
      </c>
    </row>
    <row r="10" spans="1:10" x14ac:dyDescent="0.25">
      <c r="A10" s="1" t="s">
        <v>16</v>
      </c>
      <c r="B10" s="1" t="s">
        <v>19</v>
      </c>
      <c r="C10" s="10">
        <v>144625</v>
      </c>
      <c r="D10" s="10"/>
      <c r="E10" s="10">
        <v>26800</v>
      </c>
      <c r="F10" s="10"/>
      <c r="G10" s="10">
        <f t="shared" si="0"/>
        <v>171425</v>
      </c>
      <c r="H10" s="16">
        <f t="shared" si="1"/>
        <v>43.66</v>
      </c>
      <c r="I10" s="15">
        <f t="shared" si="2"/>
        <v>9.9000000000000005E-2</v>
      </c>
      <c r="J10" s="15">
        <f>ROUND(G10/166500-1,2)</f>
        <v>0.03</v>
      </c>
    </row>
    <row r="11" spans="1:10" x14ac:dyDescent="0.25">
      <c r="A11" s="1" t="s">
        <v>16</v>
      </c>
      <c r="B11" s="1" t="s">
        <v>20</v>
      </c>
      <c r="C11" s="10">
        <v>175760</v>
      </c>
      <c r="D11" s="10"/>
      <c r="E11" s="10"/>
      <c r="F11" s="10"/>
      <c r="G11" s="10">
        <f t="shared" si="0"/>
        <v>175760</v>
      </c>
      <c r="H11" s="16">
        <f t="shared" si="1"/>
        <v>44.77</v>
      </c>
      <c r="I11" s="15">
        <f t="shared" si="2"/>
        <v>0.10199999999999999</v>
      </c>
      <c r="J11" s="15">
        <f>ROUND(G11/195780-1,2)</f>
        <v>-0.1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387</v>
      </c>
      <c r="F12" s="10"/>
      <c r="G12" s="10">
        <f t="shared" si="0"/>
        <v>387</v>
      </c>
      <c r="H12" s="16">
        <f t="shared" si="1"/>
        <v>0.1</v>
      </c>
      <c r="I12" s="15">
        <f t="shared" si="2"/>
        <v>0</v>
      </c>
      <c r="J12" s="15">
        <f>ROUND(G12/415-1,2)</f>
        <v>-7.0000000000000007E-2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419</v>
      </c>
      <c r="F13" s="10"/>
      <c r="G13" s="10">
        <f t="shared" si="0"/>
        <v>419</v>
      </c>
      <c r="H13" s="16">
        <f t="shared" si="1"/>
        <v>0.11</v>
      </c>
      <c r="I13" s="15">
        <f t="shared" si="2"/>
        <v>0</v>
      </c>
      <c r="J13" s="15">
        <f>ROUND(G13/447-1,2)</f>
        <v>-0.06</v>
      </c>
    </row>
    <row r="14" spans="1:10" x14ac:dyDescent="0.25">
      <c r="A14" s="1" t="s">
        <v>16</v>
      </c>
      <c r="B14" s="1" t="s">
        <v>22</v>
      </c>
      <c r="C14" s="10"/>
      <c r="D14" s="10"/>
      <c r="E14" s="10">
        <v>1760</v>
      </c>
      <c r="F14" s="10"/>
      <c r="G14" s="10">
        <f t="shared" si="0"/>
        <v>1760</v>
      </c>
      <c r="H14" s="16">
        <f t="shared" si="1"/>
        <v>0.45</v>
      </c>
      <c r="I14" s="15">
        <f t="shared" si="2"/>
        <v>1E-3</v>
      </c>
      <c r="J14" s="15">
        <f>ROUND(G14/5000-1,2)</f>
        <v>-0.65</v>
      </c>
    </row>
    <row r="15" spans="1:10" x14ac:dyDescent="0.25">
      <c r="A15" s="1" t="s">
        <v>16</v>
      </c>
      <c r="B15" s="1" t="s">
        <v>23</v>
      </c>
      <c r="C15" s="10"/>
      <c r="D15" s="10"/>
      <c r="E15" s="10">
        <v>43260</v>
      </c>
      <c r="F15" s="10"/>
      <c r="G15" s="10">
        <f t="shared" si="0"/>
        <v>43260</v>
      </c>
      <c r="H15" s="16">
        <f t="shared" si="1"/>
        <v>11.02</v>
      </c>
      <c r="I15" s="15">
        <f t="shared" si="2"/>
        <v>2.5000000000000001E-2</v>
      </c>
      <c r="J15" s="15">
        <f>ROUND(G15/95460-1,2)</f>
        <v>-0.55000000000000004</v>
      </c>
    </row>
    <row r="16" spans="1:10" x14ac:dyDescent="0.25">
      <c r="A16" s="1" t="s">
        <v>16</v>
      </c>
      <c r="B16" s="1" t="s">
        <v>24</v>
      </c>
      <c r="C16" s="10">
        <v>221250</v>
      </c>
      <c r="D16" s="10"/>
      <c r="E16" s="10">
        <v>41915</v>
      </c>
      <c r="F16" s="10"/>
      <c r="G16" s="10">
        <f t="shared" si="0"/>
        <v>263165</v>
      </c>
      <c r="H16" s="16">
        <f t="shared" si="1"/>
        <v>67.03</v>
      </c>
      <c r="I16" s="15">
        <f t="shared" si="2"/>
        <v>0.152</v>
      </c>
      <c r="J16" s="15">
        <f>ROUND(G16/271690-1,2)</f>
        <v>-0.03</v>
      </c>
    </row>
    <row r="17" spans="1:10" x14ac:dyDescent="0.25">
      <c r="A17" s="1" t="s">
        <v>16</v>
      </c>
      <c r="B17" s="1" t="s">
        <v>25</v>
      </c>
      <c r="C17" s="10"/>
      <c r="D17" s="10"/>
      <c r="E17" s="10">
        <v>9950</v>
      </c>
      <c r="F17" s="10"/>
      <c r="G17" s="10">
        <f t="shared" si="0"/>
        <v>9950</v>
      </c>
      <c r="H17" s="16">
        <f t="shared" si="1"/>
        <v>2.5299999999999998</v>
      </c>
      <c r="I17" s="15">
        <f t="shared" si="2"/>
        <v>6.0000000000000001E-3</v>
      </c>
      <c r="J17" s="15">
        <f>ROUND(G17/6740-1,2)</f>
        <v>0.48</v>
      </c>
    </row>
    <row r="18" spans="1:10" x14ac:dyDescent="0.25">
      <c r="A18" s="1" t="s">
        <v>16</v>
      </c>
      <c r="B18" s="1" t="s">
        <v>26</v>
      </c>
      <c r="C18" s="10">
        <v>361920</v>
      </c>
      <c r="D18" s="10"/>
      <c r="E18" s="10"/>
      <c r="F18" s="10">
        <v>1240</v>
      </c>
      <c r="G18" s="10">
        <f t="shared" si="0"/>
        <v>363160</v>
      </c>
      <c r="H18" s="16">
        <f t="shared" si="1"/>
        <v>92.5</v>
      </c>
      <c r="I18" s="15">
        <f t="shared" si="2"/>
        <v>0.21</v>
      </c>
      <c r="J18" s="15">
        <f>ROUND(G18/366300-1,2)</f>
        <v>-0.01</v>
      </c>
    </row>
    <row r="19" spans="1:10" x14ac:dyDescent="0.25">
      <c r="A19" s="1" t="s">
        <v>16</v>
      </c>
      <c r="B19" s="1" t="s">
        <v>27</v>
      </c>
      <c r="C19" s="10"/>
      <c r="D19" s="10"/>
      <c r="E19" s="10">
        <v>862</v>
      </c>
      <c r="F19" s="10"/>
      <c r="G19" s="10">
        <f t="shared" si="0"/>
        <v>862</v>
      </c>
      <c r="H19" s="16">
        <f t="shared" si="1"/>
        <v>0.22</v>
      </c>
      <c r="I19" s="15">
        <f t="shared" si="2"/>
        <v>0</v>
      </c>
      <c r="J19" s="15">
        <f>ROUND(G19/1029-1,2)</f>
        <v>-0.16</v>
      </c>
    </row>
    <row r="20" spans="1:10" x14ac:dyDescent="0.25">
      <c r="A20" s="1" t="s">
        <v>16</v>
      </c>
      <c r="B20" s="1" t="s">
        <v>28</v>
      </c>
      <c r="C20" s="10"/>
      <c r="D20" s="10"/>
      <c r="E20" s="10">
        <v>407</v>
      </c>
      <c r="F20" s="10"/>
      <c r="G20" s="10">
        <f t="shared" si="0"/>
        <v>407</v>
      </c>
      <c r="H20" s="16">
        <f t="shared" si="1"/>
        <v>0.1</v>
      </c>
      <c r="I20" s="15">
        <f t="shared" si="2"/>
        <v>0</v>
      </c>
      <c r="J20" s="15">
        <f>ROUND(G20/617-1,2)</f>
        <v>-0.34</v>
      </c>
    </row>
    <row r="21" spans="1:10" x14ac:dyDescent="0.25">
      <c r="A21" s="1" t="s">
        <v>16</v>
      </c>
      <c r="B21" s="1" t="s">
        <v>42</v>
      </c>
      <c r="C21" s="10"/>
      <c r="D21" s="10"/>
      <c r="E21" s="10">
        <v>239</v>
      </c>
      <c r="F21" s="10"/>
      <c r="G21" s="10">
        <f t="shared" si="0"/>
        <v>239</v>
      </c>
      <c r="H21" s="16">
        <f t="shared" si="1"/>
        <v>0.06</v>
      </c>
      <c r="I21" s="15">
        <f t="shared" si="2"/>
        <v>0</v>
      </c>
      <c r="J21" s="15">
        <f>ROUND(G21/142-1,2)</f>
        <v>0.68</v>
      </c>
    </row>
    <row r="22" spans="1:10" x14ac:dyDescent="0.25">
      <c r="A22" s="1" t="s">
        <v>16</v>
      </c>
      <c r="B22" s="1" t="s">
        <v>29</v>
      </c>
      <c r="C22" s="10"/>
      <c r="D22" s="10"/>
      <c r="E22" s="10">
        <v>1600</v>
      </c>
      <c r="F22" s="10"/>
      <c r="G22" s="10">
        <f t="shared" si="0"/>
        <v>1600</v>
      </c>
      <c r="H22" s="16">
        <f t="shared" si="1"/>
        <v>0.41</v>
      </c>
      <c r="I22" s="15">
        <f t="shared" si="2"/>
        <v>1E-3</v>
      </c>
      <c r="J22" s="15">
        <f>ROUND(G22/3908-1,2)</f>
        <v>-0.59</v>
      </c>
    </row>
    <row r="23" spans="1:10" x14ac:dyDescent="0.25">
      <c r="A23" s="1" t="s">
        <v>16</v>
      </c>
      <c r="B23" s="1" t="s">
        <v>30</v>
      </c>
      <c r="C23" s="10"/>
      <c r="D23" s="10"/>
      <c r="E23" s="10">
        <v>980</v>
      </c>
      <c r="F23" s="10"/>
      <c r="G23" s="10">
        <f t="shared" si="0"/>
        <v>980</v>
      </c>
      <c r="H23" s="16">
        <f t="shared" si="1"/>
        <v>0.25</v>
      </c>
      <c r="I23" s="15">
        <f t="shared" si="2"/>
        <v>1E-3</v>
      </c>
      <c r="J23" s="15">
        <f>ROUND(G23/1780-1,2)</f>
        <v>-0.45</v>
      </c>
    </row>
    <row r="24" spans="1:10" x14ac:dyDescent="0.25">
      <c r="A24" s="1" t="s">
        <v>16</v>
      </c>
      <c r="B24" s="1" t="s">
        <v>31</v>
      </c>
      <c r="C24" s="10"/>
      <c r="D24" s="10"/>
      <c r="E24" s="10">
        <v>750</v>
      </c>
      <c r="F24" s="10"/>
      <c r="G24" s="10">
        <f t="shared" si="0"/>
        <v>750</v>
      </c>
      <c r="H24" s="16">
        <f t="shared" si="1"/>
        <v>0.19</v>
      </c>
      <c r="I24" s="15">
        <f t="shared" si="2"/>
        <v>0</v>
      </c>
      <c r="J24" s="15">
        <f>ROUND(G24/1300-1,2)</f>
        <v>-0.42</v>
      </c>
    </row>
    <row r="25" spans="1:10" x14ac:dyDescent="0.25">
      <c r="A25" s="1" t="s">
        <v>16</v>
      </c>
      <c r="B25" s="1" t="s">
        <v>32</v>
      </c>
      <c r="C25" s="10"/>
      <c r="D25" s="10"/>
      <c r="E25" s="10">
        <v>2215</v>
      </c>
      <c r="F25" s="10"/>
      <c r="G25" s="10">
        <f t="shared" si="0"/>
        <v>2215</v>
      </c>
      <c r="H25" s="16">
        <f t="shared" si="1"/>
        <v>0.56000000000000005</v>
      </c>
      <c r="I25" s="15">
        <f t="shared" si="2"/>
        <v>1E-3</v>
      </c>
      <c r="J25" s="15">
        <f>ROUND(G25/3060-1,2)</f>
        <v>-0.28000000000000003</v>
      </c>
    </row>
    <row r="26" spans="1:10" x14ac:dyDescent="0.25">
      <c r="A26" s="1" t="s">
        <v>16</v>
      </c>
      <c r="B26" s="1" t="s">
        <v>33</v>
      </c>
      <c r="C26" s="10"/>
      <c r="D26" s="10">
        <v>281</v>
      </c>
      <c r="E26" s="10">
        <v>106</v>
      </c>
      <c r="F26" s="10"/>
      <c r="G26" s="10">
        <f t="shared" si="0"/>
        <v>387</v>
      </c>
      <c r="H26" s="16">
        <f t="shared" si="1"/>
        <v>0.1</v>
      </c>
      <c r="I26" s="15">
        <f t="shared" si="2"/>
        <v>0</v>
      </c>
      <c r="J26" s="15">
        <f>ROUND(G26/337-1,2)</f>
        <v>0.15</v>
      </c>
    </row>
    <row r="27" spans="1:10" x14ac:dyDescent="0.25">
      <c r="A27" s="1" t="s">
        <v>16</v>
      </c>
      <c r="B27" s="1" t="s">
        <v>35</v>
      </c>
      <c r="C27" s="10"/>
      <c r="D27" s="10"/>
      <c r="E27" s="10">
        <v>600</v>
      </c>
      <c r="F27" s="10"/>
      <c r="G27" s="10">
        <f t="shared" si="0"/>
        <v>600</v>
      </c>
      <c r="H27" s="16">
        <f t="shared" si="1"/>
        <v>0.15</v>
      </c>
      <c r="I27" s="15">
        <f t="shared" si="2"/>
        <v>0</v>
      </c>
      <c r="J27" s="15">
        <f>ROUND(G27/220-1,2)</f>
        <v>1.73</v>
      </c>
    </row>
    <row r="28" spans="1:10" x14ac:dyDescent="0.25">
      <c r="A28" s="1" t="s">
        <v>16</v>
      </c>
      <c r="B28" s="1" t="s">
        <v>34</v>
      </c>
      <c r="C28" s="10"/>
      <c r="D28" s="10"/>
      <c r="E28" s="10">
        <v>2110</v>
      </c>
      <c r="F28" s="10"/>
      <c r="G28" s="10">
        <f t="shared" si="0"/>
        <v>2110</v>
      </c>
      <c r="H28" s="16">
        <f t="shared" si="1"/>
        <v>0.54</v>
      </c>
      <c r="I28" s="15">
        <f t="shared" si="2"/>
        <v>1E-3</v>
      </c>
      <c r="J28" s="15">
        <f>ROUND(G28/100-1,2)</f>
        <v>20.100000000000001</v>
      </c>
    </row>
    <row r="29" spans="1:10" x14ac:dyDescent="0.25">
      <c r="A29" s="1" t="s">
        <v>16</v>
      </c>
      <c r="B29" s="1" t="s">
        <v>37</v>
      </c>
      <c r="C29" s="10"/>
      <c r="D29" s="10"/>
      <c r="E29" s="10">
        <v>4405</v>
      </c>
      <c r="F29" s="10"/>
      <c r="G29" s="10">
        <f t="shared" si="0"/>
        <v>4405</v>
      </c>
      <c r="H29" s="16">
        <f t="shared" si="1"/>
        <v>1.1200000000000001</v>
      </c>
      <c r="I29" s="15">
        <f t="shared" si="2"/>
        <v>3.0000000000000001E-3</v>
      </c>
      <c r="J29" s="15">
        <f>ROUND(G29/11336-1,2)</f>
        <v>-0.61</v>
      </c>
    </row>
    <row r="30" spans="1:10" x14ac:dyDescent="0.25">
      <c r="A30" s="1" t="s">
        <v>16</v>
      </c>
      <c r="B30" s="1" t="s">
        <v>43</v>
      </c>
      <c r="C30" s="10"/>
      <c r="D30" s="10"/>
      <c r="E30" s="10">
        <v>4660</v>
      </c>
      <c r="F30" s="10"/>
      <c r="G30" s="10">
        <f t="shared" si="0"/>
        <v>4660</v>
      </c>
      <c r="H30" s="16">
        <f t="shared" si="1"/>
        <v>1.19</v>
      </c>
      <c r="I30" s="15">
        <f t="shared" si="2"/>
        <v>3.0000000000000001E-3</v>
      </c>
      <c r="J30" s="15">
        <f>ROUND(G30/7717-1,2)</f>
        <v>-0.4</v>
      </c>
    </row>
    <row r="31" spans="1:10" x14ac:dyDescent="0.25">
      <c r="A31" s="1" t="s">
        <v>16</v>
      </c>
      <c r="B31" s="1" t="s">
        <v>38</v>
      </c>
      <c r="C31" s="10"/>
      <c r="D31" s="10"/>
      <c r="E31" s="10">
        <v>105040</v>
      </c>
      <c r="F31" s="10"/>
      <c r="G31" s="10">
        <f t="shared" si="0"/>
        <v>105040</v>
      </c>
      <c r="H31" s="16">
        <f t="shared" si="1"/>
        <v>26.75</v>
      </c>
      <c r="I31" s="15">
        <f t="shared" si="2"/>
        <v>6.0999999999999999E-2</v>
      </c>
      <c r="J31" s="15">
        <f>ROUND(G31/87580-1,2)</f>
        <v>0.2</v>
      </c>
    </row>
    <row r="32" spans="1:10" x14ac:dyDescent="0.25">
      <c r="A32" s="1" t="s">
        <v>16</v>
      </c>
      <c r="B32" s="1" t="s">
        <v>39</v>
      </c>
      <c r="C32" s="10"/>
      <c r="D32" s="10"/>
      <c r="E32" s="10">
        <v>7685</v>
      </c>
      <c r="F32" s="10"/>
      <c r="G32" s="10">
        <f t="shared" si="0"/>
        <v>7685</v>
      </c>
      <c r="H32" s="16">
        <f t="shared" si="1"/>
        <v>1.96</v>
      </c>
      <c r="I32" s="15">
        <f t="shared" si="2"/>
        <v>4.0000000000000001E-3</v>
      </c>
      <c r="J32" s="15">
        <f>ROUND(G32/7720-1,2)</f>
        <v>0</v>
      </c>
    </row>
    <row r="33" spans="1:10" x14ac:dyDescent="0.25">
      <c r="A33" s="1" t="s">
        <v>16</v>
      </c>
      <c r="B33" s="1" t="s">
        <v>40</v>
      </c>
      <c r="C33" s="10"/>
      <c r="D33" s="10"/>
      <c r="E33" s="10">
        <v>32090</v>
      </c>
      <c r="F33" s="10"/>
      <c r="G33" s="10">
        <f t="shared" si="0"/>
        <v>32090</v>
      </c>
      <c r="H33" s="16">
        <f t="shared" si="1"/>
        <v>8.17</v>
      </c>
      <c r="I33" s="15">
        <f t="shared" si="2"/>
        <v>1.9E-2</v>
      </c>
      <c r="J33" s="15">
        <f>ROUND(G33/25240-1,2)</f>
        <v>0.27</v>
      </c>
    </row>
    <row r="34" spans="1:10" x14ac:dyDescent="0.25">
      <c r="A34" s="1" t="s">
        <v>16</v>
      </c>
      <c r="B34" s="1" t="s">
        <v>41</v>
      </c>
      <c r="C34" s="10"/>
      <c r="D34" s="10"/>
      <c r="E34" s="10">
        <v>185340</v>
      </c>
      <c r="F34" s="10">
        <v>6400</v>
      </c>
      <c r="G34" s="10">
        <f t="shared" si="0"/>
        <v>191740</v>
      </c>
      <c r="H34" s="16">
        <f t="shared" si="1"/>
        <v>48.84</v>
      </c>
      <c r="I34" s="15">
        <f t="shared" si="2"/>
        <v>0.111</v>
      </c>
      <c r="J34" s="15">
        <f>ROUND(G34/175480-1,2)</f>
        <v>0.09</v>
      </c>
    </row>
    <row r="35" spans="1:10" x14ac:dyDescent="0.25">
      <c r="A35" s="1" t="s">
        <v>16</v>
      </c>
      <c r="B35" s="1" t="s">
        <v>36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>
        <f>ROUND(G35/3377-1,2)</f>
        <v>-1</v>
      </c>
    </row>
    <row r="36" spans="1:10" x14ac:dyDescent="0.25">
      <c r="A36" s="1" t="s">
        <v>44</v>
      </c>
      <c r="B36" s="1" t="s">
        <v>45</v>
      </c>
      <c r="C36" s="10">
        <v>237400</v>
      </c>
      <c r="D36" s="10"/>
      <c r="E36" s="10"/>
      <c r="F36" s="10">
        <v>1960</v>
      </c>
      <c r="G36" s="10">
        <f t="shared" si="0"/>
        <v>239360</v>
      </c>
      <c r="H36" s="16">
        <f t="shared" si="1"/>
        <v>60.97</v>
      </c>
      <c r="I36" s="15">
        <f t="shared" si="2"/>
        <v>0.13900000000000001</v>
      </c>
      <c r="J36" s="15">
        <f>ROUND(G36/230430-1,2)</f>
        <v>0.04</v>
      </c>
    </row>
    <row r="37" spans="1:10" x14ac:dyDescent="0.25">
      <c r="A37" s="1" t="s">
        <v>44</v>
      </c>
      <c r="B37" s="1" t="s">
        <v>47</v>
      </c>
      <c r="C37" s="10"/>
      <c r="D37" s="10"/>
      <c r="E37" s="10"/>
      <c r="F37" s="10">
        <v>47140</v>
      </c>
      <c r="G37" s="10">
        <f t="shared" si="0"/>
        <v>47140</v>
      </c>
      <c r="H37" s="16">
        <f t="shared" si="1"/>
        <v>12.01</v>
      </c>
      <c r="I37" s="15">
        <f t="shared" si="2"/>
        <v>2.7E-2</v>
      </c>
      <c r="J37" s="15">
        <f>ROUND(G37/39880-1,2)</f>
        <v>0.18</v>
      </c>
    </row>
    <row r="38" spans="1:10" x14ac:dyDescent="0.25">
      <c r="A38" s="1" t="s">
        <v>44</v>
      </c>
      <c r="B38" s="1" t="s">
        <v>46</v>
      </c>
      <c r="C38" s="10"/>
      <c r="D38" s="10"/>
      <c r="E38" s="10">
        <v>55005</v>
      </c>
      <c r="F38" s="10"/>
      <c r="G38" s="10">
        <f t="shared" si="0"/>
        <v>55005</v>
      </c>
      <c r="H38" s="16">
        <f t="shared" si="1"/>
        <v>14.01</v>
      </c>
      <c r="I38" s="15">
        <f t="shared" si="2"/>
        <v>3.2000000000000001E-2</v>
      </c>
      <c r="J38" s="15">
        <f>ROUND(G38/46410-1,2)</f>
        <v>0.19</v>
      </c>
    </row>
    <row r="39" spans="1:10" x14ac:dyDescent="0.25">
      <c r="A39" s="1" t="s">
        <v>48</v>
      </c>
      <c r="B39" s="1" t="s">
        <v>51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1" t="s">
        <v>48</v>
      </c>
      <c r="B40" s="1" t="s">
        <v>86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/>
    </row>
    <row r="41" spans="1:10" x14ac:dyDescent="0.25">
      <c r="A41" s="30" t="s">
        <v>12</v>
      </c>
      <c r="B41" s="30"/>
      <c r="C41" s="11">
        <f t="shared" ref="C41:H41" si="3">SUM(C8:C40)</f>
        <v>1140955</v>
      </c>
      <c r="D41" s="11">
        <f t="shared" si="3"/>
        <v>281</v>
      </c>
      <c r="E41" s="11">
        <f t="shared" si="3"/>
        <v>528744</v>
      </c>
      <c r="F41" s="11">
        <f t="shared" si="3"/>
        <v>56740</v>
      </c>
      <c r="G41" s="11">
        <f t="shared" si="3"/>
        <v>1726720</v>
      </c>
      <c r="H41" s="14">
        <f t="shared" si="3"/>
        <v>439.81000000000017</v>
      </c>
      <c r="I41" s="17"/>
      <c r="J41" s="17"/>
    </row>
    <row r="42" spans="1:10" x14ac:dyDescent="0.25">
      <c r="A42" s="30" t="s">
        <v>14</v>
      </c>
      <c r="B42" s="30"/>
      <c r="C42" s="12">
        <f>ROUND(C41/G41,2)</f>
        <v>0.66</v>
      </c>
      <c r="D42" s="12">
        <f>ROUND(D41/G41,2)</f>
        <v>0</v>
      </c>
      <c r="E42" s="12">
        <f>ROUND(E41/G41,2)</f>
        <v>0.31</v>
      </c>
      <c r="F42" s="12">
        <f>ROUND(F41/G41,2)</f>
        <v>0.03</v>
      </c>
      <c r="G42" s="13"/>
      <c r="H42" s="13"/>
      <c r="I42" s="17"/>
      <c r="J42" s="17"/>
    </row>
    <row r="43" spans="1:10" x14ac:dyDescent="0.25">
      <c r="A43" s="2" t="s">
        <v>52</v>
      </c>
      <c r="B43" s="2"/>
      <c r="C43" s="13"/>
      <c r="D43" s="13"/>
      <c r="E43" s="13"/>
      <c r="F43" s="13"/>
      <c r="G43" s="13"/>
      <c r="H43" s="13"/>
      <c r="I43" s="17"/>
      <c r="J43" s="17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A47" s="30" t="s">
        <v>53</v>
      </c>
      <c r="B47" s="30"/>
      <c r="C47" s="11" t="s">
        <v>8</v>
      </c>
      <c r="D47" s="11" t="s">
        <v>9</v>
      </c>
      <c r="E47" s="11" t="s">
        <v>10</v>
      </c>
      <c r="F47" s="11" t="s">
        <v>11</v>
      </c>
      <c r="G47" s="11" t="s">
        <v>12</v>
      </c>
      <c r="H47" s="14" t="s">
        <v>13</v>
      </c>
      <c r="I47" s="17"/>
      <c r="J47" s="17"/>
    </row>
    <row r="48" spans="1:10" x14ac:dyDescent="0.25">
      <c r="A48" s="29" t="s">
        <v>54</v>
      </c>
      <c r="B48" s="29"/>
      <c r="C48" s="10">
        <v>903555</v>
      </c>
      <c r="D48" s="10">
        <v>281</v>
      </c>
      <c r="E48" s="10">
        <v>473739</v>
      </c>
      <c r="F48" s="10">
        <v>7640</v>
      </c>
      <c r="G48" s="10">
        <f>SUM(C48:F48)</f>
        <v>1385215</v>
      </c>
      <c r="H48" s="16">
        <f>ROUND(G48/3926,2)</f>
        <v>352.83</v>
      </c>
      <c r="I48" s="9"/>
      <c r="J48" s="9"/>
    </row>
    <row r="49" spans="1:10" x14ac:dyDescent="0.25">
      <c r="A49" s="29" t="s">
        <v>55</v>
      </c>
      <c r="B49" s="29"/>
      <c r="C49" s="10">
        <v>237400</v>
      </c>
      <c r="D49" s="10">
        <v>0</v>
      </c>
      <c r="E49" s="10">
        <v>55005</v>
      </c>
      <c r="F49" s="10">
        <v>49100</v>
      </c>
      <c r="G49" s="10">
        <f>SUM(C49:F49)</f>
        <v>341505</v>
      </c>
      <c r="H49" s="16">
        <f>ROUND(G49/3926,2)</f>
        <v>86.99</v>
      </c>
      <c r="I49" s="9"/>
      <c r="J49" s="9"/>
    </row>
    <row r="50" spans="1:10" x14ac:dyDescent="0.25">
      <c r="A50" s="29" t="s">
        <v>56</v>
      </c>
      <c r="B50" s="29"/>
      <c r="C50" s="10">
        <v>0</v>
      </c>
      <c r="D50" s="10">
        <v>0</v>
      </c>
      <c r="E50" s="10">
        <v>0</v>
      </c>
      <c r="F50" s="10">
        <v>0</v>
      </c>
      <c r="G50" s="10">
        <f>SUM(C50:F50)</f>
        <v>0</v>
      </c>
      <c r="H50" s="16">
        <f>ROUND(G50/3926,2)</f>
        <v>0</v>
      </c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A55" s="30" t="s">
        <v>57</v>
      </c>
      <c r="B55" s="30"/>
      <c r="C55" s="14" t="s">
        <v>2</v>
      </c>
      <c r="D55" s="14">
        <v>2023</v>
      </c>
      <c r="E55" s="14" t="s">
        <v>59</v>
      </c>
      <c r="F55" s="13"/>
      <c r="G55" s="14" t="s">
        <v>60</v>
      </c>
      <c r="H55" s="14" t="s">
        <v>2</v>
      </c>
      <c r="I55" s="12" t="s">
        <v>61</v>
      </c>
      <c r="J55" s="12" t="s">
        <v>59</v>
      </c>
    </row>
    <row r="56" spans="1:10" x14ac:dyDescent="0.25">
      <c r="A56" s="29" t="s">
        <v>58</v>
      </c>
      <c r="B56" s="29"/>
      <c r="C56" s="15">
        <f>ROUND(0.8503, 4)</f>
        <v>0.85029999999999994</v>
      </c>
      <c r="D56" s="15">
        <f>ROUND(0.8544, 4)</f>
        <v>0.85440000000000005</v>
      </c>
      <c r="E56" s="15">
        <f>ROUND(0.777, 4)</f>
        <v>0.77700000000000002</v>
      </c>
      <c r="F56" s="8"/>
      <c r="G56" s="14" t="s">
        <v>62</v>
      </c>
      <c r="H56" s="33" t="s">
        <v>63</v>
      </c>
      <c r="I56" s="31" t="s">
        <v>64</v>
      </c>
      <c r="J56" s="31" t="s">
        <v>65</v>
      </c>
    </row>
    <row r="57" spans="1:10" x14ac:dyDescent="0.25">
      <c r="A57" s="29" t="s">
        <v>66</v>
      </c>
      <c r="B57" s="29"/>
      <c r="C57" s="15">
        <f>ROUND(0.8372, 4)</f>
        <v>0.83720000000000006</v>
      </c>
      <c r="D57" s="15">
        <f>ROUND(0.8414, 4)</f>
        <v>0.84140000000000004</v>
      </c>
      <c r="E57" s="15">
        <f>ROUND(0.7608, 4)</f>
        <v>0.76080000000000003</v>
      </c>
      <c r="F57" s="8"/>
      <c r="G57" s="20" t="s">
        <v>67</v>
      </c>
      <c r="H57" s="34"/>
      <c r="I57" s="32"/>
      <c r="J57" s="32"/>
    </row>
    <row r="58" spans="1:10" x14ac:dyDescent="0.25">
      <c r="C58" s="8"/>
      <c r="D58" s="8"/>
      <c r="E58" s="8"/>
      <c r="F58" s="8"/>
      <c r="G58" s="21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A61" s="30" t="s">
        <v>68</v>
      </c>
      <c r="B61" s="30"/>
      <c r="C61" s="14" t="s">
        <v>2</v>
      </c>
      <c r="D61" s="14" t="s">
        <v>109</v>
      </c>
      <c r="E61" s="14" t="s">
        <v>70</v>
      </c>
      <c r="F61" s="14" t="s">
        <v>71</v>
      </c>
      <c r="G61" s="14" t="s">
        <v>72</v>
      </c>
      <c r="H61" s="13"/>
      <c r="I61" s="17"/>
      <c r="J61" s="17"/>
    </row>
    <row r="62" spans="1:10" x14ac:dyDescent="0.25">
      <c r="A62" s="29" t="s">
        <v>73</v>
      </c>
      <c r="B62" s="29"/>
      <c r="C62" s="16">
        <v>60.97</v>
      </c>
      <c r="D62" s="16">
        <v>61.03</v>
      </c>
      <c r="E62" s="16">
        <v>93.87</v>
      </c>
      <c r="F62" s="16">
        <v>57.16</v>
      </c>
      <c r="G62" s="16">
        <f>12/12*C62</f>
        <v>60.97</v>
      </c>
      <c r="H62" s="8"/>
      <c r="I62" s="9"/>
      <c r="J62" s="9"/>
    </row>
    <row r="63" spans="1:10" x14ac:dyDescent="0.25">
      <c r="A63" s="29" t="s">
        <v>74</v>
      </c>
      <c r="B63" s="29"/>
      <c r="C63" s="16">
        <v>92.5</v>
      </c>
      <c r="D63" s="16">
        <v>84.56</v>
      </c>
      <c r="E63" s="16">
        <v>62.84</v>
      </c>
      <c r="F63" s="16">
        <v>65.39</v>
      </c>
      <c r="G63" s="16">
        <f>12/12*C63</f>
        <v>92.5</v>
      </c>
      <c r="H63" s="8"/>
      <c r="I63" s="9"/>
      <c r="J63" s="9"/>
    </row>
    <row r="64" spans="1:10" x14ac:dyDescent="0.25">
      <c r="A64" s="29" t="s">
        <v>75</v>
      </c>
      <c r="B64" s="29"/>
      <c r="C64" s="16">
        <v>352.83</v>
      </c>
      <c r="D64" s="16">
        <v>351.53</v>
      </c>
      <c r="E64" s="16">
        <v>295.08999999999997</v>
      </c>
      <c r="F64" s="16">
        <v>289.06</v>
      </c>
      <c r="G64" s="16">
        <f>12/12*C64</f>
        <v>352.83</v>
      </c>
      <c r="H64" s="8"/>
      <c r="I64" s="9"/>
      <c r="J64" s="9"/>
    </row>
    <row r="65" spans="1:10" x14ac:dyDescent="0.25">
      <c r="A65" s="29" t="s">
        <v>76</v>
      </c>
      <c r="B65" s="29"/>
      <c r="C65" s="16">
        <v>86.99</v>
      </c>
      <c r="D65" s="16">
        <v>85.99</v>
      </c>
      <c r="E65" s="16">
        <v>118.05</v>
      </c>
      <c r="F65" s="16">
        <v>81.41</v>
      </c>
      <c r="G65" s="16">
        <f>12/12*C65</f>
        <v>86.99</v>
      </c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28" t="s">
        <v>60</v>
      </c>
      <c r="B68" s="35"/>
    </row>
    <row r="69" spans="1:10" x14ac:dyDescent="0.25">
      <c r="A69" s="3" t="s">
        <v>77</v>
      </c>
      <c r="B69" s="1" t="s">
        <v>110</v>
      </c>
    </row>
    <row r="70" spans="1:10" x14ac:dyDescent="0.25">
      <c r="A70" s="3" t="s">
        <v>70</v>
      </c>
      <c r="B70" s="1" t="s">
        <v>79</v>
      </c>
    </row>
    <row r="71" spans="1:10" x14ac:dyDescent="0.25">
      <c r="A71" s="3" t="s">
        <v>71</v>
      </c>
      <c r="B71" s="1" t="s">
        <v>80</v>
      </c>
    </row>
    <row r="72" spans="1:10" x14ac:dyDescent="0.25">
      <c r="A72" s="3" t="s">
        <v>72</v>
      </c>
      <c r="B72" s="1" t="s">
        <v>81</v>
      </c>
    </row>
  </sheetData>
  <mergeCells count="19">
    <mergeCell ref="A63:B63"/>
    <mergeCell ref="A64:B64"/>
    <mergeCell ref="A65:B65"/>
    <mergeCell ref="A68:B68"/>
    <mergeCell ref="I56:I57"/>
    <mergeCell ref="J56:J57"/>
    <mergeCell ref="A57:B57"/>
    <mergeCell ref="A61:B61"/>
    <mergeCell ref="A62:B62"/>
    <mergeCell ref="A49:B49"/>
    <mergeCell ref="A50:B50"/>
    <mergeCell ref="A55:B55"/>
    <mergeCell ref="A56:B56"/>
    <mergeCell ref="H56:H57"/>
    <mergeCell ref="C7:G7"/>
    <mergeCell ref="A41:B41"/>
    <mergeCell ref="A42:B42"/>
    <mergeCell ref="A47:B47"/>
    <mergeCell ref="A48:B4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J78"/>
  <sheetViews>
    <sheetView workbookViewId="0"/>
  </sheetViews>
  <sheetFormatPr defaultRowHeight="15" x14ac:dyDescent="0.25"/>
  <cols>
    <col min="1" max="1" width="28.42578125" bestFit="1" customWidth="1"/>
    <col min="2" max="2" width="61.28515625" bestFit="1" customWidth="1"/>
    <col min="3" max="3" width="12.7109375" bestFit="1" customWidth="1"/>
    <col min="4" max="4" width="38.8554687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111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1533</v>
      </c>
    </row>
    <row r="7" spans="1:10" x14ac:dyDescent="0.25">
      <c r="C7" s="28" t="s">
        <v>5</v>
      </c>
      <c r="D7" s="29"/>
      <c r="E7" s="29"/>
      <c r="F7" s="29"/>
      <c r="G7" s="29"/>
    </row>
    <row r="8" spans="1:10" x14ac:dyDescent="0.25">
      <c r="A8" s="25" t="s">
        <v>6</v>
      </c>
      <c r="B8" s="25" t="s">
        <v>7</v>
      </c>
      <c r="C8" s="27" t="s">
        <v>8</v>
      </c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16</v>
      </c>
      <c r="F9" s="10"/>
      <c r="G9" s="10">
        <f t="shared" ref="G9:G35" si="0">SUM(C9:F9)</f>
        <v>16</v>
      </c>
      <c r="H9" s="16">
        <f t="shared" ref="H9:H35" si="1">ROUND(G9/1533,2)</f>
        <v>0.01</v>
      </c>
      <c r="I9" s="15">
        <f t="shared" ref="I9:I35" si="2">ROUND(G9/$G$36,3)</f>
        <v>0</v>
      </c>
      <c r="J9" s="15">
        <f>ROUND(G9/50-1,2)</f>
        <v>-0.68</v>
      </c>
    </row>
    <row r="10" spans="1:10" x14ac:dyDescent="0.25">
      <c r="A10" s="1" t="s">
        <v>16</v>
      </c>
      <c r="B10" s="1" t="s">
        <v>19</v>
      </c>
      <c r="C10" s="10">
        <v>49880</v>
      </c>
      <c r="D10" s="10"/>
      <c r="E10" s="10"/>
      <c r="F10" s="10"/>
      <c r="G10" s="10">
        <f t="shared" si="0"/>
        <v>49880</v>
      </c>
      <c r="H10" s="16">
        <f t="shared" si="1"/>
        <v>32.54</v>
      </c>
      <c r="I10" s="15">
        <f t="shared" si="2"/>
        <v>7.8E-2</v>
      </c>
      <c r="J10" s="15">
        <f>ROUND(G10/51520-1,2)</f>
        <v>-0.03</v>
      </c>
    </row>
    <row r="11" spans="1:10" x14ac:dyDescent="0.25">
      <c r="A11" s="1" t="s">
        <v>16</v>
      </c>
      <c r="B11" s="1" t="s">
        <v>20</v>
      </c>
      <c r="C11" s="10">
        <v>66040</v>
      </c>
      <c r="D11" s="10"/>
      <c r="E11" s="10"/>
      <c r="F11" s="10"/>
      <c r="G11" s="10">
        <f t="shared" si="0"/>
        <v>66040</v>
      </c>
      <c r="H11" s="16">
        <f t="shared" si="1"/>
        <v>43.08</v>
      </c>
      <c r="I11" s="15">
        <f t="shared" si="2"/>
        <v>0.10299999999999999</v>
      </c>
      <c r="J11" s="15">
        <f>ROUND(G11/63350-1,2)</f>
        <v>0.04</v>
      </c>
    </row>
    <row r="12" spans="1:10" x14ac:dyDescent="0.25">
      <c r="A12" s="1" t="s">
        <v>16</v>
      </c>
      <c r="B12" s="1" t="s">
        <v>22</v>
      </c>
      <c r="C12" s="10"/>
      <c r="D12" s="10"/>
      <c r="E12" s="10">
        <v>320</v>
      </c>
      <c r="F12" s="10"/>
      <c r="G12" s="10">
        <f t="shared" si="0"/>
        <v>320</v>
      </c>
      <c r="H12" s="16">
        <f t="shared" si="1"/>
        <v>0.21</v>
      </c>
      <c r="I12" s="15">
        <f t="shared" si="2"/>
        <v>0</v>
      </c>
      <c r="J12" s="15"/>
    </row>
    <row r="13" spans="1:10" x14ac:dyDescent="0.25">
      <c r="A13" s="1" t="s">
        <v>16</v>
      </c>
      <c r="B13" s="1" t="s">
        <v>24</v>
      </c>
      <c r="C13" s="10">
        <v>68800</v>
      </c>
      <c r="D13" s="10"/>
      <c r="E13" s="10"/>
      <c r="F13" s="10"/>
      <c r="G13" s="10">
        <f t="shared" si="0"/>
        <v>68800</v>
      </c>
      <c r="H13" s="16">
        <f t="shared" si="1"/>
        <v>44.88</v>
      </c>
      <c r="I13" s="15">
        <f t="shared" si="2"/>
        <v>0.107</v>
      </c>
      <c r="J13" s="15">
        <f>ROUND(G13/66440-1,2)</f>
        <v>0.04</v>
      </c>
    </row>
    <row r="14" spans="1:10" x14ac:dyDescent="0.25">
      <c r="A14" s="1" t="s">
        <v>16</v>
      </c>
      <c r="B14" s="1" t="s">
        <v>25</v>
      </c>
      <c r="C14" s="10"/>
      <c r="D14" s="10"/>
      <c r="E14" s="10">
        <v>900</v>
      </c>
      <c r="F14" s="10"/>
      <c r="G14" s="10">
        <f t="shared" si="0"/>
        <v>900</v>
      </c>
      <c r="H14" s="16">
        <f t="shared" si="1"/>
        <v>0.59</v>
      </c>
      <c r="I14" s="15">
        <f t="shared" si="2"/>
        <v>1E-3</v>
      </c>
      <c r="J14" s="15">
        <f>ROUND(G14/1835-1,2)</f>
        <v>-0.51</v>
      </c>
    </row>
    <row r="15" spans="1:10" x14ac:dyDescent="0.25">
      <c r="A15" s="1" t="s">
        <v>16</v>
      </c>
      <c r="B15" s="1" t="s">
        <v>26</v>
      </c>
      <c r="C15" s="10">
        <v>139850</v>
      </c>
      <c r="D15" s="10"/>
      <c r="E15" s="10"/>
      <c r="F15" s="10">
        <v>280</v>
      </c>
      <c r="G15" s="10">
        <f t="shared" si="0"/>
        <v>140130</v>
      </c>
      <c r="H15" s="16">
        <f t="shared" si="1"/>
        <v>91.41</v>
      </c>
      <c r="I15" s="15">
        <f t="shared" si="2"/>
        <v>0.219</v>
      </c>
      <c r="J15" s="15">
        <f>ROUND(G15/141220-1,2)</f>
        <v>-0.01</v>
      </c>
    </row>
    <row r="16" spans="1:10" x14ac:dyDescent="0.25">
      <c r="A16" s="1" t="s">
        <v>16</v>
      </c>
      <c r="B16" s="1" t="s">
        <v>27</v>
      </c>
      <c r="C16" s="10"/>
      <c r="D16" s="10"/>
      <c r="E16" s="10">
        <v>614</v>
      </c>
      <c r="F16" s="10"/>
      <c r="G16" s="10">
        <f t="shared" si="0"/>
        <v>614</v>
      </c>
      <c r="H16" s="16">
        <f t="shared" si="1"/>
        <v>0.4</v>
      </c>
      <c r="I16" s="15">
        <f t="shared" si="2"/>
        <v>1E-3</v>
      </c>
      <c r="J16" s="15">
        <f>ROUND(G16/411-1,2)</f>
        <v>0.49</v>
      </c>
    </row>
    <row r="17" spans="1:10" x14ac:dyDescent="0.25">
      <c r="A17" s="1" t="s">
        <v>16</v>
      </c>
      <c r="B17" s="1" t="s">
        <v>28</v>
      </c>
      <c r="C17" s="10"/>
      <c r="D17" s="10"/>
      <c r="E17" s="10">
        <v>361</v>
      </c>
      <c r="F17" s="10"/>
      <c r="G17" s="10">
        <f t="shared" si="0"/>
        <v>361</v>
      </c>
      <c r="H17" s="16">
        <f t="shared" si="1"/>
        <v>0.24</v>
      </c>
      <c r="I17" s="15">
        <f t="shared" si="2"/>
        <v>1E-3</v>
      </c>
      <c r="J17" s="15">
        <f>ROUND(G17/110-1,2)</f>
        <v>2.2799999999999998</v>
      </c>
    </row>
    <row r="18" spans="1:10" x14ac:dyDescent="0.25">
      <c r="A18" s="1" t="s">
        <v>16</v>
      </c>
      <c r="B18" s="1" t="s">
        <v>29</v>
      </c>
      <c r="C18" s="10"/>
      <c r="D18" s="10"/>
      <c r="E18" s="10">
        <v>2060</v>
      </c>
      <c r="F18" s="10"/>
      <c r="G18" s="10">
        <f t="shared" si="0"/>
        <v>2060</v>
      </c>
      <c r="H18" s="16">
        <f t="shared" si="1"/>
        <v>1.34</v>
      </c>
      <c r="I18" s="15">
        <f t="shared" si="2"/>
        <v>3.0000000000000001E-3</v>
      </c>
      <c r="J18" s="15">
        <f>ROUND(G18/2200-1,2)</f>
        <v>-0.06</v>
      </c>
    </row>
    <row r="19" spans="1:10" x14ac:dyDescent="0.25">
      <c r="A19" s="1" t="s">
        <v>16</v>
      </c>
      <c r="B19" s="1" t="s">
        <v>30</v>
      </c>
      <c r="C19" s="10"/>
      <c r="D19" s="10"/>
      <c r="E19" s="10">
        <v>520</v>
      </c>
      <c r="F19" s="10"/>
      <c r="G19" s="10">
        <f t="shared" si="0"/>
        <v>520</v>
      </c>
      <c r="H19" s="16">
        <f t="shared" si="1"/>
        <v>0.34</v>
      </c>
      <c r="I19" s="15">
        <f t="shared" si="2"/>
        <v>1E-3</v>
      </c>
      <c r="J19" s="15">
        <f>ROUND(G19/880-1,2)</f>
        <v>-0.41</v>
      </c>
    </row>
    <row r="20" spans="1:10" x14ac:dyDescent="0.25">
      <c r="A20" s="1" t="s">
        <v>16</v>
      </c>
      <c r="B20" s="1" t="s">
        <v>33</v>
      </c>
      <c r="C20" s="10"/>
      <c r="D20" s="10">
        <v>190</v>
      </c>
      <c r="E20" s="10">
        <v>75</v>
      </c>
      <c r="F20" s="10"/>
      <c r="G20" s="10">
        <f t="shared" si="0"/>
        <v>265</v>
      </c>
      <c r="H20" s="16">
        <f t="shared" si="1"/>
        <v>0.17</v>
      </c>
      <c r="I20" s="15">
        <f t="shared" si="2"/>
        <v>0</v>
      </c>
      <c r="J20" s="15">
        <f>ROUND(G20/192-1,2)</f>
        <v>0.38</v>
      </c>
    </row>
    <row r="21" spans="1:10" x14ac:dyDescent="0.25">
      <c r="A21" s="1" t="s">
        <v>16</v>
      </c>
      <c r="B21" s="1" t="s">
        <v>35</v>
      </c>
      <c r="C21" s="10"/>
      <c r="D21" s="10"/>
      <c r="E21" s="10">
        <v>270</v>
      </c>
      <c r="F21" s="10"/>
      <c r="G21" s="10">
        <f t="shared" si="0"/>
        <v>270</v>
      </c>
      <c r="H21" s="16">
        <f t="shared" si="1"/>
        <v>0.18</v>
      </c>
      <c r="I21" s="15">
        <f t="shared" si="2"/>
        <v>0</v>
      </c>
      <c r="J21" s="15"/>
    </row>
    <row r="22" spans="1:10" x14ac:dyDescent="0.25">
      <c r="A22" s="1" t="s">
        <v>16</v>
      </c>
      <c r="B22" s="1" t="s">
        <v>34</v>
      </c>
      <c r="C22" s="10"/>
      <c r="D22" s="10"/>
      <c r="E22" s="10">
        <v>270</v>
      </c>
      <c r="F22" s="10"/>
      <c r="G22" s="10">
        <f t="shared" si="0"/>
        <v>270</v>
      </c>
      <c r="H22" s="16">
        <f t="shared" si="1"/>
        <v>0.18</v>
      </c>
      <c r="I22" s="15">
        <f t="shared" si="2"/>
        <v>0</v>
      </c>
      <c r="J22" s="15">
        <f>ROUND(G22/700-1,2)</f>
        <v>-0.61</v>
      </c>
    </row>
    <row r="23" spans="1:10" x14ac:dyDescent="0.25">
      <c r="A23" s="1" t="s">
        <v>16</v>
      </c>
      <c r="B23" s="1" t="s">
        <v>37</v>
      </c>
      <c r="C23" s="10"/>
      <c r="D23" s="10"/>
      <c r="E23" s="10">
        <v>730</v>
      </c>
      <c r="F23" s="10"/>
      <c r="G23" s="10">
        <f t="shared" si="0"/>
        <v>730</v>
      </c>
      <c r="H23" s="16">
        <f t="shared" si="1"/>
        <v>0.48</v>
      </c>
      <c r="I23" s="15">
        <f t="shared" si="2"/>
        <v>1E-3</v>
      </c>
      <c r="J23" s="15">
        <f>ROUND(G23/1800-1,2)</f>
        <v>-0.59</v>
      </c>
    </row>
    <row r="24" spans="1:10" x14ac:dyDescent="0.25">
      <c r="A24" s="1" t="s">
        <v>16</v>
      </c>
      <c r="B24" s="1" t="s">
        <v>38</v>
      </c>
      <c r="C24" s="10"/>
      <c r="D24" s="10"/>
      <c r="E24" s="10">
        <v>37910</v>
      </c>
      <c r="F24" s="10"/>
      <c r="G24" s="10">
        <f t="shared" si="0"/>
        <v>37910</v>
      </c>
      <c r="H24" s="16">
        <f t="shared" si="1"/>
        <v>24.73</v>
      </c>
      <c r="I24" s="15">
        <f t="shared" si="2"/>
        <v>5.8999999999999997E-2</v>
      </c>
      <c r="J24" s="15">
        <f>ROUND(G24/28430-1,2)</f>
        <v>0.33</v>
      </c>
    </row>
    <row r="25" spans="1:10" x14ac:dyDescent="0.25">
      <c r="A25" s="1" t="s">
        <v>16</v>
      </c>
      <c r="B25" s="1" t="s">
        <v>39</v>
      </c>
      <c r="C25" s="10"/>
      <c r="D25" s="10"/>
      <c r="E25" s="10">
        <v>2455</v>
      </c>
      <c r="F25" s="10"/>
      <c r="G25" s="10">
        <f t="shared" si="0"/>
        <v>2455</v>
      </c>
      <c r="H25" s="16">
        <f t="shared" si="1"/>
        <v>1.6</v>
      </c>
      <c r="I25" s="15">
        <f t="shared" si="2"/>
        <v>4.0000000000000001E-3</v>
      </c>
      <c r="J25" s="15">
        <f>ROUND(G25/2135-1,2)</f>
        <v>0.15</v>
      </c>
    </row>
    <row r="26" spans="1:10" x14ac:dyDescent="0.25">
      <c r="A26" s="1" t="s">
        <v>16</v>
      </c>
      <c r="B26" s="1" t="s">
        <v>40</v>
      </c>
      <c r="C26" s="10"/>
      <c r="D26" s="10"/>
      <c r="E26" s="10">
        <v>8760</v>
      </c>
      <c r="F26" s="10"/>
      <c r="G26" s="10">
        <f t="shared" si="0"/>
        <v>8760</v>
      </c>
      <c r="H26" s="16">
        <f t="shared" si="1"/>
        <v>5.71</v>
      </c>
      <c r="I26" s="15">
        <f t="shared" si="2"/>
        <v>1.4E-2</v>
      </c>
      <c r="J26" s="15">
        <f>ROUND(G26/7830-1,2)</f>
        <v>0.12</v>
      </c>
    </row>
    <row r="27" spans="1:10" x14ac:dyDescent="0.25">
      <c r="A27" s="1" t="s">
        <v>16</v>
      </c>
      <c r="B27" s="1" t="s">
        <v>41</v>
      </c>
      <c r="C27" s="10"/>
      <c r="D27" s="10"/>
      <c r="E27" s="10">
        <v>55770</v>
      </c>
      <c r="F27" s="10">
        <v>1680</v>
      </c>
      <c r="G27" s="10">
        <f t="shared" si="0"/>
        <v>57450</v>
      </c>
      <c r="H27" s="16">
        <f t="shared" si="1"/>
        <v>37.479999999999997</v>
      </c>
      <c r="I27" s="15">
        <f t="shared" si="2"/>
        <v>0.09</v>
      </c>
      <c r="J27" s="15">
        <f>ROUND(G27/34840-1,2)</f>
        <v>0.65</v>
      </c>
    </row>
    <row r="28" spans="1:10" x14ac:dyDescent="0.25">
      <c r="A28" s="1" t="s">
        <v>16</v>
      </c>
      <c r="B28" s="1" t="s">
        <v>42</v>
      </c>
      <c r="C28" s="10"/>
      <c r="D28" s="10"/>
      <c r="E28" s="10"/>
      <c r="F28" s="10"/>
      <c r="G28" s="10">
        <f t="shared" si="0"/>
        <v>0</v>
      </c>
      <c r="H28" s="16">
        <f t="shared" si="1"/>
        <v>0</v>
      </c>
      <c r="I28" s="15">
        <f t="shared" si="2"/>
        <v>0</v>
      </c>
      <c r="J28" s="15">
        <f>ROUND(G28/68-1,2)</f>
        <v>-1</v>
      </c>
    </row>
    <row r="29" spans="1:10" x14ac:dyDescent="0.25">
      <c r="A29" s="1" t="s">
        <v>16</v>
      </c>
      <c r="B29" s="1" t="s">
        <v>36</v>
      </c>
      <c r="C29" s="10"/>
      <c r="D29" s="10"/>
      <c r="E29" s="10"/>
      <c r="F29" s="10"/>
      <c r="G29" s="10">
        <f t="shared" si="0"/>
        <v>0</v>
      </c>
      <c r="H29" s="16">
        <f t="shared" si="1"/>
        <v>0</v>
      </c>
      <c r="I29" s="15">
        <f t="shared" si="2"/>
        <v>0</v>
      </c>
      <c r="J29" s="15">
        <f>ROUND(G29/1560-1,2)</f>
        <v>-1</v>
      </c>
    </row>
    <row r="30" spans="1:10" x14ac:dyDescent="0.25">
      <c r="A30" s="1" t="s">
        <v>16</v>
      </c>
      <c r="B30" s="1" t="s">
        <v>43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>
        <f>ROUND(G30/3670-1,2)</f>
        <v>-1</v>
      </c>
    </row>
    <row r="31" spans="1:10" x14ac:dyDescent="0.25">
      <c r="A31" s="1" t="s">
        <v>16</v>
      </c>
      <c r="B31" s="1" t="s">
        <v>95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/>
    </row>
    <row r="32" spans="1:10" x14ac:dyDescent="0.25">
      <c r="A32" s="1" t="s">
        <v>16</v>
      </c>
      <c r="B32" s="1" t="s">
        <v>23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/>
    </row>
    <row r="33" spans="1:10" x14ac:dyDescent="0.25">
      <c r="A33" s="1" t="s">
        <v>44</v>
      </c>
      <c r="B33" s="1" t="s">
        <v>45</v>
      </c>
      <c r="C33" s="10">
        <v>151530</v>
      </c>
      <c r="D33" s="10"/>
      <c r="E33" s="10"/>
      <c r="F33" s="10"/>
      <c r="G33" s="10">
        <f t="shared" si="0"/>
        <v>151530</v>
      </c>
      <c r="H33" s="16">
        <f t="shared" si="1"/>
        <v>98.85</v>
      </c>
      <c r="I33" s="15">
        <f t="shared" si="2"/>
        <v>0.23699999999999999</v>
      </c>
      <c r="J33" s="15">
        <f>ROUND(G33/151450-1,2)</f>
        <v>0</v>
      </c>
    </row>
    <row r="34" spans="1:10" x14ac:dyDescent="0.25">
      <c r="A34" s="1" t="s">
        <v>44</v>
      </c>
      <c r="B34" s="1" t="s">
        <v>47</v>
      </c>
      <c r="C34" s="10"/>
      <c r="D34" s="10"/>
      <c r="E34" s="10"/>
      <c r="F34" s="10">
        <v>18080</v>
      </c>
      <c r="G34" s="10">
        <f t="shared" si="0"/>
        <v>18080</v>
      </c>
      <c r="H34" s="16">
        <f t="shared" si="1"/>
        <v>11.79</v>
      </c>
      <c r="I34" s="15">
        <f t="shared" si="2"/>
        <v>2.8000000000000001E-2</v>
      </c>
      <c r="J34" s="15">
        <f>ROUND(G34/28020-1,2)</f>
        <v>-0.35</v>
      </c>
    </row>
    <row r="35" spans="1:10" x14ac:dyDescent="0.25">
      <c r="A35" s="1" t="s">
        <v>44</v>
      </c>
      <c r="B35" s="1" t="s">
        <v>46</v>
      </c>
      <c r="C35" s="10"/>
      <c r="D35" s="10"/>
      <c r="E35" s="10">
        <v>32690</v>
      </c>
      <c r="F35" s="10"/>
      <c r="G35" s="10">
        <f t="shared" si="0"/>
        <v>32690</v>
      </c>
      <c r="H35" s="16">
        <f t="shared" si="1"/>
        <v>21.32</v>
      </c>
      <c r="I35" s="15">
        <f t="shared" si="2"/>
        <v>5.0999999999999997E-2</v>
      </c>
      <c r="J35" s="15">
        <f>ROUND(G35/18220-1,2)</f>
        <v>0.79</v>
      </c>
    </row>
    <row r="36" spans="1:10" x14ac:dyDescent="0.25">
      <c r="A36" s="30" t="s">
        <v>12</v>
      </c>
      <c r="B36" s="30"/>
      <c r="C36" s="11">
        <f t="shared" ref="C36:H36" si="3">SUM(C8:C35)</f>
        <v>476100</v>
      </c>
      <c r="D36" s="11">
        <f t="shared" si="3"/>
        <v>190</v>
      </c>
      <c r="E36" s="11">
        <f t="shared" si="3"/>
        <v>143721</v>
      </c>
      <c r="F36" s="11">
        <f t="shared" si="3"/>
        <v>20040</v>
      </c>
      <c r="G36" s="11">
        <f t="shared" si="3"/>
        <v>640051</v>
      </c>
      <c r="H36" s="14">
        <f t="shared" si="3"/>
        <v>417.53</v>
      </c>
      <c r="I36" s="17"/>
      <c r="J36" s="17"/>
    </row>
    <row r="37" spans="1:10" x14ac:dyDescent="0.25">
      <c r="A37" s="30" t="s">
        <v>14</v>
      </c>
      <c r="B37" s="30"/>
      <c r="C37" s="12">
        <f>ROUND(C36/G36,2)</f>
        <v>0.74</v>
      </c>
      <c r="D37" s="12">
        <f>ROUND(D36/G36,2)</f>
        <v>0</v>
      </c>
      <c r="E37" s="12">
        <f>ROUND(E36/G36,2)</f>
        <v>0.22</v>
      </c>
      <c r="F37" s="12">
        <f>ROUND(F36/G36,2)</f>
        <v>0.03</v>
      </c>
      <c r="G37" s="13"/>
      <c r="H37" s="13"/>
      <c r="I37" s="17"/>
      <c r="J37" s="17"/>
    </row>
    <row r="38" spans="1:10" x14ac:dyDescent="0.25">
      <c r="A38" s="2" t="s">
        <v>52</v>
      </c>
      <c r="B38" s="2"/>
      <c r="C38" s="13"/>
      <c r="D38" s="13"/>
      <c r="E38" s="13"/>
      <c r="F38" s="13"/>
      <c r="G38" s="13"/>
      <c r="H38" s="13"/>
      <c r="I38" s="17"/>
      <c r="J38" s="17"/>
    </row>
    <row r="39" spans="1:10" x14ac:dyDescent="0.25">
      <c r="C39" s="8"/>
      <c r="D39" s="8"/>
      <c r="E39" s="8"/>
      <c r="F39" s="8"/>
      <c r="G39" s="8"/>
      <c r="H39" s="8"/>
      <c r="I39" s="9"/>
      <c r="J39" s="9"/>
    </row>
    <row r="40" spans="1:10" x14ac:dyDescent="0.25">
      <c r="C40" s="8"/>
      <c r="D40" s="8"/>
      <c r="E40" s="8"/>
      <c r="F40" s="8"/>
      <c r="G40" s="8"/>
      <c r="H40" s="8"/>
      <c r="I40" s="9"/>
      <c r="J40" s="9"/>
    </row>
    <row r="41" spans="1:10" x14ac:dyDescent="0.25">
      <c r="C41" s="8"/>
      <c r="D41" s="8"/>
      <c r="E41" s="8"/>
      <c r="F41" s="8"/>
      <c r="G41" s="8"/>
      <c r="H41" s="8"/>
      <c r="I41" s="9"/>
      <c r="J41" s="9"/>
    </row>
    <row r="42" spans="1:10" x14ac:dyDescent="0.25">
      <c r="A42" s="30" t="s">
        <v>53</v>
      </c>
      <c r="B42" s="30"/>
      <c r="C42" s="11" t="s">
        <v>8</v>
      </c>
      <c r="D42" s="11" t="s">
        <v>9</v>
      </c>
      <c r="E42" s="11" t="s">
        <v>10</v>
      </c>
      <c r="F42" s="11" t="s">
        <v>11</v>
      </c>
      <c r="G42" s="11" t="s">
        <v>12</v>
      </c>
      <c r="H42" s="14" t="s">
        <v>13</v>
      </c>
      <c r="I42" s="17"/>
      <c r="J42" s="17"/>
    </row>
    <row r="43" spans="1:10" x14ac:dyDescent="0.25">
      <c r="A43" s="29" t="s">
        <v>54</v>
      </c>
      <c r="B43" s="29"/>
      <c r="C43" s="10">
        <v>324570</v>
      </c>
      <c r="D43" s="10">
        <v>190</v>
      </c>
      <c r="E43" s="10">
        <v>111031</v>
      </c>
      <c r="F43" s="10">
        <v>1960</v>
      </c>
      <c r="G43" s="10">
        <f>SUM(C43:F43)</f>
        <v>437751</v>
      </c>
      <c r="H43" s="16">
        <f>ROUND(G43/1533,2)</f>
        <v>285.55</v>
      </c>
      <c r="I43" s="9"/>
      <c r="J43" s="9"/>
    </row>
    <row r="44" spans="1:10" x14ac:dyDescent="0.25">
      <c r="A44" s="29" t="s">
        <v>55</v>
      </c>
      <c r="B44" s="29"/>
      <c r="C44" s="10">
        <v>151530</v>
      </c>
      <c r="D44" s="10">
        <v>0</v>
      </c>
      <c r="E44" s="10">
        <v>32690</v>
      </c>
      <c r="F44" s="10">
        <v>18080</v>
      </c>
      <c r="G44" s="10">
        <f>SUM(C44:F44)</f>
        <v>202300</v>
      </c>
      <c r="H44" s="16">
        <f>ROUND(G44/1533,2)</f>
        <v>131.96</v>
      </c>
      <c r="I44" s="9"/>
      <c r="J44" s="9"/>
    </row>
    <row r="45" spans="1:10" x14ac:dyDescent="0.25">
      <c r="A45" s="29" t="s">
        <v>56</v>
      </c>
      <c r="B45" s="29"/>
      <c r="C45" s="10"/>
      <c r="D45" s="10"/>
      <c r="E45" s="10"/>
      <c r="F45" s="10"/>
      <c r="G45" s="10">
        <f>SUM(C45:F45)</f>
        <v>0</v>
      </c>
      <c r="H45" s="16">
        <f>ROUND(G45/1533,2)</f>
        <v>0</v>
      </c>
      <c r="I45" s="9"/>
      <c r="J45" s="9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A50" s="30" t="s">
        <v>57</v>
      </c>
      <c r="B50" s="30"/>
      <c r="C50" s="14" t="s">
        <v>2</v>
      </c>
      <c r="D50" s="14">
        <v>2023</v>
      </c>
      <c r="E50" s="14" t="s">
        <v>59</v>
      </c>
      <c r="F50" s="13"/>
      <c r="G50" s="14" t="s">
        <v>60</v>
      </c>
      <c r="H50" s="14" t="s">
        <v>2</v>
      </c>
      <c r="I50" s="12" t="s">
        <v>61</v>
      </c>
      <c r="J50" s="12" t="s">
        <v>59</v>
      </c>
    </row>
    <row r="51" spans="1:10" x14ac:dyDescent="0.25">
      <c r="A51" s="29" t="s">
        <v>58</v>
      </c>
      <c r="B51" s="29"/>
      <c r="C51" s="15">
        <f>ROUND(0.7586, 4)</f>
        <v>0.75860000000000005</v>
      </c>
      <c r="D51" s="15">
        <f>ROUND(0.7468, 4)</f>
        <v>0.74680000000000002</v>
      </c>
      <c r="E51" s="15">
        <f>ROUND(0.777, 4)</f>
        <v>0.77700000000000002</v>
      </c>
      <c r="F51" s="8"/>
      <c r="G51" s="14" t="s">
        <v>62</v>
      </c>
      <c r="H51" s="33" t="s">
        <v>63</v>
      </c>
      <c r="I51" s="31" t="s">
        <v>64</v>
      </c>
      <c r="J51" s="31" t="s">
        <v>65</v>
      </c>
    </row>
    <row r="52" spans="1:10" x14ac:dyDescent="0.25">
      <c r="A52" s="29" t="s">
        <v>66</v>
      </c>
      <c r="B52" s="29"/>
      <c r="C52" s="15">
        <f>ROUND(0.7486, 4)</f>
        <v>0.74860000000000004</v>
      </c>
      <c r="D52" s="15">
        <f>ROUND(0.7361, 4)</f>
        <v>0.73609999999999998</v>
      </c>
      <c r="E52" s="15">
        <f>ROUND(0.7608, 4)</f>
        <v>0.76080000000000003</v>
      </c>
      <c r="F52" s="8"/>
      <c r="G52" s="14" t="s">
        <v>67</v>
      </c>
      <c r="H52" s="34"/>
      <c r="I52" s="32"/>
      <c r="J52" s="32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A56" s="30" t="s">
        <v>68</v>
      </c>
      <c r="B56" s="30"/>
      <c r="C56" s="14" t="s">
        <v>2</v>
      </c>
      <c r="D56" s="14" t="s">
        <v>112</v>
      </c>
      <c r="E56" s="14" t="s">
        <v>70</v>
      </c>
      <c r="F56" s="14" t="s">
        <v>71</v>
      </c>
      <c r="G56" s="14" t="s">
        <v>72</v>
      </c>
      <c r="H56" s="13"/>
      <c r="I56" s="17"/>
      <c r="J56" s="17"/>
    </row>
    <row r="57" spans="1:10" x14ac:dyDescent="0.25">
      <c r="A57" s="29" t="s">
        <v>73</v>
      </c>
      <c r="B57" s="29"/>
      <c r="C57" s="16">
        <v>98.85</v>
      </c>
      <c r="D57" s="16">
        <v>96.98</v>
      </c>
      <c r="E57" s="16">
        <v>93.87</v>
      </c>
      <c r="F57" s="16">
        <v>57.16</v>
      </c>
      <c r="G57" s="22">
        <f>12/12*C57</f>
        <v>98.85</v>
      </c>
      <c r="H57" s="8"/>
      <c r="I57" s="9"/>
      <c r="J57" s="9"/>
    </row>
    <row r="58" spans="1:10" x14ac:dyDescent="0.25">
      <c r="A58" s="29" t="s">
        <v>74</v>
      </c>
      <c r="B58" s="29"/>
      <c r="C58" s="16">
        <v>91.41</v>
      </c>
      <c r="D58" s="16">
        <v>95.67</v>
      </c>
      <c r="E58" s="16">
        <v>62.84</v>
      </c>
      <c r="F58" s="16">
        <v>65.39</v>
      </c>
      <c r="G58" s="22">
        <f>12/12*C58</f>
        <v>91.41</v>
      </c>
      <c r="H58" s="8"/>
      <c r="I58" s="9"/>
      <c r="J58" s="9"/>
    </row>
    <row r="59" spans="1:10" x14ac:dyDescent="0.25">
      <c r="A59" s="29" t="s">
        <v>75</v>
      </c>
      <c r="B59" s="29"/>
      <c r="C59" s="16">
        <v>285.55</v>
      </c>
      <c r="D59" s="16">
        <v>282.10000000000002</v>
      </c>
      <c r="E59" s="16">
        <v>295.08999999999997</v>
      </c>
      <c r="F59" s="16">
        <v>289.06</v>
      </c>
      <c r="G59" s="16">
        <f>12/12*C59</f>
        <v>285.55</v>
      </c>
      <c r="H59" s="8"/>
      <c r="I59" s="9"/>
      <c r="J59" s="9"/>
    </row>
    <row r="60" spans="1:10" x14ac:dyDescent="0.25">
      <c r="A60" s="29" t="s">
        <v>76</v>
      </c>
      <c r="B60" s="29"/>
      <c r="C60" s="16">
        <v>131.96</v>
      </c>
      <c r="D60" s="16">
        <v>124.26</v>
      </c>
      <c r="E60" s="16">
        <v>118.05</v>
      </c>
      <c r="F60" s="16">
        <v>81.41</v>
      </c>
      <c r="G60" s="16">
        <f>12/12*C60</f>
        <v>131.96</v>
      </c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A63" s="28" t="s">
        <v>60</v>
      </c>
      <c r="B63" s="35"/>
      <c r="C63" s="8"/>
      <c r="D63" s="8"/>
      <c r="E63" s="8"/>
      <c r="F63" s="8"/>
      <c r="G63" s="8"/>
      <c r="H63" s="8"/>
      <c r="I63" s="9"/>
      <c r="J63" s="9"/>
    </row>
    <row r="64" spans="1:10" x14ac:dyDescent="0.25">
      <c r="A64" s="3" t="s">
        <v>77</v>
      </c>
      <c r="B64" s="1" t="s">
        <v>113</v>
      </c>
      <c r="C64" s="8"/>
      <c r="D64" s="8"/>
      <c r="E64" s="8"/>
      <c r="F64" s="8"/>
      <c r="G64" s="8"/>
      <c r="H64" s="8"/>
      <c r="I64" s="9"/>
      <c r="J64" s="9"/>
    </row>
    <row r="65" spans="1:10" x14ac:dyDescent="0.25">
      <c r="A65" s="3" t="s">
        <v>70</v>
      </c>
      <c r="B65" s="1" t="s">
        <v>79</v>
      </c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3" t="s">
        <v>71</v>
      </c>
      <c r="B66" s="1" t="s">
        <v>80</v>
      </c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72</v>
      </c>
      <c r="B67" s="1" t="s">
        <v>81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C68" s="8"/>
      <c r="D68" s="8"/>
      <c r="E68" s="8"/>
      <c r="F68" s="8"/>
      <c r="G68" s="8"/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  <row r="71" spans="1:10" x14ac:dyDescent="0.25"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  <row r="76" spans="1:10" x14ac:dyDescent="0.25">
      <c r="C76" s="8"/>
      <c r="D76" s="8"/>
      <c r="E76" s="8"/>
      <c r="F76" s="8"/>
      <c r="G76" s="8"/>
      <c r="H76" s="8"/>
      <c r="I76" s="9"/>
      <c r="J76" s="9"/>
    </row>
    <row r="77" spans="1:10" x14ac:dyDescent="0.25">
      <c r="C77" s="8"/>
      <c r="D77" s="8"/>
      <c r="E77" s="8"/>
      <c r="F77" s="8"/>
      <c r="G77" s="8"/>
      <c r="H77" s="8"/>
      <c r="I77" s="9"/>
      <c r="J77" s="9"/>
    </row>
    <row r="78" spans="1:10" x14ac:dyDescent="0.25">
      <c r="C78" s="8"/>
      <c r="D78" s="8"/>
      <c r="E78" s="8"/>
      <c r="F78" s="8"/>
      <c r="G78" s="8"/>
      <c r="H78" s="8"/>
      <c r="I78" s="9"/>
      <c r="J78" s="9"/>
    </row>
  </sheetData>
  <mergeCells count="19">
    <mergeCell ref="A58:B58"/>
    <mergeCell ref="A59:B59"/>
    <mergeCell ref="A60:B60"/>
    <mergeCell ref="A63:B63"/>
    <mergeCell ref="I51:I52"/>
    <mergeCell ref="J51:J52"/>
    <mergeCell ref="A52:B52"/>
    <mergeCell ref="A56:B56"/>
    <mergeCell ref="A57:B57"/>
    <mergeCell ref="A44:B44"/>
    <mergeCell ref="A45:B45"/>
    <mergeCell ref="A50:B50"/>
    <mergeCell ref="A51:B51"/>
    <mergeCell ref="H51:H52"/>
    <mergeCell ref="C7:G7"/>
    <mergeCell ref="A36:B36"/>
    <mergeCell ref="A37:B37"/>
    <mergeCell ref="A42:B42"/>
    <mergeCell ref="A43:B4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J78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30.285156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114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7869</v>
      </c>
    </row>
    <row r="7" spans="1:10" x14ac:dyDescent="0.25">
      <c r="C7" s="28" t="s">
        <v>5</v>
      </c>
      <c r="D7" s="29"/>
      <c r="E7" s="29"/>
      <c r="F7" s="29"/>
      <c r="G7" s="29"/>
    </row>
    <row r="8" spans="1:10" x14ac:dyDescent="0.25">
      <c r="A8" s="25" t="s">
        <v>6</v>
      </c>
      <c r="B8" s="25" t="s">
        <v>7</v>
      </c>
      <c r="C8" s="27" t="s">
        <v>8</v>
      </c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138</v>
      </c>
      <c r="F9" s="10"/>
      <c r="G9" s="10">
        <f t="shared" ref="G9:G46" si="0">SUM(C9:F9)</f>
        <v>138</v>
      </c>
      <c r="H9" s="16">
        <f t="shared" ref="H9:H46" si="1">ROUND(G9/7869,2)</f>
        <v>0.02</v>
      </c>
      <c r="I9" s="15">
        <f t="shared" ref="I9:I46" si="2">ROUND(G9/$G$47,3)</f>
        <v>0</v>
      </c>
      <c r="J9" s="15">
        <f>ROUND(G9/155-1,2)</f>
        <v>-0.11</v>
      </c>
    </row>
    <row r="10" spans="1:10" x14ac:dyDescent="0.25">
      <c r="A10" s="1" t="s">
        <v>16</v>
      </c>
      <c r="B10" s="1" t="s">
        <v>90</v>
      </c>
      <c r="C10" s="10"/>
      <c r="D10" s="10"/>
      <c r="E10" s="10"/>
      <c r="F10" s="10">
        <v>15510</v>
      </c>
      <c r="G10" s="10">
        <f t="shared" si="0"/>
        <v>15510</v>
      </c>
      <c r="H10" s="16">
        <f t="shared" si="1"/>
        <v>1.97</v>
      </c>
      <c r="I10" s="15">
        <f t="shared" si="2"/>
        <v>6.0000000000000001E-3</v>
      </c>
      <c r="J10" s="15">
        <f>ROUND(G10/23240-1,2)</f>
        <v>-0.33</v>
      </c>
    </row>
    <row r="11" spans="1:10" x14ac:dyDescent="0.25">
      <c r="A11" s="1" t="s">
        <v>16</v>
      </c>
      <c r="B11" s="1" t="s">
        <v>19</v>
      </c>
      <c r="C11" s="10">
        <v>245840</v>
      </c>
      <c r="D11" s="10"/>
      <c r="E11" s="10">
        <v>7730</v>
      </c>
      <c r="F11" s="10">
        <v>240</v>
      </c>
      <c r="G11" s="10">
        <f t="shared" si="0"/>
        <v>253810</v>
      </c>
      <c r="H11" s="16">
        <f t="shared" si="1"/>
        <v>32.25</v>
      </c>
      <c r="I11" s="15">
        <f t="shared" si="2"/>
        <v>0.09</v>
      </c>
      <c r="J11" s="15">
        <f>ROUND(G11/248380-1,2)</f>
        <v>0.02</v>
      </c>
    </row>
    <row r="12" spans="1:10" x14ac:dyDescent="0.25">
      <c r="A12" s="1" t="s">
        <v>16</v>
      </c>
      <c r="B12" s="1" t="s">
        <v>20</v>
      </c>
      <c r="C12" s="10">
        <v>275930</v>
      </c>
      <c r="D12" s="10"/>
      <c r="E12" s="10"/>
      <c r="F12" s="10"/>
      <c r="G12" s="10">
        <f t="shared" si="0"/>
        <v>275930</v>
      </c>
      <c r="H12" s="16">
        <f t="shared" si="1"/>
        <v>35.07</v>
      </c>
      <c r="I12" s="15">
        <f t="shared" si="2"/>
        <v>9.8000000000000004E-2</v>
      </c>
      <c r="J12" s="15">
        <f>ROUND(G12/268340-1,2)</f>
        <v>0.03</v>
      </c>
    </row>
    <row r="13" spans="1:10" x14ac:dyDescent="0.25">
      <c r="A13" s="1" t="s">
        <v>16</v>
      </c>
      <c r="B13" s="1" t="s">
        <v>95</v>
      </c>
      <c r="C13" s="10"/>
      <c r="D13" s="10"/>
      <c r="E13" s="10">
        <v>25</v>
      </c>
      <c r="F13" s="10"/>
      <c r="G13" s="10">
        <f t="shared" si="0"/>
        <v>25</v>
      </c>
      <c r="H13" s="16">
        <f t="shared" si="1"/>
        <v>0</v>
      </c>
      <c r="I13" s="15">
        <f t="shared" si="2"/>
        <v>0</v>
      </c>
      <c r="J13" s="15">
        <f>ROUND(G13/57-1,2)</f>
        <v>-0.56000000000000005</v>
      </c>
    </row>
    <row r="14" spans="1:10" x14ac:dyDescent="0.25">
      <c r="A14" s="1" t="s">
        <v>16</v>
      </c>
      <c r="B14" s="1" t="s">
        <v>21</v>
      </c>
      <c r="C14" s="10"/>
      <c r="D14" s="10"/>
      <c r="E14" s="10">
        <v>447</v>
      </c>
      <c r="F14" s="10"/>
      <c r="G14" s="10">
        <f t="shared" si="0"/>
        <v>447</v>
      </c>
      <c r="H14" s="16">
        <f t="shared" si="1"/>
        <v>0.06</v>
      </c>
      <c r="I14" s="15">
        <f t="shared" si="2"/>
        <v>0</v>
      </c>
      <c r="J14" s="15">
        <f>ROUND(G14/330-1,2)</f>
        <v>0.35</v>
      </c>
    </row>
    <row r="15" spans="1:10" x14ac:dyDescent="0.25">
      <c r="A15" s="1" t="s">
        <v>16</v>
      </c>
      <c r="B15" s="1" t="s">
        <v>22</v>
      </c>
      <c r="C15" s="10"/>
      <c r="D15" s="10"/>
      <c r="E15" s="10">
        <v>3200</v>
      </c>
      <c r="F15" s="10"/>
      <c r="G15" s="10">
        <f t="shared" si="0"/>
        <v>3200</v>
      </c>
      <c r="H15" s="16">
        <f t="shared" si="1"/>
        <v>0.41</v>
      </c>
      <c r="I15" s="15">
        <f t="shared" si="2"/>
        <v>1E-3</v>
      </c>
      <c r="J15" s="15">
        <f>ROUND(G15/3000-1,2)</f>
        <v>7.0000000000000007E-2</v>
      </c>
    </row>
    <row r="16" spans="1:10" x14ac:dyDescent="0.25">
      <c r="A16" s="1" t="s">
        <v>16</v>
      </c>
      <c r="B16" s="1" t="s">
        <v>23</v>
      </c>
      <c r="C16" s="10"/>
      <c r="D16" s="10"/>
      <c r="E16" s="10">
        <v>118280</v>
      </c>
      <c r="F16" s="10"/>
      <c r="G16" s="10">
        <f t="shared" si="0"/>
        <v>118280</v>
      </c>
      <c r="H16" s="16">
        <f t="shared" si="1"/>
        <v>15.03</v>
      </c>
      <c r="I16" s="15">
        <f t="shared" si="2"/>
        <v>4.2000000000000003E-2</v>
      </c>
      <c r="J16" s="15">
        <f>ROUND(G16/77080-1,2)</f>
        <v>0.53</v>
      </c>
    </row>
    <row r="17" spans="1:10" x14ac:dyDescent="0.25">
      <c r="A17" s="1" t="s">
        <v>16</v>
      </c>
      <c r="B17" s="1" t="s">
        <v>24</v>
      </c>
      <c r="C17" s="10">
        <v>360500</v>
      </c>
      <c r="D17" s="10"/>
      <c r="E17" s="10">
        <v>31220</v>
      </c>
      <c r="F17" s="10">
        <v>400</v>
      </c>
      <c r="G17" s="10">
        <f t="shared" si="0"/>
        <v>392120</v>
      </c>
      <c r="H17" s="16">
        <f t="shared" si="1"/>
        <v>49.83</v>
      </c>
      <c r="I17" s="15">
        <f t="shared" si="2"/>
        <v>0.13900000000000001</v>
      </c>
      <c r="J17" s="15">
        <f>ROUND(G17/384680-1,2)</f>
        <v>0.02</v>
      </c>
    </row>
    <row r="18" spans="1:10" x14ac:dyDescent="0.25">
      <c r="A18" s="1" t="s">
        <v>16</v>
      </c>
      <c r="B18" s="1" t="s">
        <v>25</v>
      </c>
      <c r="C18" s="10"/>
      <c r="D18" s="10"/>
      <c r="E18" s="10">
        <v>9420</v>
      </c>
      <c r="F18" s="10"/>
      <c r="G18" s="10">
        <f t="shared" si="0"/>
        <v>9420</v>
      </c>
      <c r="H18" s="16">
        <f t="shared" si="1"/>
        <v>1.2</v>
      </c>
      <c r="I18" s="15">
        <f t="shared" si="2"/>
        <v>3.0000000000000001E-3</v>
      </c>
      <c r="J18" s="15">
        <f>ROUND(G18/6020-1,2)</f>
        <v>0.56000000000000005</v>
      </c>
    </row>
    <row r="19" spans="1:10" x14ac:dyDescent="0.25">
      <c r="A19" s="1" t="s">
        <v>16</v>
      </c>
      <c r="B19" s="1" t="s">
        <v>26</v>
      </c>
      <c r="C19" s="10">
        <v>509080</v>
      </c>
      <c r="D19" s="10"/>
      <c r="E19" s="10"/>
      <c r="F19" s="10">
        <v>50</v>
      </c>
      <c r="G19" s="10">
        <f t="shared" si="0"/>
        <v>509130</v>
      </c>
      <c r="H19" s="16">
        <f t="shared" si="1"/>
        <v>64.7</v>
      </c>
      <c r="I19" s="15">
        <f t="shared" si="2"/>
        <v>0.18099999999999999</v>
      </c>
      <c r="J19" s="15">
        <f>ROUND(G19/519180-1,2)</f>
        <v>-0.02</v>
      </c>
    </row>
    <row r="20" spans="1:10" x14ac:dyDescent="0.25">
      <c r="A20" s="1" t="s">
        <v>16</v>
      </c>
      <c r="B20" s="1" t="s">
        <v>27</v>
      </c>
      <c r="C20" s="10"/>
      <c r="D20" s="10"/>
      <c r="E20" s="10">
        <v>2810</v>
      </c>
      <c r="F20" s="10"/>
      <c r="G20" s="10">
        <f t="shared" si="0"/>
        <v>2810</v>
      </c>
      <c r="H20" s="16">
        <f t="shared" si="1"/>
        <v>0.36</v>
      </c>
      <c r="I20" s="15">
        <f t="shared" si="2"/>
        <v>1E-3</v>
      </c>
      <c r="J20" s="15">
        <f>ROUND(G20/2534-1,2)</f>
        <v>0.11</v>
      </c>
    </row>
    <row r="21" spans="1:10" x14ac:dyDescent="0.25">
      <c r="A21" s="1" t="s">
        <v>16</v>
      </c>
      <c r="B21" s="1" t="s">
        <v>28</v>
      </c>
      <c r="C21" s="10"/>
      <c r="D21" s="10"/>
      <c r="E21" s="10">
        <v>2168</v>
      </c>
      <c r="F21" s="10"/>
      <c r="G21" s="10">
        <f t="shared" si="0"/>
        <v>2168</v>
      </c>
      <c r="H21" s="16">
        <f t="shared" si="1"/>
        <v>0.28000000000000003</v>
      </c>
      <c r="I21" s="15">
        <f t="shared" si="2"/>
        <v>1E-3</v>
      </c>
      <c r="J21" s="15">
        <f>ROUND(G21/2144-1,2)</f>
        <v>0.01</v>
      </c>
    </row>
    <row r="22" spans="1:10" x14ac:dyDescent="0.25">
      <c r="A22" s="1" t="s">
        <v>16</v>
      </c>
      <c r="B22" s="1" t="s">
        <v>29</v>
      </c>
      <c r="C22" s="10"/>
      <c r="D22" s="10"/>
      <c r="E22" s="10">
        <v>2910</v>
      </c>
      <c r="F22" s="10"/>
      <c r="G22" s="10">
        <f t="shared" si="0"/>
        <v>2910</v>
      </c>
      <c r="H22" s="16">
        <f t="shared" si="1"/>
        <v>0.37</v>
      </c>
      <c r="I22" s="15">
        <f t="shared" si="2"/>
        <v>1E-3</v>
      </c>
      <c r="J22" s="15">
        <f>ROUND(G22/7440-1,2)</f>
        <v>-0.61</v>
      </c>
    </row>
    <row r="23" spans="1:10" x14ac:dyDescent="0.25">
      <c r="A23" s="1" t="s">
        <v>16</v>
      </c>
      <c r="B23" s="1" t="s">
        <v>30</v>
      </c>
      <c r="C23" s="10"/>
      <c r="D23" s="10"/>
      <c r="E23" s="10">
        <v>2560</v>
      </c>
      <c r="F23" s="10"/>
      <c r="G23" s="10">
        <f t="shared" si="0"/>
        <v>2560</v>
      </c>
      <c r="H23" s="16">
        <f t="shared" si="1"/>
        <v>0.33</v>
      </c>
      <c r="I23" s="15">
        <f t="shared" si="2"/>
        <v>1E-3</v>
      </c>
      <c r="J23" s="15">
        <f>ROUND(G23/2460-1,2)</f>
        <v>0.04</v>
      </c>
    </row>
    <row r="24" spans="1:10" x14ac:dyDescent="0.25">
      <c r="A24" s="1" t="s">
        <v>16</v>
      </c>
      <c r="B24" s="1" t="s">
        <v>31</v>
      </c>
      <c r="C24" s="10"/>
      <c r="D24" s="10"/>
      <c r="E24" s="10">
        <v>1220</v>
      </c>
      <c r="F24" s="10"/>
      <c r="G24" s="10">
        <f t="shared" si="0"/>
        <v>1220</v>
      </c>
      <c r="H24" s="16">
        <f t="shared" si="1"/>
        <v>0.16</v>
      </c>
      <c r="I24" s="15">
        <f t="shared" si="2"/>
        <v>0</v>
      </c>
      <c r="J24" s="15">
        <f>ROUND(G24/720-1,2)</f>
        <v>0.69</v>
      </c>
    </row>
    <row r="25" spans="1:10" x14ac:dyDescent="0.25">
      <c r="A25" s="1" t="s">
        <v>16</v>
      </c>
      <c r="B25" s="1" t="s">
        <v>32</v>
      </c>
      <c r="C25" s="10"/>
      <c r="D25" s="10"/>
      <c r="E25" s="10">
        <v>2174</v>
      </c>
      <c r="F25" s="10"/>
      <c r="G25" s="10">
        <f t="shared" si="0"/>
        <v>2174</v>
      </c>
      <c r="H25" s="16">
        <f t="shared" si="1"/>
        <v>0.28000000000000003</v>
      </c>
      <c r="I25" s="15">
        <f t="shared" si="2"/>
        <v>1E-3</v>
      </c>
      <c r="J25" s="15">
        <f>ROUND(G25/1995-1,2)</f>
        <v>0.09</v>
      </c>
    </row>
    <row r="26" spans="1:10" x14ac:dyDescent="0.25">
      <c r="A26" s="1" t="s">
        <v>16</v>
      </c>
      <c r="B26" s="1" t="s">
        <v>33</v>
      </c>
      <c r="C26" s="10"/>
      <c r="D26" s="10">
        <v>506</v>
      </c>
      <c r="E26" s="10">
        <v>149</v>
      </c>
      <c r="F26" s="10"/>
      <c r="G26" s="10">
        <f t="shared" si="0"/>
        <v>655</v>
      </c>
      <c r="H26" s="16">
        <f t="shared" si="1"/>
        <v>0.08</v>
      </c>
      <c r="I26" s="15">
        <f t="shared" si="2"/>
        <v>0</v>
      </c>
      <c r="J26" s="15">
        <f>ROUND(G26/835-1,2)</f>
        <v>-0.22</v>
      </c>
    </row>
    <row r="27" spans="1:10" x14ac:dyDescent="0.25">
      <c r="A27" s="1" t="s">
        <v>16</v>
      </c>
      <c r="B27" s="1" t="s">
        <v>35</v>
      </c>
      <c r="C27" s="10"/>
      <c r="D27" s="10"/>
      <c r="E27" s="10">
        <v>860</v>
      </c>
      <c r="F27" s="10"/>
      <c r="G27" s="10">
        <f t="shared" si="0"/>
        <v>860</v>
      </c>
      <c r="H27" s="16">
        <f t="shared" si="1"/>
        <v>0.11</v>
      </c>
      <c r="I27" s="15">
        <f t="shared" si="2"/>
        <v>0</v>
      </c>
      <c r="J27" s="15">
        <f>ROUND(G27/1045-1,2)</f>
        <v>-0.18</v>
      </c>
    </row>
    <row r="28" spans="1:10" x14ac:dyDescent="0.25">
      <c r="A28" s="1" t="s">
        <v>16</v>
      </c>
      <c r="B28" s="1" t="s">
        <v>34</v>
      </c>
      <c r="C28" s="10"/>
      <c r="D28" s="10"/>
      <c r="E28" s="10">
        <v>270</v>
      </c>
      <c r="F28" s="10"/>
      <c r="G28" s="10">
        <f t="shared" si="0"/>
        <v>270</v>
      </c>
      <c r="H28" s="16">
        <f t="shared" si="1"/>
        <v>0.03</v>
      </c>
      <c r="I28" s="15">
        <f t="shared" si="2"/>
        <v>0</v>
      </c>
      <c r="J28" s="15">
        <f>ROUND(G28/670-1,2)</f>
        <v>-0.6</v>
      </c>
    </row>
    <row r="29" spans="1:10" x14ac:dyDescent="0.25">
      <c r="A29" s="1" t="s">
        <v>16</v>
      </c>
      <c r="B29" s="1" t="s">
        <v>36</v>
      </c>
      <c r="C29" s="10"/>
      <c r="D29" s="10"/>
      <c r="E29" s="10">
        <v>1650</v>
      </c>
      <c r="F29" s="10"/>
      <c r="G29" s="10">
        <f t="shared" si="0"/>
        <v>1650</v>
      </c>
      <c r="H29" s="16">
        <f t="shared" si="1"/>
        <v>0.21</v>
      </c>
      <c r="I29" s="15">
        <f t="shared" si="2"/>
        <v>1E-3</v>
      </c>
      <c r="J29" s="15">
        <f>ROUND(G29/4730-1,2)</f>
        <v>-0.65</v>
      </c>
    </row>
    <row r="30" spans="1:10" x14ac:dyDescent="0.25">
      <c r="A30" s="1" t="s">
        <v>16</v>
      </c>
      <c r="B30" s="1" t="s">
        <v>37</v>
      </c>
      <c r="C30" s="10"/>
      <c r="D30" s="10"/>
      <c r="E30" s="10">
        <v>8270</v>
      </c>
      <c r="F30" s="10"/>
      <c r="G30" s="10">
        <f t="shared" si="0"/>
        <v>8270</v>
      </c>
      <c r="H30" s="16">
        <f t="shared" si="1"/>
        <v>1.05</v>
      </c>
      <c r="I30" s="15">
        <f t="shared" si="2"/>
        <v>3.0000000000000001E-3</v>
      </c>
      <c r="J30" s="15">
        <f>ROUND(G30/7310-1,2)</f>
        <v>0.13</v>
      </c>
    </row>
    <row r="31" spans="1:10" x14ac:dyDescent="0.25">
      <c r="A31" s="1" t="s">
        <v>16</v>
      </c>
      <c r="B31" s="1" t="s">
        <v>43</v>
      </c>
      <c r="C31" s="10"/>
      <c r="D31" s="10"/>
      <c r="E31" s="10">
        <v>7779</v>
      </c>
      <c r="F31" s="10"/>
      <c r="G31" s="10">
        <f t="shared" si="0"/>
        <v>7779</v>
      </c>
      <c r="H31" s="16">
        <f t="shared" si="1"/>
        <v>0.99</v>
      </c>
      <c r="I31" s="15">
        <f t="shared" si="2"/>
        <v>3.0000000000000001E-3</v>
      </c>
      <c r="J31" s="15">
        <f>ROUND(G31/20482-1,2)</f>
        <v>-0.62</v>
      </c>
    </row>
    <row r="32" spans="1:10" x14ac:dyDescent="0.25">
      <c r="A32" s="1" t="s">
        <v>16</v>
      </c>
      <c r="B32" s="1" t="s">
        <v>38</v>
      </c>
      <c r="C32" s="10"/>
      <c r="D32" s="10"/>
      <c r="E32" s="10">
        <v>159970</v>
      </c>
      <c r="F32" s="10"/>
      <c r="G32" s="10">
        <f t="shared" si="0"/>
        <v>159970</v>
      </c>
      <c r="H32" s="16">
        <f t="shared" si="1"/>
        <v>20.329999999999998</v>
      </c>
      <c r="I32" s="15">
        <f t="shared" si="2"/>
        <v>5.7000000000000002E-2</v>
      </c>
      <c r="J32" s="15">
        <f>ROUND(G32/134320-1,2)</f>
        <v>0.19</v>
      </c>
    </row>
    <row r="33" spans="1:10" x14ac:dyDescent="0.25">
      <c r="A33" s="1" t="s">
        <v>16</v>
      </c>
      <c r="B33" s="1" t="s">
        <v>39</v>
      </c>
      <c r="C33" s="10"/>
      <c r="D33" s="10"/>
      <c r="E33" s="10">
        <v>8030</v>
      </c>
      <c r="F33" s="10"/>
      <c r="G33" s="10">
        <f t="shared" si="0"/>
        <v>8030</v>
      </c>
      <c r="H33" s="16">
        <f t="shared" si="1"/>
        <v>1.02</v>
      </c>
      <c r="I33" s="15">
        <f t="shared" si="2"/>
        <v>3.0000000000000001E-3</v>
      </c>
      <c r="J33" s="15">
        <f>ROUND(G33/10265-1,2)</f>
        <v>-0.22</v>
      </c>
    </row>
    <row r="34" spans="1:10" x14ac:dyDescent="0.25">
      <c r="A34" s="1" t="s">
        <v>16</v>
      </c>
      <c r="B34" s="1" t="s">
        <v>40</v>
      </c>
      <c r="C34" s="10"/>
      <c r="D34" s="10"/>
      <c r="E34" s="10">
        <v>32530</v>
      </c>
      <c r="F34" s="10"/>
      <c r="G34" s="10">
        <f t="shared" si="0"/>
        <v>32530</v>
      </c>
      <c r="H34" s="16">
        <f t="shared" si="1"/>
        <v>4.13</v>
      </c>
      <c r="I34" s="15">
        <f t="shared" si="2"/>
        <v>1.2E-2</v>
      </c>
      <c r="J34" s="15">
        <f>ROUND(G34/32700-1,2)</f>
        <v>-0.01</v>
      </c>
    </row>
    <row r="35" spans="1:10" x14ac:dyDescent="0.25">
      <c r="A35" s="1" t="s">
        <v>16</v>
      </c>
      <c r="B35" s="1" t="s">
        <v>41</v>
      </c>
      <c r="C35" s="10"/>
      <c r="D35" s="10"/>
      <c r="E35" s="10">
        <v>433630</v>
      </c>
      <c r="F35" s="10">
        <v>3940</v>
      </c>
      <c r="G35" s="10">
        <f t="shared" si="0"/>
        <v>437570</v>
      </c>
      <c r="H35" s="16">
        <f t="shared" si="1"/>
        <v>55.61</v>
      </c>
      <c r="I35" s="15">
        <f t="shared" si="2"/>
        <v>0.155</v>
      </c>
      <c r="J35" s="15">
        <f>ROUND(G35/387410-1,2)</f>
        <v>0.13</v>
      </c>
    </row>
    <row r="36" spans="1:10" x14ac:dyDescent="0.25">
      <c r="A36" s="1" t="s">
        <v>16</v>
      </c>
      <c r="B36" s="1" t="s">
        <v>98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>
        <f>ROUND(G36/160-1,2)</f>
        <v>-1</v>
      </c>
    </row>
    <row r="37" spans="1:10" x14ac:dyDescent="0.25">
      <c r="A37" s="1" t="s">
        <v>16</v>
      </c>
      <c r="B37" s="1" t="s">
        <v>42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>
        <f>ROUND(G37/271-1,2)</f>
        <v>-1</v>
      </c>
    </row>
    <row r="38" spans="1:10" x14ac:dyDescent="0.25">
      <c r="A38" s="1" t="s">
        <v>16</v>
      </c>
      <c r="B38" s="1" t="s">
        <v>115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1" t="s">
        <v>16</v>
      </c>
      <c r="B39" s="1" t="s">
        <v>116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1" t="s">
        <v>44</v>
      </c>
      <c r="B40" s="1" t="s">
        <v>45</v>
      </c>
      <c r="C40" s="10">
        <v>407620</v>
      </c>
      <c r="D40" s="10"/>
      <c r="E40" s="10"/>
      <c r="F40" s="10">
        <v>100</v>
      </c>
      <c r="G40" s="10">
        <f t="shared" si="0"/>
        <v>407720</v>
      </c>
      <c r="H40" s="16">
        <f t="shared" si="1"/>
        <v>51.81</v>
      </c>
      <c r="I40" s="15">
        <f t="shared" si="2"/>
        <v>0.14499999999999999</v>
      </c>
      <c r="J40" s="15">
        <f>ROUND(G40/386880-1,2)</f>
        <v>0.05</v>
      </c>
    </row>
    <row r="41" spans="1:10" x14ac:dyDescent="0.25">
      <c r="A41" s="1" t="s">
        <v>44</v>
      </c>
      <c r="B41" s="1" t="s">
        <v>47</v>
      </c>
      <c r="C41" s="10"/>
      <c r="D41" s="10"/>
      <c r="E41" s="10"/>
      <c r="F41" s="10">
        <v>52880</v>
      </c>
      <c r="G41" s="10">
        <f t="shared" si="0"/>
        <v>52880</v>
      </c>
      <c r="H41" s="16">
        <f t="shared" si="1"/>
        <v>6.72</v>
      </c>
      <c r="I41" s="15">
        <f t="shared" si="2"/>
        <v>1.9E-2</v>
      </c>
      <c r="J41" s="15">
        <f>ROUND(G41/69705-1,2)</f>
        <v>-0.24</v>
      </c>
    </row>
    <row r="42" spans="1:10" x14ac:dyDescent="0.25">
      <c r="A42" s="1" t="s">
        <v>44</v>
      </c>
      <c r="B42" s="1" t="s">
        <v>46</v>
      </c>
      <c r="C42" s="10"/>
      <c r="D42" s="10"/>
      <c r="E42" s="10">
        <v>104020</v>
      </c>
      <c r="F42" s="10"/>
      <c r="G42" s="10">
        <f t="shared" si="0"/>
        <v>104020</v>
      </c>
      <c r="H42" s="16">
        <f t="shared" si="1"/>
        <v>13.22</v>
      </c>
      <c r="I42" s="15">
        <f t="shared" si="2"/>
        <v>3.6999999999999998E-2</v>
      </c>
      <c r="J42" s="15">
        <f>ROUND(G42/86560-1,2)</f>
        <v>0.2</v>
      </c>
    </row>
    <row r="43" spans="1:10" x14ac:dyDescent="0.25">
      <c r="A43" s="1" t="s">
        <v>48</v>
      </c>
      <c r="B43" s="1" t="s">
        <v>51</v>
      </c>
      <c r="C43" s="10"/>
      <c r="D43" s="10"/>
      <c r="E43" s="10"/>
      <c r="F43" s="10"/>
      <c r="G43" s="10">
        <f t="shared" si="0"/>
        <v>0</v>
      </c>
      <c r="H43" s="16">
        <f t="shared" si="1"/>
        <v>0</v>
      </c>
      <c r="I43" s="15">
        <f t="shared" si="2"/>
        <v>0</v>
      </c>
      <c r="J43" s="15">
        <f>ROUND(G43/29-1,2)</f>
        <v>-1</v>
      </c>
    </row>
    <row r="44" spans="1:10" x14ac:dyDescent="0.25">
      <c r="A44" s="1" t="s">
        <v>48</v>
      </c>
      <c r="B44" s="1" t="s">
        <v>86</v>
      </c>
      <c r="C44" s="10"/>
      <c r="D44" s="10"/>
      <c r="E44" s="10"/>
      <c r="F44" s="10"/>
      <c r="G44" s="10">
        <f t="shared" si="0"/>
        <v>0</v>
      </c>
      <c r="H44" s="16">
        <f t="shared" si="1"/>
        <v>0</v>
      </c>
      <c r="I44" s="15">
        <f t="shared" si="2"/>
        <v>0</v>
      </c>
      <c r="J44" s="15"/>
    </row>
    <row r="45" spans="1:10" x14ac:dyDescent="0.25">
      <c r="A45" s="1" t="s">
        <v>48</v>
      </c>
      <c r="B45" s="1" t="s">
        <v>50</v>
      </c>
      <c r="C45" s="10"/>
      <c r="D45" s="10"/>
      <c r="E45" s="10"/>
      <c r="F45" s="10"/>
      <c r="G45" s="10">
        <f t="shared" si="0"/>
        <v>0</v>
      </c>
      <c r="H45" s="16">
        <f t="shared" si="1"/>
        <v>0</v>
      </c>
      <c r="I45" s="15">
        <f t="shared" si="2"/>
        <v>0</v>
      </c>
      <c r="J45" s="15">
        <f>ROUND(G45/1130-1,2)</f>
        <v>-1</v>
      </c>
    </row>
    <row r="46" spans="1:10" x14ac:dyDescent="0.25">
      <c r="A46" s="1" t="s">
        <v>48</v>
      </c>
      <c r="B46" s="1" t="s">
        <v>49</v>
      </c>
      <c r="C46" s="10"/>
      <c r="D46" s="10"/>
      <c r="E46" s="10"/>
      <c r="F46" s="10"/>
      <c r="G46" s="10">
        <f t="shared" si="0"/>
        <v>0</v>
      </c>
      <c r="H46" s="16">
        <f t="shared" si="1"/>
        <v>0</v>
      </c>
      <c r="I46" s="15">
        <f t="shared" si="2"/>
        <v>0</v>
      </c>
      <c r="J46" s="15">
        <f>ROUND(G46/20-1,2)</f>
        <v>-1</v>
      </c>
    </row>
    <row r="47" spans="1:10" x14ac:dyDescent="0.25">
      <c r="A47" s="30" t="s">
        <v>12</v>
      </c>
      <c r="B47" s="30"/>
      <c r="C47" s="11">
        <f t="shared" ref="C47:H47" si="3">SUM(C8:C46)</f>
        <v>1798970</v>
      </c>
      <c r="D47" s="11">
        <f t="shared" si="3"/>
        <v>506</v>
      </c>
      <c r="E47" s="11">
        <f t="shared" si="3"/>
        <v>941460</v>
      </c>
      <c r="F47" s="11">
        <f t="shared" si="3"/>
        <v>73120</v>
      </c>
      <c r="G47" s="11">
        <f t="shared" si="3"/>
        <v>2814056</v>
      </c>
      <c r="H47" s="14">
        <f t="shared" si="3"/>
        <v>357.63000000000011</v>
      </c>
      <c r="I47" s="17"/>
      <c r="J47" s="17"/>
    </row>
    <row r="48" spans="1:10" x14ac:dyDescent="0.25">
      <c r="A48" s="30" t="s">
        <v>14</v>
      </c>
      <c r="B48" s="30"/>
      <c r="C48" s="12">
        <f>ROUND(C47/G47,2)</f>
        <v>0.64</v>
      </c>
      <c r="D48" s="12">
        <f>ROUND(D47/G47,2)</f>
        <v>0</v>
      </c>
      <c r="E48" s="12">
        <f>ROUND(E47/G47,2)</f>
        <v>0.33</v>
      </c>
      <c r="F48" s="12">
        <f>ROUND(F47/G47,2)</f>
        <v>0.03</v>
      </c>
      <c r="G48" s="13"/>
      <c r="H48" s="13"/>
      <c r="I48" s="17"/>
      <c r="J48" s="17"/>
    </row>
    <row r="49" spans="1:10" x14ac:dyDescent="0.25">
      <c r="A49" s="2" t="s">
        <v>52</v>
      </c>
      <c r="B49" s="2"/>
      <c r="C49" s="13"/>
      <c r="D49" s="13"/>
      <c r="E49" s="13"/>
      <c r="F49" s="13"/>
      <c r="G49" s="13"/>
      <c r="H49" s="13"/>
      <c r="I49" s="17"/>
      <c r="J49" s="17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A53" s="30" t="s">
        <v>53</v>
      </c>
      <c r="B53" s="30"/>
      <c r="C53" s="11" t="s">
        <v>8</v>
      </c>
      <c r="D53" s="11" t="s">
        <v>9</v>
      </c>
      <c r="E53" s="11" t="s">
        <v>10</v>
      </c>
      <c r="F53" s="11" t="s">
        <v>11</v>
      </c>
      <c r="G53" s="11" t="s">
        <v>12</v>
      </c>
      <c r="H53" s="14" t="s">
        <v>13</v>
      </c>
      <c r="I53" s="17"/>
      <c r="J53" s="17"/>
    </row>
    <row r="54" spans="1:10" x14ac:dyDescent="0.25">
      <c r="A54" s="29" t="s">
        <v>54</v>
      </c>
      <c r="B54" s="29"/>
      <c r="C54" s="10">
        <v>1391350</v>
      </c>
      <c r="D54" s="10">
        <v>506</v>
      </c>
      <c r="E54" s="10">
        <v>837440</v>
      </c>
      <c r="F54" s="10">
        <v>20140</v>
      </c>
      <c r="G54" s="10">
        <f>SUM(C54:F54)</f>
        <v>2249436</v>
      </c>
      <c r="H54" s="16">
        <f>ROUND(G54/7869,2)</f>
        <v>285.86</v>
      </c>
      <c r="I54" s="9"/>
      <c r="J54" s="9"/>
    </row>
    <row r="55" spans="1:10" x14ac:dyDescent="0.25">
      <c r="A55" s="29" t="s">
        <v>55</v>
      </c>
      <c r="B55" s="29"/>
      <c r="C55" s="10">
        <v>407620</v>
      </c>
      <c r="D55" s="10">
        <v>0</v>
      </c>
      <c r="E55" s="10">
        <v>104020</v>
      </c>
      <c r="F55" s="10">
        <v>52980</v>
      </c>
      <c r="G55" s="10">
        <f>SUM(C55:F55)</f>
        <v>564620</v>
      </c>
      <c r="H55" s="16">
        <f>ROUND(G55/7869,2)</f>
        <v>71.75</v>
      </c>
      <c r="I55" s="9"/>
      <c r="J55" s="9"/>
    </row>
    <row r="56" spans="1:10" x14ac:dyDescent="0.25">
      <c r="A56" s="29" t="s">
        <v>56</v>
      </c>
      <c r="B56" s="29"/>
      <c r="C56" s="10">
        <v>0</v>
      </c>
      <c r="D56" s="10">
        <v>0</v>
      </c>
      <c r="E56" s="10">
        <v>0</v>
      </c>
      <c r="F56" s="10">
        <v>0</v>
      </c>
      <c r="G56" s="10">
        <f>SUM(C56:F56)</f>
        <v>0</v>
      </c>
      <c r="H56" s="16">
        <f>ROUND(G56/7869,2)</f>
        <v>0</v>
      </c>
      <c r="I56" s="9"/>
      <c r="J56" s="9"/>
    </row>
    <row r="57" spans="1:10" x14ac:dyDescent="0.25">
      <c r="C57" s="8"/>
      <c r="D57" s="8"/>
      <c r="E57" s="8"/>
      <c r="F57" s="8"/>
      <c r="G57" s="21"/>
      <c r="H57" s="8"/>
      <c r="I57" s="9"/>
      <c r="J57" s="9"/>
    </row>
    <row r="58" spans="1:10" x14ac:dyDescent="0.25">
      <c r="C58" s="8"/>
      <c r="D58" s="8"/>
      <c r="E58" s="8"/>
      <c r="F58" s="8"/>
      <c r="G58" s="21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A61" s="30" t="s">
        <v>57</v>
      </c>
      <c r="B61" s="30"/>
      <c r="C61" s="14" t="s">
        <v>2</v>
      </c>
      <c r="D61" s="14">
        <v>2023</v>
      </c>
      <c r="E61" s="14" t="s">
        <v>59</v>
      </c>
      <c r="F61" s="13"/>
      <c r="G61" s="14" t="s">
        <v>60</v>
      </c>
      <c r="H61" s="14" t="s">
        <v>2</v>
      </c>
      <c r="I61" s="12" t="s">
        <v>61</v>
      </c>
      <c r="J61" s="12" t="s">
        <v>59</v>
      </c>
    </row>
    <row r="62" spans="1:10" x14ac:dyDescent="0.25">
      <c r="A62" s="29" t="s">
        <v>58</v>
      </c>
      <c r="B62" s="29"/>
      <c r="C62" s="15">
        <f>ROUND(0.8431, 4)</f>
        <v>0.84309999999999996</v>
      </c>
      <c r="D62" s="15">
        <f>ROUND(0.8445, 4)</f>
        <v>0.84450000000000003</v>
      </c>
      <c r="E62" s="15">
        <f>ROUND(0.777, 4)</f>
        <v>0.77700000000000002</v>
      </c>
      <c r="F62" s="8"/>
      <c r="G62" s="14" t="s">
        <v>62</v>
      </c>
      <c r="H62" s="33" t="s">
        <v>63</v>
      </c>
      <c r="I62" s="31" t="s">
        <v>64</v>
      </c>
      <c r="J62" s="31" t="s">
        <v>65</v>
      </c>
    </row>
    <row r="63" spans="1:10" x14ac:dyDescent="0.25">
      <c r="A63" s="29" t="s">
        <v>66</v>
      </c>
      <c r="B63" s="29"/>
      <c r="C63" s="15">
        <f>ROUND(0.831, 4)</f>
        <v>0.83099999999999996</v>
      </c>
      <c r="D63" s="15">
        <f>ROUND(0.8321, 4)</f>
        <v>0.83209999999999995</v>
      </c>
      <c r="E63" s="15">
        <f>ROUND(0.7608, 4)</f>
        <v>0.76080000000000003</v>
      </c>
      <c r="F63" s="8"/>
      <c r="G63" s="14" t="s">
        <v>67</v>
      </c>
      <c r="H63" s="34"/>
      <c r="I63" s="32"/>
      <c r="J63" s="32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0" t="s">
        <v>68</v>
      </c>
      <c r="B67" s="30"/>
      <c r="C67" s="14" t="s">
        <v>2</v>
      </c>
      <c r="D67" s="14" t="s">
        <v>117</v>
      </c>
      <c r="E67" s="14" t="s">
        <v>70</v>
      </c>
      <c r="F67" s="14" t="s">
        <v>71</v>
      </c>
      <c r="G67" s="14" t="s">
        <v>72</v>
      </c>
      <c r="H67" s="13"/>
      <c r="I67" s="17"/>
      <c r="J67" s="17"/>
    </row>
    <row r="68" spans="1:10" x14ac:dyDescent="0.25">
      <c r="A68" s="29" t="s">
        <v>73</v>
      </c>
      <c r="B68" s="29"/>
      <c r="C68" s="16">
        <v>51.81</v>
      </c>
      <c r="D68" s="16">
        <v>49.62</v>
      </c>
      <c r="E68" s="16">
        <v>93.87</v>
      </c>
      <c r="F68" s="16">
        <v>57.16</v>
      </c>
      <c r="G68" s="16">
        <f>12/12*C68</f>
        <v>51.81</v>
      </c>
      <c r="H68" s="8"/>
      <c r="I68" s="9"/>
      <c r="J68" s="9"/>
    </row>
    <row r="69" spans="1:10" x14ac:dyDescent="0.25">
      <c r="A69" s="29" t="s">
        <v>74</v>
      </c>
      <c r="B69" s="29"/>
      <c r="C69" s="16">
        <v>64.7</v>
      </c>
      <c r="D69" s="16">
        <v>66.22</v>
      </c>
      <c r="E69" s="16">
        <v>62.84</v>
      </c>
      <c r="F69" s="16">
        <v>65.39</v>
      </c>
      <c r="G69" s="16">
        <f>12/12*C69</f>
        <v>64.7</v>
      </c>
      <c r="H69" s="8"/>
      <c r="I69" s="9"/>
      <c r="J69" s="9"/>
    </row>
    <row r="70" spans="1:10" x14ac:dyDescent="0.25">
      <c r="A70" s="29" t="s">
        <v>75</v>
      </c>
      <c r="B70" s="29"/>
      <c r="C70" s="16">
        <v>285.86</v>
      </c>
      <c r="D70" s="16">
        <v>261.18</v>
      </c>
      <c r="E70" s="16">
        <v>295.08999999999997</v>
      </c>
      <c r="F70" s="16">
        <v>289.06</v>
      </c>
      <c r="G70" s="16">
        <f>12/12*C70</f>
        <v>285.86</v>
      </c>
      <c r="H70" s="8"/>
      <c r="I70" s="9"/>
      <c r="J70" s="9"/>
    </row>
    <row r="71" spans="1:10" x14ac:dyDescent="0.25">
      <c r="A71" s="29" t="s">
        <v>76</v>
      </c>
      <c r="B71" s="29"/>
      <c r="C71" s="16">
        <v>71.75</v>
      </c>
      <c r="D71" s="16">
        <v>68.650000000000006</v>
      </c>
      <c r="E71" s="16">
        <v>118.05</v>
      </c>
      <c r="F71" s="16">
        <v>81.41</v>
      </c>
      <c r="G71" s="16">
        <f>12/12*C71</f>
        <v>71.75</v>
      </c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  <row r="74" spans="1:10" x14ac:dyDescent="0.25">
      <c r="A74" s="28" t="s">
        <v>60</v>
      </c>
      <c r="B74" s="35"/>
    </row>
    <row r="75" spans="1:10" x14ac:dyDescent="0.25">
      <c r="A75" s="3" t="s">
        <v>77</v>
      </c>
      <c r="B75" s="1" t="s">
        <v>118</v>
      </c>
    </row>
    <row r="76" spans="1:10" x14ac:dyDescent="0.25">
      <c r="A76" s="3" t="s">
        <v>70</v>
      </c>
      <c r="B76" s="1" t="s">
        <v>79</v>
      </c>
    </row>
    <row r="77" spans="1:10" x14ac:dyDescent="0.25">
      <c r="A77" s="3" t="s">
        <v>71</v>
      </c>
      <c r="B77" s="1" t="s">
        <v>80</v>
      </c>
    </row>
    <row r="78" spans="1:10" x14ac:dyDescent="0.25">
      <c r="A78" s="3" t="s">
        <v>72</v>
      </c>
      <c r="B78" s="1" t="s">
        <v>81</v>
      </c>
    </row>
  </sheetData>
  <mergeCells count="19">
    <mergeCell ref="A69:B69"/>
    <mergeCell ref="A70:B70"/>
    <mergeCell ref="A71:B71"/>
    <mergeCell ref="A74:B74"/>
    <mergeCell ref="I62:I63"/>
    <mergeCell ref="J62:J63"/>
    <mergeCell ref="A63:B63"/>
    <mergeCell ref="A67:B67"/>
    <mergeCell ref="A68:B68"/>
    <mergeCell ref="A55:B55"/>
    <mergeCell ref="A56:B56"/>
    <mergeCell ref="A61:B61"/>
    <mergeCell ref="A62:B62"/>
    <mergeCell ref="H62:H63"/>
    <mergeCell ref="C7:G7"/>
    <mergeCell ref="A47:B47"/>
    <mergeCell ref="A48:B48"/>
    <mergeCell ref="A53:B53"/>
    <mergeCell ref="A54:B5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J72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31.710937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119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955</v>
      </c>
    </row>
    <row r="7" spans="1:10" x14ac:dyDescent="0.25">
      <c r="C7" s="28" t="s">
        <v>5</v>
      </c>
      <c r="D7" s="29"/>
      <c r="E7" s="29"/>
      <c r="F7" s="29"/>
      <c r="G7" s="29"/>
    </row>
    <row r="8" spans="1:10" x14ac:dyDescent="0.25">
      <c r="A8" s="25" t="s">
        <v>6</v>
      </c>
      <c r="B8" s="25" t="s">
        <v>7</v>
      </c>
      <c r="C8" s="27" t="s">
        <v>8</v>
      </c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32</v>
      </c>
      <c r="F9" s="10"/>
      <c r="G9" s="10">
        <f t="shared" ref="G9:G40" si="0">SUM(C9:F9)</f>
        <v>32</v>
      </c>
      <c r="H9" s="16">
        <f t="shared" ref="H9:H40" si="1">ROUND(G9/955,2)</f>
        <v>0.03</v>
      </c>
      <c r="I9" s="15">
        <f t="shared" ref="I9:I40" si="2">ROUND(G9/$G$41,3)</f>
        <v>0</v>
      </c>
      <c r="J9" s="15"/>
    </row>
    <row r="10" spans="1:10" x14ac:dyDescent="0.25">
      <c r="A10" s="1" t="s">
        <v>16</v>
      </c>
      <c r="B10" s="1" t="s">
        <v>18</v>
      </c>
      <c r="C10" s="10"/>
      <c r="D10" s="10"/>
      <c r="E10" s="10">
        <v>3820</v>
      </c>
      <c r="F10" s="10"/>
      <c r="G10" s="10">
        <f t="shared" si="0"/>
        <v>3820</v>
      </c>
      <c r="H10" s="16">
        <f t="shared" si="1"/>
        <v>4</v>
      </c>
      <c r="I10" s="15">
        <f t="shared" si="2"/>
        <v>8.9999999999999993E-3</v>
      </c>
      <c r="J10" s="15"/>
    </row>
    <row r="11" spans="1:10" x14ac:dyDescent="0.25">
      <c r="A11" s="1" t="s">
        <v>16</v>
      </c>
      <c r="B11" s="1" t="s">
        <v>19</v>
      </c>
      <c r="C11" s="10">
        <v>34180</v>
      </c>
      <c r="D11" s="10"/>
      <c r="E11" s="10">
        <v>7093</v>
      </c>
      <c r="F11" s="10"/>
      <c r="G11" s="10">
        <f t="shared" si="0"/>
        <v>41273</v>
      </c>
      <c r="H11" s="16">
        <f t="shared" si="1"/>
        <v>43.22</v>
      </c>
      <c r="I11" s="15">
        <f t="shared" si="2"/>
        <v>0.1</v>
      </c>
      <c r="J11" s="15">
        <f>ROUND(G11/33366.85-1,2)</f>
        <v>0.24</v>
      </c>
    </row>
    <row r="12" spans="1:10" x14ac:dyDescent="0.25">
      <c r="A12" s="1" t="s">
        <v>16</v>
      </c>
      <c r="B12" s="1" t="s">
        <v>20</v>
      </c>
      <c r="C12" s="10">
        <v>41925</v>
      </c>
      <c r="D12" s="10"/>
      <c r="E12" s="10">
        <v>461</v>
      </c>
      <c r="F12" s="10"/>
      <c r="G12" s="10">
        <f t="shared" si="0"/>
        <v>42386</v>
      </c>
      <c r="H12" s="16">
        <f t="shared" si="1"/>
        <v>44.38</v>
      </c>
      <c r="I12" s="15">
        <f t="shared" si="2"/>
        <v>0.10299999999999999</v>
      </c>
      <c r="J12" s="15">
        <f>ROUND(G12/47556.11-1,2)</f>
        <v>-0.11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101</v>
      </c>
      <c r="F13" s="10"/>
      <c r="G13" s="10">
        <f t="shared" si="0"/>
        <v>101</v>
      </c>
      <c r="H13" s="16">
        <f t="shared" si="1"/>
        <v>0.11</v>
      </c>
      <c r="I13" s="15">
        <f t="shared" si="2"/>
        <v>0</v>
      </c>
      <c r="J13" s="15">
        <f>ROUND(G13/10.38-1,2)</f>
        <v>8.73</v>
      </c>
    </row>
    <row r="14" spans="1:10" x14ac:dyDescent="0.25">
      <c r="A14" s="1" t="s">
        <v>16</v>
      </c>
      <c r="B14" s="1" t="s">
        <v>22</v>
      </c>
      <c r="C14" s="10"/>
      <c r="D14" s="10"/>
      <c r="E14" s="10">
        <v>907</v>
      </c>
      <c r="F14" s="10"/>
      <c r="G14" s="10">
        <f t="shared" si="0"/>
        <v>907</v>
      </c>
      <c r="H14" s="16">
        <f t="shared" si="1"/>
        <v>0.95</v>
      </c>
      <c r="I14" s="15">
        <f t="shared" si="2"/>
        <v>2E-3</v>
      </c>
      <c r="J14" s="15">
        <f>ROUND(G14/156.25-1,2)</f>
        <v>4.8</v>
      </c>
    </row>
    <row r="15" spans="1:10" x14ac:dyDescent="0.25">
      <c r="A15" s="1" t="s">
        <v>16</v>
      </c>
      <c r="B15" s="1" t="s">
        <v>23</v>
      </c>
      <c r="C15" s="10"/>
      <c r="D15" s="10"/>
      <c r="E15" s="10">
        <v>29847</v>
      </c>
      <c r="F15" s="10"/>
      <c r="G15" s="10">
        <f t="shared" si="0"/>
        <v>29847</v>
      </c>
      <c r="H15" s="16">
        <f t="shared" si="1"/>
        <v>31.25</v>
      </c>
      <c r="I15" s="15">
        <f t="shared" si="2"/>
        <v>7.2999999999999995E-2</v>
      </c>
      <c r="J15" s="15">
        <f>ROUND(G15/14471.28-1,2)</f>
        <v>1.06</v>
      </c>
    </row>
    <row r="16" spans="1:10" x14ac:dyDescent="0.25">
      <c r="A16" s="1" t="s">
        <v>16</v>
      </c>
      <c r="B16" s="1" t="s">
        <v>24</v>
      </c>
      <c r="C16" s="10">
        <v>39370</v>
      </c>
      <c r="D16" s="10"/>
      <c r="E16" s="10">
        <v>16544</v>
      </c>
      <c r="F16" s="10"/>
      <c r="G16" s="10">
        <f t="shared" si="0"/>
        <v>55914</v>
      </c>
      <c r="H16" s="16">
        <f t="shared" si="1"/>
        <v>58.55</v>
      </c>
      <c r="I16" s="15">
        <f t="shared" si="2"/>
        <v>0.13600000000000001</v>
      </c>
      <c r="J16" s="15">
        <f>ROUND(G16/43348.82-1,2)</f>
        <v>0.28999999999999998</v>
      </c>
    </row>
    <row r="17" spans="1:10" x14ac:dyDescent="0.25">
      <c r="A17" s="1" t="s">
        <v>16</v>
      </c>
      <c r="B17" s="1" t="s">
        <v>25</v>
      </c>
      <c r="C17" s="10"/>
      <c r="D17" s="10"/>
      <c r="E17" s="10">
        <v>1920</v>
      </c>
      <c r="F17" s="10"/>
      <c r="G17" s="10">
        <f t="shared" si="0"/>
        <v>1920</v>
      </c>
      <c r="H17" s="16">
        <f t="shared" si="1"/>
        <v>2.0099999999999998</v>
      </c>
      <c r="I17" s="15">
        <f t="shared" si="2"/>
        <v>5.0000000000000001E-3</v>
      </c>
      <c r="J17" s="15"/>
    </row>
    <row r="18" spans="1:10" x14ac:dyDescent="0.25">
      <c r="A18" s="1" t="s">
        <v>16</v>
      </c>
      <c r="B18" s="1" t="s">
        <v>26</v>
      </c>
      <c r="C18" s="10">
        <v>46660</v>
      </c>
      <c r="D18" s="10"/>
      <c r="E18" s="10"/>
      <c r="F18" s="10"/>
      <c r="G18" s="10">
        <f t="shared" si="0"/>
        <v>46660</v>
      </c>
      <c r="H18" s="16">
        <f t="shared" si="1"/>
        <v>48.86</v>
      </c>
      <c r="I18" s="15">
        <f t="shared" si="2"/>
        <v>0.114</v>
      </c>
      <c r="J18" s="15">
        <f>ROUND(G18/46180-1,2)</f>
        <v>0.01</v>
      </c>
    </row>
    <row r="19" spans="1:10" x14ac:dyDescent="0.25">
      <c r="A19" s="1" t="s">
        <v>16</v>
      </c>
      <c r="B19" s="1" t="s">
        <v>27</v>
      </c>
      <c r="C19" s="10"/>
      <c r="D19" s="10"/>
      <c r="E19" s="10">
        <v>257</v>
      </c>
      <c r="F19" s="10"/>
      <c r="G19" s="10">
        <f t="shared" si="0"/>
        <v>257</v>
      </c>
      <c r="H19" s="16">
        <f t="shared" si="1"/>
        <v>0.27</v>
      </c>
      <c r="I19" s="15">
        <f t="shared" si="2"/>
        <v>1E-3</v>
      </c>
      <c r="J19" s="15"/>
    </row>
    <row r="20" spans="1:10" x14ac:dyDescent="0.25">
      <c r="A20" s="1" t="s">
        <v>16</v>
      </c>
      <c r="B20" s="1" t="s">
        <v>28</v>
      </c>
      <c r="C20" s="10"/>
      <c r="D20" s="10"/>
      <c r="E20" s="10">
        <v>107</v>
      </c>
      <c r="F20" s="10"/>
      <c r="G20" s="10">
        <f t="shared" si="0"/>
        <v>107</v>
      </c>
      <c r="H20" s="16">
        <f t="shared" si="1"/>
        <v>0.11</v>
      </c>
      <c r="I20" s="15">
        <f t="shared" si="2"/>
        <v>0</v>
      </c>
      <c r="J20" s="15"/>
    </row>
    <row r="21" spans="1:10" x14ac:dyDescent="0.25">
      <c r="A21" s="1" t="s">
        <v>16</v>
      </c>
      <c r="B21" s="1" t="s">
        <v>29</v>
      </c>
      <c r="C21" s="10"/>
      <c r="D21" s="10"/>
      <c r="E21" s="10">
        <v>486</v>
      </c>
      <c r="F21" s="10"/>
      <c r="G21" s="10">
        <f t="shared" si="0"/>
        <v>486</v>
      </c>
      <c r="H21" s="16">
        <f t="shared" si="1"/>
        <v>0.51</v>
      </c>
      <c r="I21" s="15">
        <f t="shared" si="2"/>
        <v>1E-3</v>
      </c>
      <c r="J21" s="15">
        <f>ROUND(G21/431.82-1,2)</f>
        <v>0.13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405</v>
      </c>
      <c r="F22" s="10"/>
      <c r="G22" s="10">
        <f t="shared" si="0"/>
        <v>405</v>
      </c>
      <c r="H22" s="16">
        <f t="shared" si="1"/>
        <v>0.42</v>
      </c>
      <c r="I22" s="15">
        <f t="shared" si="2"/>
        <v>1E-3</v>
      </c>
      <c r="J22" s="15">
        <f>ROUND(G22/118.46-1,2)</f>
        <v>2.42</v>
      </c>
    </row>
    <row r="23" spans="1:10" x14ac:dyDescent="0.25">
      <c r="A23" s="1" t="s">
        <v>16</v>
      </c>
      <c r="B23" s="1" t="s">
        <v>31</v>
      </c>
      <c r="C23" s="10"/>
      <c r="D23" s="10"/>
      <c r="E23" s="10">
        <v>144</v>
      </c>
      <c r="F23" s="10"/>
      <c r="G23" s="10">
        <f t="shared" si="0"/>
        <v>144</v>
      </c>
      <c r="H23" s="16">
        <f t="shared" si="1"/>
        <v>0.15</v>
      </c>
      <c r="I23" s="15">
        <f t="shared" si="2"/>
        <v>0</v>
      </c>
      <c r="J23" s="15">
        <f>ROUND(G23/16.48-1,2)</f>
        <v>7.74</v>
      </c>
    </row>
    <row r="24" spans="1:10" x14ac:dyDescent="0.25">
      <c r="A24" s="1" t="s">
        <v>16</v>
      </c>
      <c r="B24" s="1" t="s">
        <v>32</v>
      </c>
      <c r="C24" s="10"/>
      <c r="D24" s="10"/>
      <c r="E24" s="10">
        <v>478</v>
      </c>
      <c r="F24" s="10"/>
      <c r="G24" s="10">
        <f t="shared" si="0"/>
        <v>478</v>
      </c>
      <c r="H24" s="16">
        <f t="shared" si="1"/>
        <v>0.5</v>
      </c>
      <c r="I24" s="15">
        <f t="shared" si="2"/>
        <v>1E-3</v>
      </c>
      <c r="J24" s="15">
        <f>ROUND(G24/742.88-1,2)</f>
        <v>-0.36</v>
      </c>
    </row>
    <row r="25" spans="1:10" x14ac:dyDescent="0.25">
      <c r="A25" s="1" t="s">
        <v>16</v>
      </c>
      <c r="B25" s="1" t="s">
        <v>33</v>
      </c>
      <c r="C25" s="10"/>
      <c r="D25" s="10"/>
      <c r="E25" s="10">
        <v>154</v>
      </c>
      <c r="F25" s="10"/>
      <c r="G25" s="10">
        <f t="shared" si="0"/>
        <v>154</v>
      </c>
      <c r="H25" s="16">
        <f t="shared" si="1"/>
        <v>0.16</v>
      </c>
      <c r="I25" s="15">
        <f t="shared" si="2"/>
        <v>0</v>
      </c>
      <c r="J25" s="15"/>
    </row>
    <row r="26" spans="1:10" x14ac:dyDescent="0.25">
      <c r="A26" s="1" t="s">
        <v>16</v>
      </c>
      <c r="B26" s="1" t="s">
        <v>34</v>
      </c>
      <c r="C26" s="10"/>
      <c r="D26" s="10"/>
      <c r="E26" s="10">
        <v>616</v>
      </c>
      <c r="F26" s="10"/>
      <c r="G26" s="10">
        <f t="shared" si="0"/>
        <v>616</v>
      </c>
      <c r="H26" s="16">
        <f t="shared" si="1"/>
        <v>0.65</v>
      </c>
      <c r="I26" s="15">
        <f t="shared" si="2"/>
        <v>1E-3</v>
      </c>
      <c r="J26" s="15"/>
    </row>
    <row r="27" spans="1:10" x14ac:dyDescent="0.25">
      <c r="A27" s="1" t="s">
        <v>16</v>
      </c>
      <c r="B27" s="1" t="s">
        <v>35</v>
      </c>
      <c r="C27" s="10"/>
      <c r="D27" s="10"/>
      <c r="E27" s="10">
        <v>190</v>
      </c>
      <c r="F27" s="10"/>
      <c r="G27" s="10">
        <f t="shared" si="0"/>
        <v>190</v>
      </c>
      <c r="H27" s="16">
        <f t="shared" si="1"/>
        <v>0.2</v>
      </c>
      <c r="I27" s="15">
        <f t="shared" si="2"/>
        <v>0</v>
      </c>
      <c r="J27" s="15">
        <f>ROUND(G27/20.66-1,2)</f>
        <v>8.1999999999999993</v>
      </c>
    </row>
    <row r="28" spans="1:10" x14ac:dyDescent="0.25">
      <c r="A28" s="1" t="s">
        <v>16</v>
      </c>
      <c r="B28" s="1" t="s">
        <v>36</v>
      </c>
      <c r="C28" s="10"/>
      <c r="D28" s="10"/>
      <c r="E28" s="10">
        <v>107</v>
      </c>
      <c r="F28" s="10"/>
      <c r="G28" s="10">
        <f t="shared" si="0"/>
        <v>107</v>
      </c>
      <c r="H28" s="16">
        <f t="shared" si="1"/>
        <v>0.11</v>
      </c>
      <c r="I28" s="15">
        <f t="shared" si="2"/>
        <v>0</v>
      </c>
      <c r="J28" s="15">
        <f>ROUND(G28/702.45-1,2)</f>
        <v>-0.85</v>
      </c>
    </row>
    <row r="29" spans="1:10" x14ac:dyDescent="0.25">
      <c r="A29" s="1" t="s">
        <v>16</v>
      </c>
      <c r="B29" s="1" t="s">
        <v>38</v>
      </c>
      <c r="C29" s="10"/>
      <c r="D29" s="10"/>
      <c r="E29" s="10">
        <v>35711</v>
      </c>
      <c r="F29" s="10"/>
      <c r="G29" s="10">
        <f t="shared" si="0"/>
        <v>35711</v>
      </c>
      <c r="H29" s="16">
        <f t="shared" si="1"/>
        <v>37.39</v>
      </c>
      <c r="I29" s="15">
        <f t="shared" si="2"/>
        <v>8.6999999999999994E-2</v>
      </c>
      <c r="J29" s="15">
        <f>ROUND(G29/8165.47-1,2)</f>
        <v>3.37</v>
      </c>
    </row>
    <row r="30" spans="1:10" x14ac:dyDescent="0.25">
      <c r="A30" s="1" t="s">
        <v>16</v>
      </c>
      <c r="B30" s="1" t="s">
        <v>39</v>
      </c>
      <c r="C30" s="10"/>
      <c r="D30" s="10"/>
      <c r="E30" s="10">
        <v>2866</v>
      </c>
      <c r="F30" s="10"/>
      <c r="G30" s="10">
        <f t="shared" si="0"/>
        <v>2866</v>
      </c>
      <c r="H30" s="16">
        <f t="shared" si="1"/>
        <v>3</v>
      </c>
      <c r="I30" s="15">
        <f t="shared" si="2"/>
        <v>7.0000000000000001E-3</v>
      </c>
      <c r="J30" s="15">
        <f>ROUND(G30/1100.26-1,2)</f>
        <v>1.6</v>
      </c>
    </row>
    <row r="31" spans="1:10" x14ac:dyDescent="0.25">
      <c r="A31" s="1" t="s">
        <v>16</v>
      </c>
      <c r="B31" s="1" t="s">
        <v>40</v>
      </c>
      <c r="C31" s="10"/>
      <c r="D31" s="10"/>
      <c r="E31" s="10">
        <v>11587</v>
      </c>
      <c r="F31" s="10"/>
      <c r="G31" s="10">
        <f t="shared" si="0"/>
        <v>11587</v>
      </c>
      <c r="H31" s="16">
        <f t="shared" si="1"/>
        <v>12.13</v>
      </c>
      <c r="I31" s="15">
        <f t="shared" si="2"/>
        <v>2.8000000000000001E-2</v>
      </c>
      <c r="J31" s="15">
        <f>ROUND(G31/4485.29-1,2)</f>
        <v>1.58</v>
      </c>
    </row>
    <row r="32" spans="1:10" x14ac:dyDescent="0.25">
      <c r="A32" s="1" t="s">
        <v>16</v>
      </c>
      <c r="B32" s="1" t="s">
        <v>41</v>
      </c>
      <c r="C32" s="10"/>
      <c r="D32" s="10"/>
      <c r="E32" s="10">
        <v>23099</v>
      </c>
      <c r="F32" s="10"/>
      <c r="G32" s="10">
        <f t="shared" si="0"/>
        <v>23099</v>
      </c>
      <c r="H32" s="16">
        <f t="shared" si="1"/>
        <v>24.19</v>
      </c>
      <c r="I32" s="15">
        <f t="shared" si="2"/>
        <v>5.6000000000000001E-2</v>
      </c>
      <c r="J32" s="15">
        <f>ROUND(G32/7987-1,2)</f>
        <v>1.89</v>
      </c>
    </row>
    <row r="33" spans="1:10" x14ac:dyDescent="0.25">
      <c r="A33" s="1" t="s">
        <v>16</v>
      </c>
      <c r="B33" s="1" t="s">
        <v>37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>
        <f>ROUND(G33/617.96-1,2)</f>
        <v>-1</v>
      </c>
    </row>
    <row r="34" spans="1:10" x14ac:dyDescent="0.25">
      <c r="A34" s="1" t="s">
        <v>16</v>
      </c>
      <c r="B34" s="1" t="s">
        <v>42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ROUND(G34/25.87-1,2)</f>
        <v>-1</v>
      </c>
    </row>
    <row r="35" spans="1:10" x14ac:dyDescent="0.25">
      <c r="A35" s="1" t="s">
        <v>16</v>
      </c>
      <c r="B35" s="1" t="s">
        <v>120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44</v>
      </c>
      <c r="B36" s="1" t="s">
        <v>45</v>
      </c>
      <c r="C36" s="10">
        <v>86030</v>
      </c>
      <c r="D36" s="10"/>
      <c r="E36" s="10"/>
      <c r="F36" s="10"/>
      <c r="G36" s="10">
        <f t="shared" si="0"/>
        <v>86030</v>
      </c>
      <c r="H36" s="16">
        <f t="shared" si="1"/>
        <v>90.08</v>
      </c>
      <c r="I36" s="15">
        <f t="shared" si="2"/>
        <v>0.20899999999999999</v>
      </c>
      <c r="J36" s="15">
        <f>ROUND(G36/78600-1,2)</f>
        <v>0.09</v>
      </c>
    </row>
    <row r="37" spans="1:10" x14ac:dyDescent="0.25">
      <c r="A37" s="1" t="s">
        <v>44</v>
      </c>
      <c r="B37" s="1" t="s">
        <v>46</v>
      </c>
      <c r="C37" s="10"/>
      <c r="D37" s="10"/>
      <c r="E37" s="10">
        <v>25594</v>
      </c>
      <c r="F37" s="10"/>
      <c r="G37" s="10">
        <f t="shared" si="0"/>
        <v>25594</v>
      </c>
      <c r="H37" s="16">
        <f t="shared" si="1"/>
        <v>26.8</v>
      </c>
      <c r="I37" s="15">
        <f t="shared" si="2"/>
        <v>6.2E-2</v>
      </c>
      <c r="J37" s="15">
        <f>ROUND(G37/10787.89-1,2)</f>
        <v>1.37</v>
      </c>
    </row>
    <row r="38" spans="1:10" x14ac:dyDescent="0.25">
      <c r="A38" s="1" t="s">
        <v>44</v>
      </c>
      <c r="B38" s="1" t="s">
        <v>47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1" t="s">
        <v>48</v>
      </c>
      <c r="B39" s="1" t="s">
        <v>86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1" t="s">
        <v>48</v>
      </c>
      <c r="B40" s="1" t="s">
        <v>51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/>
    </row>
    <row r="41" spans="1:10" x14ac:dyDescent="0.25">
      <c r="A41" s="30" t="s">
        <v>12</v>
      </c>
      <c r="B41" s="30"/>
      <c r="C41" s="11">
        <f t="shared" ref="C41:H41" si="3">SUM(C8:C40)</f>
        <v>248165</v>
      </c>
      <c r="D41" s="11">
        <f t="shared" si="3"/>
        <v>0</v>
      </c>
      <c r="E41" s="11">
        <f t="shared" si="3"/>
        <v>162526</v>
      </c>
      <c r="F41" s="11">
        <f t="shared" si="3"/>
        <v>0</v>
      </c>
      <c r="G41" s="11">
        <f t="shared" si="3"/>
        <v>410691</v>
      </c>
      <c r="H41" s="14">
        <f t="shared" si="3"/>
        <v>430.03000000000003</v>
      </c>
      <c r="I41" s="17"/>
      <c r="J41" s="17"/>
    </row>
    <row r="42" spans="1:10" x14ac:dyDescent="0.25">
      <c r="A42" s="30" t="s">
        <v>14</v>
      </c>
      <c r="B42" s="30"/>
      <c r="C42" s="12">
        <f>ROUND(C41/G41,2)</f>
        <v>0.6</v>
      </c>
      <c r="D42" s="12">
        <f>ROUND(D41/G41,2)</f>
        <v>0</v>
      </c>
      <c r="E42" s="12">
        <f>ROUND(E41/G41,2)</f>
        <v>0.4</v>
      </c>
      <c r="F42" s="12">
        <f>ROUND(F41/G41,2)</f>
        <v>0</v>
      </c>
      <c r="G42" s="13"/>
      <c r="H42" s="13"/>
      <c r="I42" s="17"/>
      <c r="J42" s="17"/>
    </row>
    <row r="43" spans="1:10" x14ac:dyDescent="0.25">
      <c r="A43" s="2" t="s">
        <v>52</v>
      </c>
      <c r="B43" s="2"/>
      <c r="C43" s="13"/>
      <c r="D43" s="13"/>
      <c r="E43" s="13"/>
      <c r="F43" s="13"/>
      <c r="G43" s="13"/>
      <c r="H43" s="13"/>
      <c r="I43" s="17"/>
      <c r="J43" s="17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A47" s="30" t="s">
        <v>53</v>
      </c>
      <c r="B47" s="30"/>
      <c r="C47" s="11" t="s">
        <v>8</v>
      </c>
      <c r="D47" s="11" t="s">
        <v>9</v>
      </c>
      <c r="E47" s="11" t="s">
        <v>10</v>
      </c>
      <c r="F47" s="11" t="s">
        <v>11</v>
      </c>
      <c r="G47" s="11" t="s">
        <v>12</v>
      </c>
      <c r="H47" s="14" t="s">
        <v>13</v>
      </c>
      <c r="I47" s="17"/>
      <c r="J47" s="17"/>
    </row>
    <row r="48" spans="1:10" x14ac:dyDescent="0.25">
      <c r="A48" s="29" t="s">
        <v>54</v>
      </c>
      <c r="B48" s="29"/>
      <c r="C48" s="10">
        <v>162135</v>
      </c>
      <c r="D48" s="10">
        <v>0</v>
      </c>
      <c r="E48" s="10">
        <v>136932</v>
      </c>
      <c r="F48" s="10">
        <v>0</v>
      </c>
      <c r="G48" s="10">
        <f>SUM(C48:F48)</f>
        <v>299067</v>
      </c>
      <c r="H48" s="16">
        <f>ROUND(G48/955,2)</f>
        <v>313.16000000000003</v>
      </c>
      <c r="I48" s="9"/>
      <c r="J48" s="9"/>
    </row>
    <row r="49" spans="1:10" x14ac:dyDescent="0.25">
      <c r="A49" s="29" t="s">
        <v>55</v>
      </c>
      <c r="B49" s="29"/>
      <c r="C49" s="10">
        <v>86030</v>
      </c>
      <c r="D49" s="10">
        <v>0</v>
      </c>
      <c r="E49" s="10">
        <v>25594</v>
      </c>
      <c r="F49" s="10">
        <v>0</v>
      </c>
      <c r="G49" s="10">
        <f>SUM(C49:F49)</f>
        <v>111624</v>
      </c>
      <c r="H49" s="16">
        <f>ROUND(G49/955,2)</f>
        <v>116.88</v>
      </c>
      <c r="I49" s="9"/>
      <c r="J49" s="9"/>
    </row>
    <row r="50" spans="1:10" x14ac:dyDescent="0.25">
      <c r="A50" s="29" t="s">
        <v>56</v>
      </c>
      <c r="B50" s="29"/>
      <c r="C50" s="10">
        <v>0</v>
      </c>
      <c r="D50" s="10">
        <v>0</v>
      </c>
      <c r="E50" s="10">
        <v>0</v>
      </c>
      <c r="F50" s="10">
        <v>0</v>
      </c>
      <c r="G50" s="10">
        <f>SUM(C50:F50)</f>
        <v>0</v>
      </c>
      <c r="H50" s="16">
        <f>ROUND(G50/955,2)</f>
        <v>0</v>
      </c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A55" s="30" t="s">
        <v>57</v>
      </c>
      <c r="B55" s="30"/>
      <c r="C55" s="14" t="s">
        <v>2</v>
      </c>
      <c r="D55" s="14">
        <v>2023</v>
      </c>
      <c r="E55" s="14" t="s">
        <v>59</v>
      </c>
      <c r="F55" s="13"/>
      <c r="G55" s="14" t="s">
        <v>60</v>
      </c>
      <c r="H55" s="14" t="s">
        <v>2</v>
      </c>
      <c r="I55" s="12" t="s">
        <v>61</v>
      </c>
      <c r="J55" s="12" t="s">
        <v>59</v>
      </c>
    </row>
    <row r="56" spans="1:10" x14ac:dyDescent="0.25">
      <c r="A56" s="29" t="s">
        <v>58</v>
      </c>
      <c r="B56" s="29"/>
      <c r="C56" s="15">
        <f>ROUND(0.7663, 4)</f>
        <v>0.76629999999999998</v>
      </c>
      <c r="D56" s="15">
        <f>ROUND(0.7195, 4)</f>
        <v>0.71950000000000003</v>
      </c>
      <c r="E56" s="15">
        <f>ROUND(0.777, 4)</f>
        <v>0.77700000000000002</v>
      </c>
      <c r="F56" s="8"/>
      <c r="G56" s="14" t="s">
        <v>62</v>
      </c>
      <c r="H56" s="33" t="s">
        <v>63</v>
      </c>
      <c r="I56" s="31" t="s">
        <v>64</v>
      </c>
      <c r="J56" s="31" t="s">
        <v>65</v>
      </c>
    </row>
    <row r="57" spans="1:10" x14ac:dyDescent="0.25">
      <c r="A57" s="29" t="s">
        <v>66</v>
      </c>
      <c r="B57" s="29"/>
      <c r="C57" s="15">
        <f>ROUND(0.7259, 4)</f>
        <v>0.72589999999999999</v>
      </c>
      <c r="D57" s="15">
        <f>ROUND(0.6757, 4)</f>
        <v>0.67569999999999997</v>
      </c>
      <c r="E57" s="15">
        <f>ROUND(0.7608, 4)</f>
        <v>0.76080000000000003</v>
      </c>
      <c r="F57" s="8"/>
      <c r="G57" s="20" t="s">
        <v>67</v>
      </c>
      <c r="H57" s="34"/>
      <c r="I57" s="32"/>
      <c r="J57" s="32"/>
    </row>
    <row r="58" spans="1:10" x14ac:dyDescent="0.25">
      <c r="C58" s="8"/>
      <c r="D58" s="8"/>
      <c r="E58" s="8"/>
      <c r="F58" s="8"/>
      <c r="G58" s="21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A61" s="30" t="s">
        <v>68</v>
      </c>
      <c r="B61" s="30"/>
      <c r="C61" s="14" t="s">
        <v>2</v>
      </c>
      <c r="D61" s="14" t="s">
        <v>121</v>
      </c>
      <c r="E61" s="14" t="s">
        <v>70</v>
      </c>
      <c r="F61" s="14" t="s">
        <v>71</v>
      </c>
      <c r="G61" s="14" t="s">
        <v>72</v>
      </c>
      <c r="H61" s="13"/>
      <c r="I61" s="17"/>
      <c r="J61" s="17"/>
    </row>
    <row r="62" spans="1:10" x14ac:dyDescent="0.25">
      <c r="A62" s="29" t="s">
        <v>73</v>
      </c>
      <c r="B62" s="29"/>
      <c r="C62" s="16">
        <v>90.08</v>
      </c>
      <c r="D62" s="16">
        <v>82.44</v>
      </c>
      <c r="E62" s="16">
        <v>93.87</v>
      </c>
      <c r="F62" s="16">
        <v>57.16</v>
      </c>
      <c r="G62" s="16">
        <f>12/12*C62</f>
        <v>90.08</v>
      </c>
      <c r="H62" s="8"/>
      <c r="I62" s="9"/>
      <c r="J62" s="9"/>
    </row>
    <row r="63" spans="1:10" x14ac:dyDescent="0.25">
      <c r="A63" s="29" t="s">
        <v>74</v>
      </c>
      <c r="B63" s="29"/>
      <c r="C63" s="16">
        <v>48.86</v>
      </c>
      <c r="D63" s="16">
        <v>48.08</v>
      </c>
      <c r="E63" s="16">
        <v>62.84</v>
      </c>
      <c r="F63" s="16">
        <v>65.39</v>
      </c>
      <c r="G63" s="16">
        <f>12/12*C63</f>
        <v>48.86</v>
      </c>
      <c r="H63" s="8"/>
      <c r="I63" s="9"/>
      <c r="J63" s="9"/>
    </row>
    <row r="64" spans="1:10" x14ac:dyDescent="0.25">
      <c r="A64" s="29" t="s">
        <v>75</v>
      </c>
      <c r="B64" s="29"/>
      <c r="C64" s="16">
        <v>313.16000000000003</v>
      </c>
      <c r="D64" s="16">
        <v>265.11</v>
      </c>
      <c r="E64" s="16">
        <v>295.08999999999997</v>
      </c>
      <c r="F64" s="16">
        <v>289.06</v>
      </c>
      <c r="G64" s="16">
        <f>12/12*C64</f>
        <v>313.16000000000003</v>
      </c>
      <c r="H64" s="8"/>
      <c r="I64" s="9"/>
      <c r="J64" s="9"/>
    </row>
    <row r="65" spans="1:10" x14ac:dyDescent="0.25">
      <c r="A65" s="29" t="s">
        <v>76</v>
      </c>
      <c r="B65" s="29"/>
      <c r="C65" s="16">
        <v>116.88</v>
      </c>
      <c r="D65" s="16">
        <v>103.11</v>
      </c>
      <c r="E65" s="16">
        <v>118.05</v>
      </c>
      <c r="F65" s="16">
        <v>81.41</v>
      </c>
      <c r="G65" s="16">
        <f>12/12*C65</f>
        <v>116.88</v>
      </c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28" t="s">
        <v>60</v>
      </c>
      <c r="B68" s="35"/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77</v>
      </c>
      <c r="B69" s="1" t="s">
        <v>122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70</v>
      </c>
      <c r="B70" s="1" t="s">
        <v>79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3" t="s">
        <v>71</v>
      </c>
      <c r="B71" s="1" t="s">
        <v>80</v>
      </c>
      <c r="C71" s="8"/>
      <c r="D71" s="8"/>
      <c r="E71" s="8"/>
      <c r="F71" s="8"/>
      <c r="G71" s="8"/>
      <c r="H71" s="8"/>
      <c r="I71" s="9"/>
      <c r="J71" s="9"/>
    </row>
    <row r="72" spans="1:10" x14ac:dyDescent="0.25">
      <c r="A72" s="3" t="s">
        <v>72</v>
      </c>
      <c r="B72" s="1" t="s">
        <v>81</v>
      </c>
    </row>
  </sheetData>
  <mergeCells count="19">
    <mergeCell ref="A63:B63"/>
    <mergeCell ref="A64:B64"/>
    <mergeCell ref="A65:B65"/>
    <mergeCell ref="A68:B68"/>
    <mergeCell ref="I56:I57"/>
    <mergeCell ref="J56:J57"/>
    <mergeCell ref="A57:B57"/>
    <mergeCell ref="A61:B61"/>
    <mergeCell ref="A62:B62"/>
    <mergeCell ref="A49:B49"/>
    <mergeCell ref="A50:B50"/>
    <mergeCell ref="A55:B55"/>
    <mergeCell ref="A56:B56"/>
    <mergeCell ref="H56:H57"/>
    <mergeCell ref="C7:G7"/>
    <mergeCell ref="A41:B41"/>
    <mergeCell ref="A42:B42"/>
    <mergeCell ref="A47:B47"/>
    <mergeCell ref="A48:B4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J80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5.710937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123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640</v>
      </c>
    </row>
    <row r="7" spans="1:10" x14ac:dyDescent="0.25">
      <c r="C7" s="28" t="s">
        <v>5</v>
      </c>
      <c r="D7" s="29"/>
      <c r="E7" s="29"/>
      <c r="F7" s="29"/>
      <c r="G7" s="29"/>
    </row>
    <row r="8" spans="1:10" x14ac:dyDescent="0.25">
      <c r="A8" s="25" t="s">
        <v>6</v>
      </c>
      <c r="B8" s="25" t="s">
        <v>7</v>
      </c>
      <c r="C8" s="27" t="s">
        <v>8</v>
      </c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13</v>
      </c>
      <c r="F9" s="10"/>
      <c r="G9" s="10">
        <f t="shared" ref="G9:G39" si="0">SUM(C9:F9)</f>
        <v>13</v>
      </c>
      <c r="H9" s="16">
        <f t="shared" ref="H9:H39" si="1">ROUND(G9/640,2)</f>
        <v>0.02</v>
      </c>
      <c r="I9" s="15">
        <f t="shared" ref="I9:I39" si="2">ROUND(G9/$G$40,3)</f>
        <v>0</v>
      </c>
      <c r="J9" s="15"/>
    </row>
    <row r="10" spans="1:10" x14ac:dyDescent="0.25">
      <c r="A10" s="1" t="s">
        <v>16</v>
      </c>
      <c r="B10" s="1" t="s">
        <v>19</v>
      </c>
      <c r="C10" s="10">
        <v>15240</v>
      </c>
      <c r="D10" s="10"/>
      <c r="E10" s="10">
        <v>2988</v>
      </c>
      <c r="F10" s="10"/>
      <c r="G10" s="10">
        <f t="shared" si="0"/>
        <v>18228</v>
      </c>
      <c r="H10" s="16">
        <f t="shared" si="1"/>
        <v>28.48</v>
      </c>
      <c r="I10" s="15">
        <f t="shared" si="2"/>
        <v>7.8E-2</v>
      </c>
      <c r="J10" s="15">
        <f>ROUND(G10/14681.55-1,2)</f>
        <v>0.24</v>
      </c>
    </row>
    <row r="11" spans="1:10" x14ac:dyDescent="0.25">
      <c r="A11" s="1" t="s">
        <v>16</v>
      </c>
      <c r="B11" s="1" t="s">
        <v>20</v>
      </c>
      <c r="C11" s="10">
        <v>19265</v>
      </c>
      <c r="D11" s="10"/>
      <c r="E11" s="10"/>
      <c r="F11" s="10"/>
      <c r="G11" s="10">
        <f t="shared" si="0"/>
        <v>19265</v>
      </c>
      <c r="H11" s="16">
        <f t="shared" si="1"/>
        <v>30.1</v>
      </c>
      <c r="I11" s="15">
        <f t="shared" si="2"/>
        <v>8.3000000000000004E-2</v>
      </c>
      <c r="J11" s="15">
        <f>ROUND(G11/16625-1,2)</f>
        <v>0.16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98</v>
      </c>
      <c r="F12" s="10"/>
      <c r="G12" s="10">
        <f t="shared" si="0"/>
        <v>98</v>
      </c>
      <c r="H12" s="16">
        <f t="shared" si="1"/>
        <v>0.15</v>
      </c>
      <c r="I12" s="15">
        <f t="shared" si="2"/>
        <v>0</v>
      </c>
      <c r="J12" s="15">
        <f>ROUND(G12/35.4-1,2)</f>
        <v>1.77</v>
      </c>
    </row>
    <row r="13" spans="1:10" x14ac:dyDescent="0.25">
      <c r="A13" s="1" t="s">
        <v>16</v>
      </c>
      <c r="B13" s="1" t="s">
        <v>22</v>
      </c>
      <c r="C13" s="10"/>
      <c r="D13" s="10"/>
      <c r="E13" s="10">
        <v>727</v>
      </c>
      <c r="F13" s="10"/>
      <c r="G13" s="10">
        <f t="shared" si="0"/>
        <v>727</v>
      </c>
      <c r="H13" s="16">
        <f t="shared" si="1"/>
        <v>1.1399999999999999</v>
      </c>
      <c r="I13" s="15">
        <f t="shared" si="2"/>
        <v>3.0000000000000001E-3</v>
      </c>
      <c r="J13" s="15">
        <f>ROUND(G13/285.71-1,2)</f>
        <v>1.54</v>
      </c>
    </row>
    <row r="14" spans="1:10" x14ac:dyDescent="0.25">
      <c r="A14" s="1" t="s">
        <v>16</v>
      </c>
      <c r="B14" s="1" t="s">
        <v>23</v>
      </c>
      <c r="C14" s="10"/>
      <c r="D14" s="10"/>
      <c r="E14" s="10">
        <v>25405</v>
      </c>
      <c r="F14" s="10"/>
      <c r="G14" s="10">
        <f t="shared" si="0"/>
        <v>25405</v>
      </c>
      <c r="H14" s="16">
        <f t="shared" si="1"/>
        <v>39.700000000000003</v>
      </c>
      <c r="I14" s="15">
        <f t="shared" si="2"/>
        <v>0.109</v>
      </c>
      <c r="J14" s="15">
        <f>ROUND(G14/13826.77-1,2)</f>
        <v>0.84</v>
      </c>
    </row>
    <row r="15" spans="1:10" x14ac:dyDescent="0.25">
      <c r="A15" s="1" t="s">
        <v>16</v>
      </c>
      <c r="B15" s="1" t="s">
        <v>24</v>
      </c>
      <c r="C15" s="10">
        <v>17600</v>
      </c>
      <c r="D15" s="10"/>
      <c r="E15" s="10">
        <v>9762</v>
      </c>
      <c r="F15" s="10"/>
      <c r="G15" s="10">
        <f t="shared" si="0"/>
        <v>27362</v>
      </c>
      <c r="H15" s="16">
        <f t="shared" si="1"/>
        <v>42.75</v>
      </c>
      <c r="I15" s="15">
        <f t="shared" si="2"/>
        <v>0.11799999999999999</v>
      </c>
      <c r="J15" s="15">
        <f>ROUND(G15/18739.95-1,2)</f>
        <v>0.46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2514</v>
      </c>
      <c r="F16" s="10"/>
      <c r="G16" s="10">
        <f t="shared" si="0"/>
        <v>2514</v>
      </c>
      <c r="H16" s="16">
        <f t="shared" si="1"/>
        <v>3.93</v>
      </c>
      <c r="I16" s="15">
        <f t="shared" si="2"/>
        <v>1.0999999999999999E-2</v>
      </c>
      <c r="J16" s="15"/>
    </row>
    <row r="17" spans="1:10" x14ac:dyDescent="0.25">
      <c r="A17" s="1" t="s">
        <v>16</v>
      </c>
      <c r="B17" s="1" t="s">
        <v>26</v>
      </c>
      <c r="C17" s="10">
        <v>15630</v>
      </c>
      <c r="D17" s="10"/>
      <c r="E17" s="10"/>
      <c r="F17" s="10"/>
      <c r="G17" s="10">
        <f t="shared" si="0"/>
        <v>15630</v>
      </c>
      <c r="H17" s="16">
        <f t="shared" si="1"/>
        <v>24.42</v>
      </c>
      <c r="I17" s="15">
        <f t="shared" si="2"/>
        <v>6.7000000000000004E-2</v>
      </c>
      <c r="J17" s="15">
        <f>ROUND(G17/22180-1,2)</f>
        <v>-0.3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314</v>
      </c>
      <c r="F18" s="10"/>
      <c r="G18" s="10">
        <f t="shared" si="0"/>
        <v>314</v>
      </c>
      <c r="H18" s="16">
        <f t="shared" si="1"/>
        <v>0.49</v>
      </c>
      <c r="I18" s="15">
        <f t="shared" si="2"/>
        <v>1E-3</v>
      </c>
      <c r="J18" s="15"/>
    </row>
    <row r="19" spans="1:10" x14ac:dyDescent="0.25">
      <c r="A19" s="1" t="s">
        <v>16</v>
      </c>
      <c r="B19" s="1" t="s">
        <v>28</v>
      </c>
      <c r="C19" s="10"/>
      <c r="D19" s="10"/>
      <c r="E19" s="10">
        <v>142</v>
      </c>
      <c r="F19" s="10"/>
      <c r="G19" s="10">
        <f t="shared" si="0"/>
        <v>142</v>
      </c>
      <c r="H19" s="16">
        <f t="shared" si="1"/>
        <v>0.22</v>
      </c>
      <c r="I19" s="15">
        <f t="shared" si="2"/>
        <v>1E-3</v>
      </c>
      <c r="J19" s="15"/>
    </row>
    <row r="20" spans="1:10" x14ac:dyDescent="0.25">
      <c r="A20" s="1" t="s">
        <v>16</v>
      </c>
      <c r="B20" s="1" t="s">
        <v>42</v>
      </c>
      <c r="C20" s="10"/>
      <c r="D20" s="10"/>
      <c r="E20" s="10">
        <v>34</v>
      </c>
      <c r="F20" s="10"/>
      <c r="G20" s="10">
        <f t="shared" si="0"/>
        <v>34</v>
      </c>
      <c r="H20" s="16">
        <f t="shared" si="1"/>
        <v>0.05</v>
      </c>
      <c r="I20" s="15">
        <f t="shared" si="2"/>
        <v>0</v>
      </c>
      <c r="J20" s="15">
        <f>ROUND(G20/4.9-1,2)</f>
        <v>5.94</v>
      </c>
    </row>
    <row r="21" spans="1:10" x14ac:dyDescent="0.25">
      <c r="A21" s="1" t="s">
        <v>16</v>
      </c>
      <c r="B21" s="1" t="s">
        <v>29</v>
      </c>
      <c r="C21" s="10"/>
      <c r="D21" s="10"/>
      <c r="E21" s="10">
        <v>413</v>
      </c>
      <c r="F21" s="10"/>
      <c r="G21" s="10">
        <f t="shared" si="0"/>
        <v>413</v>
      </c>
      <c r="H21" s="16">
        <f t="shared" si="1"/>
        <v>0.65</v>
      </c>
      <c r="I21" s="15">
        <f t="shared" si="2"/>
        <v>2E-3</v>
      </c>
      <c r="J21" s="15">
        <f>ROUND(G21/481.98-1,2)</f>
        <v>-0.14000000000000001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162</v>
      </c>
      <c r="F22" s="10"/>
      <c r="G22" s="10">
        <f t="shared" si="0"/>
        <v>162</v>
      </c>
      <c r="H22" s="16">
        <f t="shared" si="1"/>
        <v>0.25</v>
      </c>
      <c r="I22" s="15">
        <f t="shared" si="2"/>
        <v>1E-3</v>
      </c>
      <c r="J22" s="15">
        <f>ROUND(G22/164.03-1,2)</f>
        <v>-0.01</v>
      </c>
    </row>
    <row r="23" spans="1:10" x14ac:dyDescent="0.25">
      <c r="A23" s="1" t="s">
        <v>16</v>
      </c>
      <c r="B23" s="1" t="s">
        <v>31</v>
      </c>
      <c r="C23" s="10"/>
      <c r="D23" s="10"/>
      <c r="E23" s="10">
        <v>37</v>
      </c>
      <c r="F23" s="10"/>
      <c r="G23" s="10">
        <f t="shared" si="0"/>
        <v>37</v>
      </c>
      <c r="H23" s="16">
        <f t="shared" si="1"/>
        <v>0.06</v>
      </c>
      <c r="I23" s="15">
        <f t="shared" si="2"/>
        <v>0</v>
      </c>
      <c r="J23" s="15"/>
    </row>
    <row r="24" spans="1:10" x14ac:dyDescent="0.25">
      <c r="A24" s="1" t="s">
        <v>16</v>
      </c>
      <c r="B24" s="1" t="s">
        <v>32</v>
      </c>
      <c r="C24" s="10"/>
      <c r="D24" s="10"/>
      <c r="E24" s="10">
        <v>949</v>
      </c>
      <c r="F24" s="10"/>
      <c r="G24" s="10">
        <f t="shared" si="0"/>
        <v>949</v>
      </c>
      <c r="H24" s="16">
        <f t="shared" si="1"/>
        <v>1.48</v>
      </c>
      <c r="I24" s="15">
        <f t="shared" si="2"/>
        <v>4.0000000000000001E-3</v>
      </c>
      <c r="J24" s="15">
        <f>ROUND(G24/362.87-1,2)</f>
        <v>1.62</v>
      </c>
    </row>
    <row r="25" spans="1:10" x14ac:dyDescent="0.25">
      <c r="A25" s="1" t="s">
        <v>16</v>
      </c>
      <c r="B25" s="1" t="s">
        <v>33</v>
      </c>
      <c r="C25" s="10"/>
      <c r="D25" s="10"/>
      <c r="E25" s="10">
        <v>47</v>
      </c>
      <c r="F25" s="10"/>
      <c r="G25" s="10">
        <f t="shared" si="0"/>
        <v>47</v>
      </c>
      <c r="H25" s="16">
        <f t="shared" si="1"/>
        <v>7.0000000000000007E-2</v>
      </c>
      <c r="I25" s="15">
        <f t="shared" si="2"/>
        <v>0</v>
      </c>
      <c r="J25" s="15">
        <f>ROUND(G25/5.45-1,2)</f>
        <v>7.62</v>
      </c>
    </row>
    <row r="26" spans="1:10" x14ac:dyDescent="0.25">
      <c r="A26" s="1" t="s">
        <v>16</v>
      </c>
      <c r="B26" s="1" t="s">
        <v>34</v>
      </c>
      <c r="C26" s="10"/>
      <c r="D26" s="10"/>
      <c r="E26" s="10">
        <v>69</v>
      </c>
      <c r="F26" s="10"/>
      <c r="G26" s="10">
        <f t="shared" si="0"/>
        <v>69</v>
      </c>
      <c r="H26" s="16">
        <f t="shared" si="1"/>
        <v>0.11</v>
      </c>
      <c r="I26" s="15">
        <f t="shared" si="2"/>
        <v>0</v>
      </c>
      <c r="J26" s="15"/>
    </row>
    <row r="27" spans="1:10" x14ac:dyDescent="0.25">
      <c r="A27" s="1" t="s">
        <v>16</v>
      </c>
      <c r="B27" s="1" t="s">
        <v>35</v>
      </c>
      <c r="C27" s="10"/>
      <c r="D27" s="10"/>
      <c r="E27" s="10">
        <v>103</v>
      </c>
      <c r="F27" s="10"/>
      <c r="G27" s="10">
        <f t="shared" si="0"/>
        <v>103</v>
      </c>
      <c r="H27" s="16">
        <f t="shared" si="1"/>
        <v>0.16</v>
      </c>
      <c r="I27" s="15">
        <f t="shared" si="2"/>
        <v>0</v>
      </c>
      <c r="J27" s="15"/>
    </row>
    <row r="28" spans="1:10" x14ac:dyDescent="0.25">
      <c r="A28" s="1" t="s">
        <v>16</v>
      </c>
      <c r="B28" s="1" t="s">
        <v>37</v>
      </c>
      <c r="C28" s="10"/>
      <c r="D28" s="10"/>
      <c r="E28" s="10">
        <v>1286</v>
      </c>
      <c r="F28" s="10"/>
      <c r="G28" s="10">
        <f t="shared" si="0"/>
        <v>1286</v>
      </c>
      <c r="H28" s="16">
        <f t="shared" si="1"/>
        <v>2.0099999999999998</v>
      </c>
      <c r="I28" s="15">
        <f t="shared" si="2"/>
        <v>6.0000000000000001E-3</v>
      </c>
      <c r="J28" s="15">
        <f>ROUND(G28/694.63-1,2)</f>
        <v>0.85</v>
      </c>
    </row>
    <row r="29" spans="1:10" x14ac:dyDescent="0.25">
      <c r="A29" s="1" t="s">
        <v>16</v>
      </c>
      <c r="B29" s="1" t="s">
        <v>43</v>
      </c>
      <c r="C29" s="10"/>
      <c r="D29" s="10"/>
      <c r="E29" s="10">
        <v>721</v>
      </c>
      <c r="F29" s="10"/>
      <c r="G29" s="10">
        <f t="shared" si="0"/>
        <v>721</v>
      </c>
      <c r="H29" s="16">
        <f t="shared" si="1"/>
        <v>1.1299999999999999</v>
      </c>
      <c r="I29" s="15">
        <f t="shared" si="2"/>
        <v>3.0000000000000001E-3</v>
      </c>
      <c r="J29" s="15"/>
    </row>
    <row r="30" spans="1:10" x14ac:dyDescent="0.25">
      <c r="A30" s="1" t="s">
        <v>16</v>
      </c>
      <c r="B30" s="1" t="s">
        <v>38</v>
      </c>
      <c r="C30" s="10"/>
      <c r="D30" s="10"/>
      <c r="E30" s="10">
        <v>25066</v>
      </c>
      <c r="F30" s="10"/>
      <c r="G30" s="10">
        <f t="shared" si="0"/>
        <v>25066</v>
      </c>
      <c r="H30" s="16">
        <f t="shared" si="1"/>
        <v>39.17</v>
      </c>
      <c r="I30" s="15">
        <f t="shared" si="2"/>
        <v>0.108</v>
      </c>
      <c r="J30" s="15">
        <f>ROUND(G30/10144.31-1,2)</f>
        <v>1.47</v>
      </c>
    </row>
    <row r="31" spans="1:10" x14ac:dyDescent="0.25">
      <c r="A31" s="1" t="s">
        <v>16</v>
      </c>
      <c r="B31" s="1" t="s">
        <v>39</v>
      </c>
      <c r="C31" s="10"/>
      <c r="D31" s="10"/>
      <c r="E31" s="10">
        <v>1946</v>
      </c>
      <c r="F31" s="10"/>
      <c r="G31" s="10">
        <f t="shared" si="0"/>
        <v>1946</v>
      </c>
      <c r="H31" s="16">
        <f t="shared" si="1"/>
        <v>3.04</v>
      </c>
      <c r="I31" s="15">
        <f t="shared" si="2"/>
        <v>8.0000000000000002E-3</v>
      </c>
      <c r="J31" s="15">
        <f>ROUND(G31/550.29-1,2)</f>
        <v>2.54</v>
      </c>
    </row>
    <row r="32" spans="1:10" x14ac:dyDescent="0.25">
      <c r="A32" s="1" t="s">
        <v>16</v>
      </c>
      <c r="B32" s="1" t="s">
        <v>40</v>
      </c>
      <c r="C32" s="10"/>
      <c r="D32" s="10"/>
      <c r="E32" s="10">
        <v>6354</v>
      </c>
      <c r="F32" s="10"/>
      <c r="G32" s="10">
        <f t="shared" si="0"/>
        <v>6354</v>
      </c>
      <c r="H32" s="16">
        <f t="shared" si="1"/>
        <v>9.93</v>
      </c>
      <c r="I32" s="15">
        <f t="shared" si="2"/>
        <v>2.7E-2</v>
      </c>
      <c r="J32" s="15">
        <f>ROUND(G32/3150.74-1,2)</f>
        <v>1.02</v>
      </c>
    </row>
    <row r="33" spans="1:10" x14ac:dyDescent="0.25">
      <c r="A33" s="1" t="s">
        <v>16</v>
      </c>
      <c r="B33" s="1" t="s">
        <v>41</v>
      </c>
      <c r="C33" s="10"/>
      <c r="D33" s="10"/>
      <c r="E33" s="10">
        <v>7729</v>
      </c>
      <c r="F33" s="10"/>
      <c r="G33" s="10">
        <f t="shared" si="0"/>
        <v>7729</v>
      </c>
      <c r="H33" s="16">
        <f t="shared" si="1"/>
        <v>12.08</v>
      </c>
      <c r="I33" s="15">
        <f t="shared" si="2"/>
        <v>3.3000000000000002E-2</v>
      </c>
      <c r="J33" s="15">
        <f>ROUND(G33/2014.74-1,2)</f>
        <v>2.84</v>
      </c>
    </row>
    <row r="34" spans="1:10" x14ac:dyDescent="0.25">
      <c r="A34" s="1" t="s">
        <v>16</v>
      </c>
      <c r="B34" s="1" t="s">
        <v>36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ROUND(G34/464.09-1,2)</f>
        <v>-1</v>
      </c>
    </row>
    <row r="35" spans="1:10" x14ac:dyDescent="0.25">
      <c r="A35" s="1" t="s">
        <v>16</v>
      </c>
      <c r="B35" s="1" t="s">
        <v>120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44</v>
      </c>
      <c r="B36" s="1" t="s">
        <v>45</v>
      </c>
      <c r="C36" s="10">
        <v>64140</v>
      </c>
      <c r="D36" s="10"/>
      <c r="E36" s="10"/>
      <c r="F36" s="10"/>
      <c r="G36" s="10">
        <f t="shared" si="0"/>
        <v>64140</v>
      </c>
      <c r="H36" s="16">
        <f t="shared" si="1"/>
        <v>100.22</v>
      </c>
      <c r="I36" s="15">
        <f t="shared" si="2"/>
        <v>0.27600000000000002</v>
      </c>
      <c r="J36" s="15">
        <f>ROUND(G36/62410-1,2)</f>
        <v>0.03</v>
      </c>
    </row>
    <row r="37" spans="1:10" x14ac:dyDescent="0.25">
      <c r="A37" s="1" t="s">
        <v>44</v>
      </c>
      <c r="B37" s="1" t="s">
        <v>46</v>
      </c>
      <c r="C37" s="10"/>
      <c r="D37" s="10"/>
      <c r="E37" s="10">
        <v>13459</v>
      </c>
      <c r="F37" s="10"/>
      <c r="G37" s="10">
        <f t="shared" si="0"/>
        <v>13459</v>
      </c>
      <c r="H37" s="16">
        <f t="shared" si="1"/>
        <v>21.03</v>
      </c>
      <c r="I37" s="15">
        <f t="shared" si="2"/>
        <v>5.8000000000000003E-2</v>
      </c>
      <c r="J37" s="15">
        <f>ROUND(G37/5447.32-1,2)</f>
        <v>1.47</v>
      </c>
    </row>
    <row r="38" spans="1:10" x14ac:dyDescent="0.25">
      <c r="A38" s="1" t="s">
        <v>44</v>
      </c>
      <c r="B38" s="1" t="s">
        <v>47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1" t="s">
        <v>48</v>
      </c>
      <c r="B39" s="1" t="s">
        <v>51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30" t="s">
        <v>12</v>
      </c>
      <c r="B40" s="30"/>
      <c r="C40" s="11">
        <f t="shared" ref="C40:H40" si="3">SUM(C8:C39)</f>
        <v>131875</v>
      </c>
      <c r="D40" s="11">
        <f t="shared" si="3"/>
        <v>0</v>
      </c>
      <c r="E40" s="11">
        <f t="shared" si="3"/>
        <v>100338</v>
      </c>
      <c r="F40" s="11">
        <f t="shared" si="3"/>
        <v>0</v>
      </c>
      <c r="G40" s="11">
        <f t="shared" si="3"/>
        <v>232213</v>
      </c>
      <c r="H40" s="14">
        <f t="shared" si="3"/>
        <v>362.84000000000003</v>
      </c>
      <c r="I40" s="17"/>
      <c r="J40" s="17"/>
    </row>
    <row r="41" spans="1:10" x14ac:dyDescent="0.25">
      <c r="A41" s="30" t="s">
        <v>14</v>
      </c>
      <c r="B41" s="30"/>
      <c r="C41" s="12">
        <f>ROUND(C40/G40,2)</f>
        <v>0.56999999999999995</v>
      </c>
      <c r="D41" s="12">
        <f>ROUND(D40/G40,2)</f>
        <v>0</v>
      </c>
      <c r="E41" s="12">
        <f>ROUND(E40/G40,2)</f>
        <v>0.43</v>
      </c>
      <c r="F41" s="12">
        <f>ROUND(F40/G40,2)</f>
        <v>0</v>
      </c>
      <c r="G41" s="13"/>
      <c r="H41" s="13"/>
      <c r="I41" s="17"/>
      <c r="J41" s="17"/>
    </row>
    <row r="42" spans="1:10" x14ac:dyDescent="0.25">
      <c r="A42" s="2" t="s">
        <v>52</v>
      </c>
      <c r="B42" s="2"/>
      <c r="C42" s="13"/>
      <c r="D42" s="13"/>
      <c r="E42" s="13"/>
      <c r="F42" s="13"/>
      <c r="G42" s="13"/>
      <c r="H42" s="13"/>
      <c r="I42" s="17"/>
      <c r="J42" s="17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A46" s="30" t="s">
        <v>53</v>
      </c>
      <c r="B46" s="30"/>
      <c r="C46" s="11" t="s">
        <v>8</v>
      </c>
      <c r="D46" s="11" t="s">
        <v>9</v>
      </c>
      <c r="E46" s="11" t="s">
        <v>10</v>
      </c>
      <c r="F46" s="11" t="s">
        <v>11</v>
      </c>
      <c r="G46" s="11" t="s">
        <v>12</v>
      </c>
      <c r="H46" s="14" t="s">
        <v>13</v>
      </c>
      <c r="I46" s="17"/>
      <c r="J46" s="17"/>
    </row>
    <row r="47" spans="1:10" x14ac:dyDescent="0.25">
      <c r="A47" s="29" t="s">
        <v>54</v>
      </c>
      <c r="B47" s="29"/>
      <c r="C47" s="10">
        <v>67735</v>
      </c>
      <c r="D47" s="10">
        <v>0</v>
      </c>
      <c r="E47" s="10">
        <v>86879</v>
      </c>
      <c r="F47" s="10">
        <v>0</v>
      </c>
      <c r="G47" s="10">
        <f>SUM(C47:F47)</f>
        <v>154614</v>
      </c>
      <c r="H47" s="16">
        <f>ROUND(G47/640,2)</f>
        <v>241.58</v>
      </c>
      <c r="I47" s="9"/>
      <c r="J47" s="9"/>
    </row>
    <row r="48" spans="1:10" x14ac:dyDescent="0.25">
      <c r="A48" s="29" t="s">
        <v>55</v>
      </c>
      <c r="B48" s="29"/>
      <c r="C48" s="10">
        <v>64140</v>
      </c>
      <c r="D48" s="10">
        <v>0</v>
      </c>
      <c r="E48" s="10">
        <v>13459</v>
      </c>
      <c r="F48" s="10">
        <v>0</v>
      </c>
      <c r="G48" s="10">
        <f>SUM(C48:F48)</f>
        <v>77599</v>
      </c>
      <c r="H48" s="16">
        <f>ROUND(G48/640,2)</f>
        <v>121.25</v>
      </c>
      <c r="I48" s="9"/>
      <c r="J48" s="9"/>
    </row>
    <row r="49" spans="1:10" x14ac:dyDescent="0.25">
      <c r="A49" s="29" t="s">
        <v>56</v>
      </c>
      <c r="B49" s="29"/>
      <c r="C49" s="10">
        <v>0</v>
      </c>
      <c r="D49" s="10">
        <v>0</v>
      </c>
      <c r="E49" s="10">
        <v>0</v>
      </c>
      <c r="F49" s="10">
        <v>0</v>
      </c>
      <c r="G49" s="10">
        <f>SUM(C49:F49)</f>
        <v>0</v>
      </c>
      <c r="H49" s="16">
        <f>ROUND(G49/640,2)</f>
        <v>0</v>
      </c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A54" s="30" t="s">
        <v>57</v>
      </c>
      <c r="B54" s="30"/>
      <c r="C54" s="14" t="s">
        <v>2</v>
      </c>
      <c r="D54" s="14">
        <v>2023</v>
      </c>
      <c r="E54" s="14" t="s">
        <v>59</v>
      </c>
      <c r="F54" s="13"/>
      <c r="G54" s="14" t="s">
        <v>60</v>
      </c>
      <c r="H54" s="14" t="s">
        <v>2</v>
      </c>
      <c r="I54" s="12" t="s">
        <v>61</v>
      </c>
      <c r="J54" s="12" t="s">
        <v>59</v>
      </c>
    </row>
    <row r="55" spans="1:10" x14ac:dyDescent="0.25">
      <c r="A55" s="29" t="s">
        <v>58</v>
      </c>
      <c r="B55" s="29"/>
      <c r="C55" s="15">
        <f>ROUND(0.687, 4)</f>
        <v>0.68700000000000006</v>
      </c>
      <c r="D55" s="15">
        <f>ROUND(0.6018, 4)</f>
        <v>0.6018</v>
      </c>
      <c r="E55" s="15">
        <f>ROUND(0.777, 4)</f>
        <v>0.77700000000000002</v>
      </c>
      <c r="F55" s="8"/>
      <c r="G55" s="14" t="s">
        <v>62</v>
      </c>
      <c r="H55" s="33" t="s">
        <v>63</v>
      </c>
      <c r="I55" s="31" t="s">
        <v>64</v>
      </c>
      <c r="J55" s="31" t="s">
        <v>65</v>
      </c>
    </row>
    <row r="56" spans="1:10" x14ac:dyDescent="0.25">
      <c r="A56" s="29" t="s">
        <v>66</v>
      </c>
      <c r="B56" s="29"/>
      <c r="C56" s="15">
        <f>ROUND(0.6541, 4)</f>
        <v>0.65410000000000001</v>
      </c>
      <c r="D56" s="15">
        <f>ROUND(0.5671, 4)</f>
        <v>0.56710000000000005</v>
      </c>
      <c r="E56" s="15">
        <f>ROUND(0.7608, 4)</f>
        <v>0.76080000000000003</v>
      </c>
      <c r="F56" s="8"/>
      <c r="G56" s="14" t="s">
        <v>67</v>
      </c>
      <c r="H56" s="34"/>
      <c r="I56" s="32"/>
      <c r="J56" s="32"/>
    </row>
    <row r="57" spans="1:10" x14ac:dyDescent="0.25">
      <c r="C57" s="8"/>
      <c r="D57" s="8"/>
      <c r="E57" s="8"/>
      <c r="F57" s="8"/>
      <c r="G57" s="21"/>
      <c r="H57" s="8"/>
      <c r="I57" s="9"/>
      <c r="J57" s="9"/>
    </row>
    <row r="58" spans="1:10" x14ac:dyDescent="0.25">
      <c r="C58" s="8"/>
      <c r="D58" s="8"/>
      <c r="E58" s="8"/>
      <c r="F58" s="8"/>
      <c r="G58" s="21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A60" s="30" t="s">
        <v>68</v>
      </c>
      <c r="B60" s="30"/>
      <c r="C60" s="14" t="s">
        <v>2</v>
      </c>
      <c r="D60" s="14" t="s">
        <v>124</v>
      </c>
      <c r="E60" s="14" t="s">
        <v>70</v>
      </c>
      <c r="F60" s="14" t="s">
        <v>71</v>
      </c>
      <c r="G60" s="14" t="s">
        <v>72</v>
      </c>
      <c r="H60" s="13"/>
      <c r="I60" s="17"/>
      <c r="J60" s="17"/>
    </row>
    <row r="61" spans="1:10" x14ac:dyDescent="0.25">
      <c r="A61" s="29" t="s">
        <v>73</v>
      </c>
      <c r="B61" s="29"/>
      <c r="C61" s="16">
        <v>100.22</v>
      </c>
      <c r="D61" s="16">
        <v>75.81</v>
      </c>
      <c r="E61" s="16">
        <v>93.87</v>
      </c>
      <c r="F61" s="16">
        <v>57.16</v>
      </c>
      <c r="G61" s="16">
        <f>12/12*C61</f>
        <v>100.22</v>
      </c>
      <c r="H61" s="8"/>
      <c r="I61" s="9"/>
      <c r="J61" s="9"/>
    </row>
    <row r="62" spans="1:10" x14ac:dyDescent="0.25">
      <c r="A62" s="29" t="s">
        <v>74</v>
      </c>
      <c r="B62" s="29"/>
      <c r="C62" s="16">
        <v>24.42</v>
      </c>
      <c r="D62" s="16">
        <v>34.33</v>
      </c>
      <c r="E62" s="16">
        <v>62.84</v>
      </c>
      <c r="F62" s="16">
        <v>65.39</v>
      </c>
      <c r="G62" s="16">
        <f>12/12*C62</f>
        <v>24.42</v>
      </c>
      <c r="H62" s="8"/>
      <c r="I62" s="9"/>
      <c r="J62" s="9"/>
    </row>
    <row r="63" spans="1:10" x14ac:dyDescent="0.25">
      <c r="A63" s="29" t="s">
        <v>75</v>
      </c>
      <c r="B63" s="29"/>
      <c r="C63" s="16">
        <v>241.58</v>
      </c>
      <c r="D63" s="16">
        <v>214.45</v>
      </c>
      <c r="E63" s="16">
        <v>295.08999999999997</v>
      </c>
      <c r="F63" s="16">
        <v>289.06</v>
      </c>
      <c r="G63" s="16">
        <f>12/12*C63</f>
        <v>241.58</v>
      </c>
      <c r="H63" s="8"/>
      <c r="I63" s="9"/>
      <c r="J63" s="9"/>
    </row>
    <row r="64" spans="1:10" x14ac:dyDescent="0.25">
      <c r="A64" s="29" t="s">
        <v>76</v>
      </c>
      <c r="B64" s="29"/>
      <c r="C64" s="16">
        <v>121.25</v>
      </c>
      <c r="D64" s="16">
        <v>93.96</v>
      </c>
      <c r="E64" s="16">
        <v>118.05</v>
      </c>
      <c r="F64" s="16">
        <v>81.41</v>
      </c>
      <c r="G64" s="16">
        <f>12/12*C64</f>
        <v>121.25</v>
      </c>
      <c r="H64" s="8"/>
      <c r="I64" s="9"/>
      <c r="J64" s="9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28" t="s">
        <v>60</v>
      </c>
      <c r="B67" s="35"/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77</v>
      </c>
      <c r="B68" s="1" t="s">
        <v>125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70</v>
      </c>
      <c r="B69" s="1" t="s">
        <v>79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71</v>
      </c>
      <c r="B70" s="1" t="s">
        <v>80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3" t="s">
        <v>72</v>
      </c>
      <c r="B71" s="1" t="s">
        <v>81</v>
      </c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  <row r="76" spans="1:10" x14ac:dyDescent="0.25">
      <c r="C76" s="8"/>
      <c r="D76" s="8"/>
      <c r="E76" s="8"/>
      <c r="F76" s="8"/>
      <c r="G76" s="8"/>
      <c r="H76" s="8"/>
      <c r="I76" s="9"/>
      <c r="J76" s="9"/>
    </row>
    <row r="77" spans="1:10" x14ac:dyDescent="0.25">
      <c r="C77" s="8"/>
      <c r="D77" s="8"/>
      <c r="E77" s="8"/>
      <c r="F77" s="8"/>
      <c r="G77" s="8"/>
      <c r="H77" s="8"/>
      <c r="I77" s="9"/>
      <c r="J77" s="9"/>
    </row>
    <row r="78" spans="1:10" x14ac:dyDescent="0.25">
      <c r="C78" s="8"/>
      <c r="D78" s="8"/>
      <c r="E78" s="8"/>
      <c r="F78" s="8"/>
      <c r="G78" s="8"/>
      <c r="H78" s="8"/>
      <c r="I78" s="9"/>
      <c r="J78" s="9"/>
    </row>
    <row r="79" spans="1:10" x14ac:dyDescent="0.25">
      <c r="C79" s="8"/>
      <c r="D79" s="8"/>
      <c r="E79" s="8"/>
      <c r="F79" s="8"/>
      <c r="G79" s="8"/>
      <c r="H79" s="8"/>
      <c r="I79" s="9"/>
      <c r="J79" s="9"/>
    </row>
    <row r="80" spans="1:10" x14ac:dyDescent="0.25">
      <c r="C80" s="8"/>
      <c r="D80" s="8"/>
      <c r="E80" s="8"/>
      <c r="F80" s="8"/>
      <c r="G80" s="8"/>
      <c r="H80" s="8"/>
      <c r="I80" s="9"/>
      <c r="J80" s="9"/>
    </row>
  </sheetData>
  <mergeCells count="19">
    <mergeCell ref="A62:B62"/>
    <mergeCell ref="A63:B63"/>
    <mergeCell ref="A64:B64"/>
    <mergeCell ref="A67:B67"/>
    <mergeCell ref="I55:I56"/>
    <mergeCell ref="J55:J56"/>
    <mergeCell ref="A56:B56"/>
    <mergeCell ref="A60:B60"/>
    <mergeCell ref="A61:B61"/>
    <mergeCell ref="A48:B48"/>
    <mergeCell ref="A49:B49"/>
    <mergeCell ref="A54:B54"/>
    <mergeCell ref="A55:B55"/>
    <mergeCell ref="H55:H56"/>
    <mergeCell ref="C7:G7"/>
    <mergeCell ref="A40:B40"/>
    <mergeCell ref="A41:B41"/>
    <mergeCell ref="A46:B46"/>
    <mergeCell ref="A47:B4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J80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4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126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15906</v>
      </c>
    </row>
    <row r="7" spans="1:10" x14ac:dyDescent="0.25">
      <c r="C7" s="28" t="s">
        <v>5</v>
      </c>
      <c r="D7" s="29"/>
      <c r="E7" s="29"/>
      <c r="F7" s="29"/>
      <c r="G7" s="29"/>
    </row>
    <row r="8" spans="1:10" x14ac:dyDescent="0.25">
      <c r="A8" s="25" t="s">
        <v>6</v>
      </c>
      <c r="B8" s="25" t="s">
        <v>7</v>
      </c>
      <c r="C8" s="27" t="s">
        <v>8</v>
      </c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626</v>
      </c>
      <c r="F9" s="10"/>
      <c r="G9" s="10">
        <f t="shared" ref="G9:G48" si="0">SUM(C9:F9)</f>
        <v>626</v>
      </c>
      <c r="H9" s="16">
        <f t="shared" ref="H9:H48" si="1">ROUND(G9/15906,2)</f>
        <v>0.04</v>
      </c>
      <c r="I9" s="15">
        <f t="shared" ref="I9:I48" si="2">ROUND(G9/$G$49,3)</f>
        <v>0</v>
      </c>
      <c r="J9" s="15">
        <f>ROUND(G9/405-1,2)</f>
        <v>0.55000000000000004</v>
      </c>
    </row>
    <row r="10" spans="1:10" x14ac:dyDescent="0.25">
      <c r="A10" s="1" t="s">
        <v>16</v>
      </c>
      <c r="B10" s="1" t="s">
        <v>19</v>
      </c>
      <c r="C10" s="10">
        <v>481770</v>
      </c>
      <c r="D10" s="10"/>
      <c r="E10" s="10">
        <v>33880</v>
      </c>
      <c r="F10" s="10">
        <v>4880</v>
      </c>
      <c r="G10" s="10">
        <f t="shared" si="0"/>
        <v>520530</v>
      </c>
      <c r="H10" s="16">
        <f t="shared" si="1"/>
        <v>32.729999999999997</v>
      </c>
      <c r="I10" s="15">
        <f t="shared" si="2"/>
        <v>7.0000000000000007E-2</v>
      </c>
      <c r="J10" s="15">
        <f>ROUND(G10/503500-1,2)</f>
        <v>0.03</v>
      </c>
    </row>
    <row r="11" spans="1:10" x14ac:dyDescent="0.25">
      <c r="A11" s="1" t="s">
        <v>16</v>
      </c>
      <c r="B11" s="1" t="s">
        <v>20</v>
      </c>
      <c r="C11" s="10">
        <v>645500</v>
      </c>
      <c r="D11" s="10"/>
      <c r="E11" s="10"/>
      <c r="F11" s="10"/>
      <c r="G11" s="10">
        <f t="shared" si="0"/>
        <v>645500</v>
      </c>
      <c r="H11" s="16">
        <f t="shared" si="1"/>
        <v>40.58</v>
      </c>
      <c r="I11" s="15">
        <f t="shared" si="2"/>
        <v>8.6999999999999994E-2</v>
      </c>
      <c r="J11" s="15">
        <f>ROUND(G11/653320-1,2)</f>
        <v>-0.01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427</v>
      </c>
      <c r="F12" s="10"/>
      <c r="G12" s="10">
        <f t="shared" si="0"/>
        <v>427</v>
      </c>
      <c r="H12" s="16">
        <f t="shared" si="1"/>
        <v>0.03</v>
      </c>
      <c r="I12" s="15">
        <f t="shared" si="2"/>
        <v>0</v>
      </c>
      <c r="J12" s="15">
        <f>ROUND(G12/448-1,2)</f>
        <v>-0.05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904</v>
      </c>
      <c r="F13" s="10"/>
      <c r="G13" s="10">
        <f t="shared" si="0"/>
        <v>904</v>
      </c>
      <c r="H13" s="16">
        <f t="shared" si="1"/>
        <v>0.06</v>
      </c>
      <c r="I13" s="15">
        <f t="shared" si="2"/>
        <v>0</v>
      </c>
      <c r="J13" s="15">
        <f>ROUND(G13/704-1,2)</f>
        <v>0.28000000000000003</v>
      </c>
    </row>
    <row r="14" spans="1:10" x14ac:dyDescent="0.25">
      <c r="A14" s="1" t="s">
        <v>16</v>
      </c>
      <c r="B14" s="1" t="s">
        <v>22</v>
      </c>
      <c r="C14" s="10"/>
      <c r="D14" s="10"/>
      <c r="E14" s="10">
        <v>3300</v>
      </c>
      <c r="F14" s="10"/>
      <c r="G14" s="10">
        <f t="shared" si="0"/>
        <v>3300</v>
      </c>
      <c r="H14" s="16">
        <f t="shared" si="1"/>
        <v>0.21</v>
      </c>
      <c r="I14" s="15">
        <f t="shared" si="2"/>
        <v>0</v>
      </c>
      <c r="J14" s="15">
        <f>ROUND(G14/4620-1,2)</f>
        <v>-0.28999999999999998</v>
      </c>
    </row>
    <row r="15" spans="1:10" x14ac:dyDescent="0.25">
      <c r="A15" s="1" t="s">
        <v>16</v>
      </c>
      <c r="B15" s="1" t="s">
        <v>23</v>
      </c>
      <c r="C15" s="10"/>
      <c r="D15" s="10"/>
      <c r="E15" s="10">
        <v>343560</v>
      </c>
      <c r="F15" s="10"/>
      <c r="G15" s="10">
        <f t="shared" si="0"/>
        <v>343560</v>
      </c>
      <c r="H15" s="16">
        <f t="shared" si="1"/>
        <v>21.6</v>
      </c>
      <c r="I15" s="15">
        <f t="shared" si="2"/>
        <v>4.5999999999999999E-2</v>
      </c>
      <c r="J15" s="15">
        <f>ROUND(G15/268880-1,2)</f>
        <v>0.28000000000000003</v>
      </c>
    </row>
    <row r="16" spans="1:10" x14ac:dyDescent="0.25">
      <c r="A16" s="1" t="s">
        <v>16</v>
      </c>
      <c r="B16" s="1" t="s">
        <v>24</v>
      </c>
      <c r="C16" s="10">
        <v>798410</v>
      </c>
      <c r="D16" s="10"/>
      <c r="E16" s="10">
        <v>138900</v>
      </c>
      <c r="F16" s="10">
        <v>28800</v>
      </c>
      <c r="G16" s="10">
        <f t="shared" si="0"/>
        <v>966110</v>
      </c>
      <c r="H16" s="16">
        <f t="shared" si="1"/>
        <v>60.74</v>
      </c>
      <c r="I16" s="15">
        <f t="shared" si="2"/>
        <v>0.13</v>
      </c>
      <c r="J16" s="15">
        <f>ROUND(G16/898740-1,2)</f>
        <v>7.0000000000000007E-2</v>
      </c>
    </row>
    <row r="17" spans="1:10" x14ac:dyDescent="0.25">
      <c r="A17" s="1" t="s">
        <v>16</v>
      </c>
      <c r="B17" s="1" t="s">
        <v>25</v>
      </c>
      <c r="C17" s="10"/>
      <c r="D17" s="10"/>
      <c r="E17" s="10">
        <v>22035</v>
      </c>
      <c r="F17" s="10"/>
      <c r="G17" s="10">
        <f t="shared" si="0"/>
        <v>22035</v>
      </c>
      <c r="H17" s="16">
        <f t="shared" si="1"/>
        <v>1.39</v>
      </c>
      <c r="I17" s="15">
        <f t="shared" si="2"/>
        <v>3.0000000000000001E-3</v>
      </c>
      <c r="J17" s="15">
        <f>ROUND(G17/21480-1,2)</f>
        <v>0.03</v>
      </c>
    </row>
    <row r="18" spans="1:10" x14ac:dyDescent="0.25">
      <c r="A18" s="1" t="s">
        <v>16</v>
      </c>
      <c r="B18" s="1" t="s">
        <v>26</v>
      </c>
      <c r="C18" s="10">
        <v>1133830</v>
      </c>
      <c r="D18" s="10"/>
      <c r="E18" s="10"/>
      <c r="F18" s="10">
        <v>5210</v>
      </c>
      <c r="G18" s="10">
        <f t="shared" si="0"/>
        <v>1139040</v>
      </c>
      <c r="H18" s="16">
        <f t="shared" si="1"/>
        <v>71.61</v>
      </c>
      <c r="I18" s="15">
        <f t="shared" si="2"/>
        <v>0.154</v>
      </c>
      <c r="J18" s="15">
        <f>ROUND(G18/1109330-1,2)</f>
        <v>0.03</v>
      </c>
    </row>
    <row r="19" spans="1:10" x14ac:dyDescent="0.25">
      <c r="A19" s="1" t="s">
        <v>16</v>
      </c>
      <c r="B19" s="1" t="s">
        <v>27</v>
      </c>
      <c r="C19" s="10"/>
      <c r="D19" s="10"/>
      <c r="E19" s="10">
        <v>5257</v>
      </c>
      <c r="F19" s="10"/>
      <c r="G19" s="10">
        <f t="shared" si="0"/>
        <v>5257</v>
      </c>
      <c r="H19" s="16">
        <f t="shared" si="1"/>
        <v>0.33</v>
      </c>
      <c r="I19" s="15">
        <f t="shared" si="2"/>
        <v>1E-3</v>
      </c>
      <c r="J19" s="15">
        <f>ROUND(G19/5178-1,2)</f>
        <v>0.02</v>
      </c>
    </row>
    <row r="20" spans="1:10" x14ac:dyDescent="0.25">
      <c r="A20" s="1" t="s">
        <v>16</v>
      </c>
      <c r="B20" s="1" t="s">
        <v>28</v>
      </c>
      <c r="C20" s="10"/>
      <c r="D20" s="10"/>
      <c r="E20" s="10">
        <v>3599</v>
      </c>
      <c r="F20" s="10"/>
      <c r="G20" s="10">
        <f t="shared" si="0"/>
        <v>3599</v>
      </c>
      <c r="H20" s="16">
        <f t="shared" si="1"/>
        <v>0.23</v>
      </c>
      <c r="I20" s="15">
        <f t="shared" si="2"/>
        <v>0</v>
      </c>
      <c r="J20" s="15">
        <f>ROUND(G20/3808-1,2)</f>
        <v>-0.05</v>
      </c>
    </row>
    <row r="21" spans="1:10" x14ac:dyDescent="0.25">
      <c r="A21" s="1" t="s">
        <v>16</v>
      </c>
      <c r="B21" s="1" t="s">
        <v>42</v>
      </c>
      <c r="C21" s="10"/>
      <c r="D21" s="10"/>
      <c r="E21" s="10">
        <v>607</v>
      </c>
      <c r="F21" s="10"/>
      <c r="G21" s="10">
        <f t="shared" si="0"/>
        <v>607</v>
      </c>
      <c r="H21" s="16">
        <f t="shared" si="1"/>
        <v>0.04</v>
      </c>
      <c r="I21" s="15">
        <f t="shared" si="2"/>
        <v>0</v>
      </c>
      <c r="J21" s="15">
        <f>ROUND(G21/510-1,2)</f>
        <v>0.19</v>
      </c>
    </row>
    <row r="22" spans="1:10" x14ac:dyDescent="0.25">
      <c r="A22" s="1" t="s">
        <v>16</v>
      </c>
      <c r="B22" s="1" t="s">
        <v>29</v>
      </c>
      <c r="C22" s="10"/>
      <c r="D22" s="10"/>
      <c r="E22" s="10">
        <v>11120</v>
      </c>
      <c r="F22" s="10"/>
      <c r="G22" s="10">
        <f t="shared" si="0"/>
        <v>11120</v>
      </c>
      <c r="H22" s="16">
        <f t="shared" si="1"/>
        <v>0.7</v>
      </c>
      <c r="I22" s="15">
        <f t="shared" si="2"/>
        <v>1E-3</v>
      </c>
      <c r="J22" s="15">
        <f>ROUND(G22/22280-1,2)</f>
        <v>-0.5</v>
      </c>
    </row>
    <row r="23" spans="1:10" x14ac:dyDescent="0.25">
      <c r="A23" s="1" t="s">
        <v>16</v>
      </c>
      <c r="B23" s="1" t="s">
        <v>30</v>
      </c>
      <c r="C23" s="10"/>
      <c r="D23" s="10"/>
      <c r="E23" s="10">
        <v>5770</v>
      </c>
      <c r="F23" s="10"/>
      <c r="G23" s="10">
        <f t="shared" si="0"/>
        <v>5770</v>
      </c>
      <c r="H23" s="16">
        <f t="shared" si="1"/>
        <v>0.36</v>
      </c>
      <c r="I23" s="15">
        <f t="shared" si="2"/>
        <v>1E-3</v>
      </c>
      <c r="J23" s="15">
        <f>ROUND(G23/6530-1,2)</f>
        <v>-0.12</v>
      </c>
    </row>
    <row r="24" spans="1:10" x14ac:dyDescent="0.25">
      <c r="A24" s="1" t="s">
        <v>16</v>
      </c>
      <c r="B24" s="1" t="s">
        <v>31</v>
      </c>
      <c r="C24" s="10"/>
      <c r="D24" s="10"/>
      <c r="E24" s="10">
        <v>2490</v>
      </c>
      <c r="F24" s="10"/>
      <c r="G24" s="10">
        <f t="shared" si="0"/>
        <v>2490</v>
      </c>
      <c r="H24" s="16">
        <f t="shared" si="1"/>
        <v>0.16</v>
      </c>
      <c r="I24" s="15">
        <f t="shared" si="2"/>
        <v>0</v>
      </c>
      <c r="J24" s="15">
        <f>ROUND(G24/1860-1,2)</f>
        <v>0.34</v>
      </c>
    </row>
    <row r="25" spans="1:10" x14ac:dyDescent="0.25">
      <c r="A25" s="1" t="s">
        <v>16</v>
      </c>
      <c r="B25" s="1" t="s">
        <v>32</v>
      </c>
      <c r="C25" s="10"/>
      <c r="D25" s="10"/>
      <c r="E25" s="10">
        <v>8904</v>
      </c>
      <c r="F25" s="10"/>
      <c r="G25" s="10">
        <f t="shared" si="0"/>
        <v>8904</v>
      </c>
      <c r="H25" s="16">
        <f t="shared" si="1"/>
        <v>0.56000000000000005</v>
      </c>
      <c r="I25" s="15">
        <f t="shared" si="2"/>
        <v>1E-3</v>
      </c>
      <c r="J25" s="15">
        <f>ROUND(G25/8625-1,2)</f>
        <v>0.03</v>
      </c>
    </row>
    <row r="26" spans="1:10" x14ac:dyDescent="0.25">
      <c r="A26" s="1" t="s">
        <v>16</v>
      </c>
      <c r="B26" s="1" t="s">
        <v>33</v>
      </c>
      <c r="C26" s="10"/>
      <c r="D26" s="10">
        <v>1420</v>
      </c>
      <c r="E26" s="10">
        <v>182</v>
      </c>
      <c r="F26" s="10"/>
      <c r="G26" s="10">
        <f t="shared" si="0"/>
        <v>1602</v>
      </c>
      <c r="H26" s="16">
        <f t="shared" si="1"/>
        <v>0.1</v>
      </c>
      <c r="I26" s="15">
        <f t="shared" si="2"/>
        <v>0</v>
      </c>
      <c r="J26" s="15">
        <f>ROUND(G26/1579-1,2)</f>
        <v>0.01</v>
      </c>
    </row>
    <row r="27" spans="1:10" x14ac:dyDescent="0.25">
      <c r="A27" s="1" t="s">
        <v>16</v>
      </c>
      <c r="B27" s="1" t="s">
        <v>34</v>
      </c>
      <c r="C27" s="10"/>
      <c r="D27" s="10"/>
      <c r="E27" s="10">
        <v>3530</v>
      </c>
      <c r="F27" s="10"/>
      <c r="G27" s="10">
        <f t="shared" si="0"/>
        <v>3530</v>
      </c>
      <c r="H27" s="16">
        <f t="shared" si="1"/>
        <v>0.22</v>
      </c>
      <c r="I27" s="15">
        <f t="shared" si="2"/>
        <v>0</v>
      </c>
      <c r="J27" s="15">
        <f>ROUND(G27/3110-1,2)</f>
        <v>0.14000000000000001</v>
      </c>
    </row>
    <row r="28" spans="1:10" x14ac:dyDescent="0.25">
      <c r="A28" s="1" t="s">
        <v>16</v>
      </c>
      <c r="B28" s="1" t="s">
        <v>35</v>
      </c>
      <c r="C28" s="10"/>
      <c r="D28" s="10"/>
      <c r="E28" s="10">
        <v>1530</v>
      </c>
      <c r="F28" s="10"/>
      <c r="G28" s="10">
        <f t="shared" si="0"/>
        <v>1530</v>
      </c>
      <c r="H28" s="16">
        <f t="shared" si="1"/>
        <v>0.1</v>
      </c>
      <c r="I28" s="15">
        <f t="shared" si="2"/>
        <v>0</v>
      </c>
      <c r="J28" s="15">
        <f>ROUND(G28/2174-1,2)</f>
        <v>-0.3</v>
      </c>
    </row>
    <row r="29" spans="1:10" x14ac:dyDescent="0.25">
      <c r="A29" s="1" t="s">
        <v>16</v>
      </c>
      <c r="B29" s="1" t="s">
        <v>37</v>
      </c>
      <c r="C29" s="10"/>
      <c r="D29" s="10"/>
      <c r="E29" s="10">
        <v>19240</v>
      </c>
      <c r="F29" s="10"/>
      <c r="G29" s="10">
        <f t="shared" si="0"/>
        <v>19240</v>
      </c>
      <c r="H29" s="16">
        <f t="shared" si="1"/>
        <v>1.21</v>
      </c>
      <c r="I29" s="15">
        <f t="shared" si="2"/>
        <v>3.0000000000000001E-3</v>
      </c>
      <c r="J29" s="15">
        <f>ROUND(G29/23080-1,2)</f>
        <v>-0.17</v>
      </c>
    </row>
    <row r="30" spans="1:10" x14ac:dyDescent="0.25">
      <c r="A30" s="1" t="s">
        <v>16</v>
      </c>
      <c r="B30" s="1" t="s">
        <v>43</v>
      </c>
      <c r="C30" s="10"/>
      <c r="D30" s="10"/>
      <c r="E30" s="10">
        <v>2700</v>
      </c>
      <c r="F30" s="10"/>
      <c r="G30" s="10">
        <f t="shared" si="0"/>
        <v>2700</v>
      </c>
      <c r="H30" s="16">
        <f t="shared" si="1"/>
        <v>0.17</v>
      </c>
      <c r="I30" s="15">
        <f t="shared" si="2"/>
        <v>0</v>
      </c>
      <c r="J30" s="15">
        <f>ROUND(G30/42220-1,2)</f>
        <v>-0.94</v>
      </c>
    </row>
    <row r="31" spans="1:10" x14ac:dyDescent="0.25">
      <c r="A31" s="1" t="s">
        <v>16</v>
      </c>
      <c r="B31" s="1" t="s">
        <v>38</v>
      </c>
      <c r="C31" s="10"/>
      <c r="D31" s="10"/>
      <c r="E31" s="10">
        <v>479435</v>
      </c>
      <c r="F31" s="10"/>
      <c r="G31" s="10">
        <f t="shared" si="0"/>
        <v>479435</v>
      </c>
      <c r="H31" s="16">
        <f t="shared" si="1"/>
        <v>30.14</v>
      </c>
      <c r="I31" s="15">
        <f t="shared" si="2"/>
        <v>6.5000000000000002E-2</v>
      </c>
      <c r="J31" s="15">
        <f>ROUND(G31/420255-1,2)</f>
        <v>0.14000000000000001</v>
      </c>
    </row>
    <row r="32" spans="1:10" x14ac:dyDescent="0.25">
      <c r="A32" s="1" t="s">
        <v>16</v>
      </c>
      <c r="B32" s="1" t="s">
        <v>39</v>
      </c>
      <c r="C32" s="10"/>
      <c r="D32" s="10"/>
      <c r="E32" s="10">
        <v>30285</v>
      </c>
      <c r="F32" s="10"/>
      <c r="G32" s="10">
        <f t="shared" si="0"/>
        <v>30285</v>
      </c>
      <c r="H32" s="16">
        <f t="shared" si="1"/>
        <v>1.9</v>
      </c>
      <c r="I32" s="15">
        <f t="shared" si="2"/>
        <v>4.0000000000000001E-3</v>
      </c>
      <c r="J32" s="15">
        <f>ROUND(G32/29245-1,2)</f>
        <v>0.04</v>
      </c>
    </row>
    <row r="33" spans="1:10" x14ac:dyDescent="0.25">
      <c r="A33" s="1" t="s">
        <v>16</v>
      </c>
      <c r="B33" s="1" t="s">
        <v>40</v>
      </c>
      <c r="C33" s="10"/>
      <c r="D33" s="10"/>
      <c r="E33" s="10">
        <v>105420</v>
      </c>
      <c r="F33" s="10"/>
      <c r="G33" s="10">
        <f t="shared" si="0"/>
        <v>105420</v>
      </c>
      <c r="H33" s="16">
        <f t="shared" si="1"/>
        <v>6.63</v>
      </c>
      <c r="I33" s="15">
        <f t="shared" si="2"/>
        <v>1.4E-2</v>
      </c>
      <c r="J33" s="15">
        <f>ROUND(G33/94140-1,2)</f>
        <v>0.12</v>
      </c>
    </row>
    <row r="34" spans="1:10" x14ac:dyDescent="0.25">
      <c r="A34" s="1" t="s">
        <v>16</v>
      </c>
      <c r="B34" s="1" t="s">
        <v>41</v>
      </c>
      <c r="C34" s="10"/>
      <c r="D34" s="10"/>
      <c r="E34" s="10">
        <v>1138350</v>
      </c>
      <c r="F34" s="10"/>
      <c r="G34" s="10">
        <f t="shared" si="0"/>
        <v>1138350</v>
      </c>
      <c r="H34" s="16">
        <f t="shared" si="1"/>
        <v>71.569999999999993</v>
      </c>
      <c r="I34" s="15">
        <f t="shared" si="2"/>
        <v>0.153</v>
      </c>
      <c r="J34" s="15">
        <f>ROUND(G34/914040-1,2)</f>
        <v>0.25</v>
      </c>
    </row>
    <row r="35" spans="1:10" x14ac:dyDescent="0.25">
      <c r="A35" s="1" t="s">
        <v>16</v>
      </c>
      <c r="B35" s="1" t="s">
        <v>36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>
        <f>ROUND(G35/12120-1,2)</f>
        <v>-1</v>
      </c>
    </row>
    <row r="36" spans="1:10" x14ac:dyDescent="0.25">
      <c r="A36" s="1" t="s">
        <v>16</v>
      </c>
      <c r="B36" s="1" t="s">
        <v>127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>
        <f>ROUND(G36/2292-1,2)</f>
        <v>-1</v>
      </c>
    </row>
    <row r="37" spans="1:10" x14ac:dyDescent="0.25">
      <c r="A37" s="1" t="s">
        <v>16</v>
      </c>
      <c r="B37" s="1" t="s">
        <v>115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1" t="s">
        <v>16</v>
      </c>
      <c r="B38" s="1" t="s">
        <v>128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>
        <f>ROUND(G38/216-1,2)</f>
        <v>-1</v>
      </c>
    </row>
    <row r="39" spans="1:10" x14ac:dyDescent="0.25">
      <c r="A39" s="1" t="s">
        <v>16</v>
      </c>
      <c r="B39" s="1" t="s">
        <v>98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>
        <f>ROUND(G39/45-1,2)</f>
        <v>-1</v>
      </c>
    </row>
    <row r="40" spans="1:10" x14ac:dyDescent="0.25">
      <c r="A40" s="1" t="s">
        <v>16</v>
      </c>
      <c r="B40" s="1" t="s">
        <v>129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/>
    </row>
    <row r="41" spans="1:10" x14ac:dyDescent="0.25">
      <c r="A41" s="1" t="s">
        <v>44</v>
      </c>
      <c r="B41" s="1" t="s">
        <v>45</v>
      </c>
      <c r="C41" s="10">
        <v>1496460</v>
      </c>
      <c r="D41" s="10"/>
      <c r="E41" s="10"/>
      <c r="F41" s="10">
        <v>24740</v>
      </c>
      <c r="G41" s="10">
        <f t="shared" si="0"/>
        <v>1521200</v>
      </c>
      <c r="H41" s="16">
        <f t="shared" si="1"/>
        <v>95.64</v>
      </c>
      <c r="I41" s="15">
        <f t="shared" si="2"/>
        <v>0.20499999999999999</v>
      </c>
      <c r="J41" s="15">
        <f>ROUND(G41/1464000-1,2)</f>
        <v>0.04</v>
      </c>
    </row>
    <row r="42" spans="1:10" x14ac:dyDescent="0.25">
      <c r="A42" s="1" t="s">
        <v>44</v>
      </c>
      <c r="B42" s="1" t="s">
        <v>47</v>
      </c>
      <c r="C42" s="10"/>
      <c r="D42" s="10"/>
      <c r="E42" s="10"/>
      <c r="F42" s="10">
        <v>171480</v>
      </c>
      <c r="G42" s="10">
        <f t="shared" si="0"/>
        <v>171480</v>
      </c>
      <c r="H42" s="16">
        <f t="shared" si="1"/>
        <v>10.78</v>
      </c>
      <c r="I42" s="15">
        <f t="shared" si="2"/>
        <v>2.3E-2</v>
      </c>
      <c r="J42" s="15">
        <f>ROUND(G42/273155-1,2)</f>
        <v>-0.37</v>
      </c>
    </row>
    <row r="43" spans="1:10" x14ac:dyDescent="0.25">
      <c r="A43" s="1" t="s">
        <v>44</v>
      </c>
      <c r="B43" s="1" t="s">
        <v>46</v>
      </c>
      <c r="C43" s="10"/>
      <c r="D43" s="10"/>
      <c r="E43" s="10">
        <v>264040</v>
      </c>
      <c r="F43" s="10"/>
      <c r="G43" s="10">
        <f t="shared" si="0"/>
        <v>264040</v>
      </c>
      <c r="H43" s="16">
        <f t="shared" si="1"/>
        <v>16.600000000000001</v>
      </c>
      <c r="I43" s="15">
        <f t="shared" si="2"/>
        <v>3.5999999999999997E-2</v>
      </c>
      <c r="J43" s="15">
        <f>ROUND(G43/212580-1,2)</f>
        <v>0.24</v>
      </c>
    </row>
    <row r="44" spans="1:10" x14ac:dyDescent="0.25">
      <c r="A44" s="1" t="s">
        <v>48</v>
      </c>
      <c r="B44" s="1" t="s">
        <v>51</v>
      </c>
      <c r="C44" s="10"/>
      <c r="D44" s="10"/>
      <c r="E44" s="10"/>
      <c r="F44" s="10"/>
      <c r="G44" s="10">
        <f t="shared" si="0"/>
        <v>0</v>
      </c>
      <c r="H44" s="16">
        <f t="shared" si="1"/>
        <v>0</v>
      </c>
      <c r="I44" s="15">
        <f t="shared" si="2"/>
        <v>0</v>
      </c>
      <c r="J44" s="15"/>
    </row>
    <row r="45" spans="1:10" x14ac:dyDescent="0.25">
      <c r="A45" s="1" t="s">
        <v>48</v>
      </c>
      <c r="B45" s="1" t="s">
        <v>94</v>
      </c>
      <c r="C45" s="10"/>
      <c r="D45" s="10"/>
      <c r="E45" s="10"/>
      <c r="F45" s="10"/>
      <c r="G45" s="10">
        <f t="shared" si="0"/>
        <v>0</v>
      </c>
      <c r="H45" s="16">
        <f t="shared" si="1"/>
        <v>0</v>
      </c>
      <c r="I45" s="15">
        <f t="shared" si="2"/>
        <v>0</v>
      </c>
      <c r="J45" s="15"/>
    </row>
    <row r="46" spans="1:10" x14ac:dyDescent="0.25">
      <c r="A46" s="1" t="s">
        <v>48</v>
      </c>
      <c r="B46" s="1" t="s">
        <v>50</v>
      </c>
      <c r="C46" s="10"/>
      <c r="D46" s="10"/>
      <c r="E46" s="10"/>
      <c r="F46" s="10"/>
      <c r="G46" s="10">
        <f t="shared" si="0"/>
        <v>0</v>
      </c>
      <c r="H46" s="16">
        <f t="shared" si="1"/>
        <v>0</v>
      </c>
      <c r="I46" s="15">
        <f t="shared" si="2"/>
        <v>0</v>
      </c>
      <c r="J46" s="15">
        <f>ROUND(G46/1140-1,2)</f>
        <v>-1</v>
      </c>
    </row>
    <row r="47" spans="1:10" x14ac:dyDescent="0.25">
      <c r="A47" s="1" t="s">
        <v>48</v>
      </c>
      <c r="B47" s="1" t="s">
        <v>49</v>
      </c>
      <c r="C47" s="10"/>
      <c r="D47" s="10"/>
      <c r="E47" s="10"/>
      <c r="F47" s="10"/>
      <c r="G47" s="10">
        <f t="shared" si="0"/>
        <v>0</v>
      </c>
      <c r="H47" s="16">
        <f t="shared" si="1"/>
        <v>0</v>
      </c>
      <c r="I47" s="15">
        <f t="shared" si="2"/>
        <v>0</v>
      </c>
      <c r="J47" s="15"/>
    </row>
    <row r="48" spans="1:10" x14ac:dyDescent="0.25">
      <c r="A48" s="1" t="s">
        <v>48</v>
      </c>
      <c r="B48" s="1" t="s">
        <v>86</v>
      </c>
      <c r="C48" s="10"/>
      <c r="D48" s="10"/>
      <c r="E48" s="10"/>
      <c r="F48" s="10"/>
      <c r="G48" s="10">
        <f t="shared" si="0"/>
        <v>0</v>
      </c>
      <c r="H48" s="16">
        <f t="shared" si="1"/>
        <v>0</v>
      </c>
      <c r="I48" s="15">
        <f t="shared" si="2"/>
        <v>0</v>
      </c>
      <c r="J48" s="15"/>
    </row>
    <row r="49" spans="1:10" x14ac:dyDescent="0.25">
      <c r="A49" s="30" t="s">
        <v>12</v>
      </c>
      <c r="B49" s="30"/>
      <c r="C49" s="11">
        <f t="shared" ref="C49:H49" si="3">SUM(C8:C48)</f>
        <v>4555970</v>
      </c>
      <c r="D49" s="11">
        <f t="shared" si="3"/>
        <v>1420</v>
      </c>
      <c r="E49" s="11">
        <f t="shared" si="3"/>
        <v>2626091</v>
      </c>
      <c r="F49" s="11">
        <f t="shared" si="3"/>
        <v>235110</v>
      </c>
      <c r="G49" s="11">
        <f t="shared" si="3"/>
        <v>7418591</v>
      </c>
      <c r="H49" s="14">
        <f t="shared" si="3"/>
        <v>466.42999999999995</v>
      </c>
      <c r="I49" s="17"/>
      <c r="J49" s="17"/>
    </row>
    <row r="50" spans="1:10" x14ac:dyDescent="0.25">
      <c r="A50" s="30" t="s">
        <v>14</v>
      </c>
      <c r="B50" s="30"/>
      <c r="C50" s="12">
        <f>ROUND(C49/G49,2)</f>
        <v>0.61</v>
      </c>
      <c r="D50" s="12">
        <f>ROUND(D49/G49,2)</f>
        <v>0</v>
      </c>
      <c r="E50" s="12">
        <f>ROUND(E49/G49,2)</f>
        <v>0.35</v>
      </c>
      <c r="F50" s="12">
        <f>ROUND(F49/G49,2)</f>
        <v>0.03</v>
      </c>
      <c r="G50" s="13"/>
      <c r="H50" s="13"/>
      <c r="I50" s="17"/>
      <c r="J50" s="17"/>
    </row>
    <row r="51" spans="1:10" x14ac:dyDescent="0.25">
      <c r="A51" s="2" t="s">
        <v>52</v>
      </c>
      <c r="B51" s="2"/>
      <c r="C51" s="13"/>
      <c r="D51" s="13"/>
      <c r="E51" s="13"/>
      <c r="F51" s="13"/>
      <c r="G51" s="13"/>
      <c r="H51" s="13"/>
      <c r="I51" s="17"/>
      <c r="J51" s="17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A55" s="30" t="s">
        <v>53</v>
      </c>
      <c r="B55" s="30"/>
      <c r="C55" s="11" t="s">
        <v>8</v>
      </c>
      <c r="D55" s="11" t="s">
        <v>9</v>
      </c>
      <c r="E55" s="11" t="s">
        <v>10</v>
      </c>
      <c r="F55" s="11" t="s">
        <v>11</v>
      </c>
      <c r="G55" s="11" t="s">
        <v>12</v>
      </c>
      <c r="H55" s="14" t="s">
        <v>13</v>
      </c>
      <c r="I55" s="17"/>
      <c r="J55" s="17"/>
    </row>
    <row r="56" spans="1:10" x14ac:dyDescent="0.25">
      <c r="A56" s="29" t="s">
        <v>54</v>
      </c>
      <c r="B56" s="29"/>
      <c r="C56" s="10">
        <v>3059510</v>
      </c>
      <c r="D56" s="10">
        <v>1420</v>
      </c>
      <c r="E56" s="10">
        <v>2362051</v>
      </c>
      <c r="F56" s="10">
        <v>38890</v>
      </c>
      <c r="G56" s="10">
        <f>SUM(C56:F56)</f>
        <v>5461871</v>
      </c>
      <c r="H56" s="16">
        <f>ROUND(G56/15906,2)</f>
        <v>343.38</v>
      </c>
      <c r="I56" s="9"/>
      <c r="J56" s="9"/>
    </row>
    <row r="57" spans="1:10" x14ac:dyDescent="0.25">
      <c r="A57" s="29" t="s">
        <v>55</v>
      </c>
      <c r="B57" s="29"/>
      <c r="C57" s="10">
        <v>1496460</v>
      </c>
      <c r="D57" s="10">
        <v>0</v>
      </c>
      <c r="E57" s="10">
        <v>264040</v>
      </c>
      <c r="F57" s="10">
        <v>196220</v>
      </c>
      <c r="G57" s="23">
        <f>SUM(C57:F57)</f>
        <v>1956720</v>
      </c>
      <c r="H57" s="16">
        <f>ROUND(G57/15906,2)</f>
        <v>123.02</v>
      </c>
      <c r="I57" s="9"/>
      <c r="J57" s="9"/>
    </row>
    <row r="58" spans="1:10" x14ac:dyDescent="0.25">
      <c r="A58" s="29" t="s">
        <v>56</v>
      </c>
      <c r="B58" s="29"/>
      <c r="C58" s="10">
        <v>0</v>
      </c>
      <c r="D58" s="10">
        <v>0</v>
      </c>
      <c r="E58" s="10">
        <v>0</v>
      </c>
      <c r="F58" s="10">
        <v>0</v>
      </c>
      <c r="G58" s="23">
        <f>SUM(C58:F58)</f>
        <v>0</v>
      </c>
      <c r="H58" s="16">
        <f>ROUND(G58/15906,2)</f>
        <v>0</v>
      </c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A63" s="30" t="s">
        <v>57</v>
      </c>
      <c r="B63" s="30"/>
      <c r="C63" s="14" t="s">
        <v>2</v>
      </c>
      <c r="D63" s="14">
        <v>2023</v>
      </c>
      <c r="E63" s="14" t="s">
        <v>59</v>
      </c>
      <c r="F63" s="13"/>
      <c r="G63" s="14" t="s">
        <v>60</v>
      </c>
      <c r="H63" s="14" t="s">
        <v>2</v>
      </c>
      <c r="I63" s="12" t="s">
        <v>61</v>
      </c>
      <c r="J63" s="12" t="s">
        <v>59</v>
      </c>
    </row>
    <row r="64" spans="1:10" x14ac:dyDescent="0.25">
      <c r="A64" s="29" t="s">
        <v>58</v>
      </c>
      <c r="B64" s="29"/>
      <c r="C64" s="15">
        <f>ROUND(0.781, 4)</f>
        <v>0.78100000000000003</v>
      </c>
      <c r="D64" s="15">
        <f>ROUND(0.7813, 4)</f>
        <v>0.78129999999999999</v>
      </c>
      <c r="E64" s="15">
        <f>ROUND(0.777, 4)</f>
        <v>0.77700000000000002</v>
      </c>
      <c r="F64" s="8"/>
      <c r="G64" s="14" t="s">
        <v>62</v>
      </c>
      <c r="H64" s="33" t="s">
        <v>63</v>
      </c>
      <c r="I64" s="31" t="s">
        <v>64</v>
      </c>
      <c r="J64" s="31" t="s">
        <v>65</v>
      </c>
    </row>
    <row r="65" spans="1:10" x14ac:dyDescent="0.25">
      <c r="A65" s="29" t="s">
        <v>66</v>
      </c>
      <c r="B65" s="29"/>
      <c r="C65" s="15">
        <f>ROUND(0.7716, 4)</f>
        <v>0.77159999999999995</v>
      </c>
      <c r="D65" s="15">
        <f>ROUND(0.7721, 4)</f>
        <v>0.77210000000000001</v>
      </c>
      <c r="E65" s="15">
        <f>ROUND(0.7608, 4)</f>
        <v>0.76080000000000003</v>
      </c>
      <c r="F65" s="8"/>
      <c r="G65" s="14" t="s">
        <v>67</v>
      </c>
      <c r="H65" s="34"/>
      <c r="I65" s="32"/>
      <c r="J65" s="32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9" spans="1:10" x14ac:dyDescent="0.25">
      <c r="A69" s="30" t="s">
        <v>68</v>
      </c>
      <c r="B69" s="30"/>
      <c r="C69" s="3" t="s">
        <v>2</v>
      </c>
      <c r="D69" s="3" t="s">
        <v>130</v>
      </c>
      <c r="E69" s="3" t="s">
        <v>70</v>
      </c>
      <c r="F69" s="3" t="s">
        <v>71</v>
      </c>
      <c r="G69" s="3" t="s">
        <v>72</v>
      </c>
      <c r="H69" s="2"/>
      <c r="I69" s="2"/>
      <c r="J69" s="2"/>
    </row>
    <row r="70" spans="1:10" x14ac:dyDescent="0.25">
      <c r="A70" s="29" t="s">
        <v>73</v>
      </c>
      <c r="B70" s="29"/>
      <c r="C70" s="1">
        <v>95.64</v>
      </c>
      <c r="D70" s="1">
        <v>93.08</v>
      </c>
      <c r="E70" s="1">
        <v>93.87</v>
      </c>
      <c r="F70" s="1">
        <v>57.16</v>
      </c>
      <c r="G70" s="1">
        <f>12/12*C70</f>
        <v>95.64</v>
      </c>
    </row>
    <row r="71" spans="1:10" x14ac:dyDescent="0.25">
      <c r="A71" s="29" t="s">
        <v>74</v>
      </c>
      <c r="B71" s="29"/>
      <c r="C71" s="1">
        <v>71.61</v>
      </c>
      <c r="D71" s="1">
        <v>74.900000000000006</v>
      </c>
      <c r="E71" s="1">
        <v>62.84</v>
      </c>
      <c r="F71" s="1">
        <v>65.39</v>
      </c>
      <c r="G71" s="1">
        <f>12/12*C71</f>
        <v>71.61</v>
      </c>
    </row>
    <row r="72" spans="1:10" x14ac:dyDescent="0.25">
      <c r="A72" s="29" t="s">
        <v>75</v>
      </c>
      <c r="B72" s="29"/>
      <c r="C72" s="1">
        <v>343.38</v>
      </c>
      <c r="D72" s="1">
        <v>329.77</v>
      </c>
      <c r="E72" s="1">
        <v>295.08999999999997</v>
      </c>
      <c r="F72" s="1">
        <v>289.06</v>
      </c>
      <c r="G72" s="1">
        <f>12/12*C72</f>
        <v>343.38</v>
      </c>
    </row>
    <row r="73" spans="1:10" x14ac:dyDescent="0.25">
      <c r="A73" s="29" t="s">
        <v>76</v>
      </c>
      <c r="B73" s="29"/>
      <c r="C73" s="1">
        <v>123.02</v>
      </c>
      <c r="D73" s="1">
        <v>120.72</v>
      </c>
      <c r="E73" s="1">
        <v>118.05</v>
      </c>
      <c r="F73" s="1">
        <v>81.41</v>
      </c>
      <c r="G73" s="1">
        <f>12/12*C73</f>
        <v>123.02</v>
      </c>
    </row>
    <row r="76" spans="1:10" x14ac:dyDescent="0.25">
      <c r="A76" s="28" t="s">
        <v>60</v>
      </c>
      <c r="B76" s="35"/>
    </row>
    <row r="77" spans="1:10" x14ac:dyDescent="0.25">
      <c r="A77" s="3" t="s">
        <v>77</v>
      </c>
      <c r="B77" s="1" t="s">
        <v>131</v>
      </c>
    </row>
    <row r="78" spans="1:10" x14ac:dyDescent="0.25">
      <c r="A78" s="3" t="s">
        <v>70</v>
      </c>
      <c r="B78" s="1" t="s">
        <v>79</v>
      </c>
    </row>
    <row r="79" spans="1:10" x14ac:dyDescent="0.25">
      <c r="A79" s="3" t="s">
        <v>71</v>
      </c>
      <c r="B79" s="1" t="s">
        <v>80</v>
      </c>
    </row>
    <row r="80" spans="1:10" x14ac:dyDescent="0.25">
      <c r="A80" s="3" t="s">
        <v>72</v>
      </c>
      <c r="B80" s="1" t="s">
        <v>81</v>
      </c>
    </row>
  </sheetData>
  <mergeCells count="19">
    <mergeCell ref="A71:B71"/>
    <mergeCell ref="A72:B72"/>
    <mergeCell ref="A73:B73"/>
    <mergeCell ref="A76:B76"/>
    <mergeCell ref="I64:I65"/>
    <mergeCell ref="J64:J65"/>
    <mergeCell ref="A65:B65"/>
    <mergeCell ref="A69:B69"/>
    <mergeCell ref="A70:B70"/>
    <mergeCell ref="A57:B57"/>
    <mergeCell ref="A58:B58"/>
    <mergeCell ref="A63:B63"/>
    <mergeCell ref="A64:B64"/>
    <mergeCell ref="H64:H65"/>
    <mergeCell ref="C7:G7"/>
    <mergeCell ref="A49:B49"/>
    <mergeCell ref="A50:B50"/>
    <mergeCell ref="A55:B55"/>
    <mergeCell ref="A56:B5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J70"/>
  <sheetViews>
    <sheetView workbookViewId="0"/>
  </sheetViews>
  <sheetFormatPr defaultRowHeight="15" x14ac:dyDescent="0.25"/>
  <cols>
    <col min="1" max="1" width="28.42578125" bestFit="1" customWidth="1"/>
    <col min="2" max="2" width="65.7109375" bestFit="1" customWidth="1"/>
    <col min="3" max="3" width="12.7109375" bestFit="1" customWidth="1"/>
    <col min="4" max="4" width="43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132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2177</v>
      </c>
    </row>
    <row r="7" spans="1:10" x14ac:dyDescent="0.25">
      <c r="C7" s="28" t="s">
        <v>5</v>
      </c>
      <c r="D7" s="29"/>
      <c r="E7" s="29"/>
      <c r="F7" s="29"/>
      <c r="G7" s="29"/>
    </row>
    <row r="8" spans="1:10" x14ac:dyDescent="0.25">
      <c r="A8" s="25" t="s">
        <v>6</v>
      </c>
      <c r="B8" s="25" t="s">
        <v>7</v>
      </c>
      <c r="C8" s="27" t="s">
        <v>8</v>
      </c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61</v>
      </c>
      <c r="F9" s="10"/>
      <c r="G9" s="10">
        <f t="shared" ref="G9:G34" si="0">SUM(C9:F9)</f>
        <v>61</v>
      </c>
      <c r="H9" s="16">
        <f t="shared" ref="H9:H34" si="1">ROUND(G9/2177,2)</f>
        <v>0.03</v>
      </c>
      <c r="I9" s="15">
        <f t="shared" ref="I9:I34" si="2">ROUND(G9/$G$35,3)</f>
        <v>0</v>
      </c>
      <c r="J9" s="15"/>
    </row>
    <row r="10" spans="1:10" x14ac:dyDescent="0.25">
      <c r="A10" s="1" t="s">
        <v>16</v>
      </c>
      <c r="B10" s="1" t="s">
        <v>90</v>
      </c>
      <c r="C10" s="10"/>
      <c r="D10" s="10">
        <v>107620</v>
      </c>
      <c r="E10" s="10"/>
      <c r="F10" s="10"/>
      <c r="G10" s="10">
        <f t="shared" si="0"/>
        <v>107620</v>
      </c>
      <c r="H10" s="16">
        <f t="shared" si="1"/>
        <v>49.44</v>
      </c>
      <c r="I10" s="15">
        <f t="shared" si="2"/>
        <v>0.13500000000000001</v>
      </c>
      <c r="J10" s="15">
        <f>ROUND(G10/100720-1,2)</f>
        <v>7.0000000000000007E-2</v>
      </c>
    </row>
    <row r="11" spans="1:10" x14ac:dyDescent="0.25">
      <c r="A11" s="1" t="s">
        <v>16</v>
      </c>
      <c r="B11" s="1" t="s">
        <v>133</v>
      </c>
      <c r="C11" s="10"/>
      <c r="D11" s="10">
        <v>5890</v>
      </c>
      <c r="E11" s="10">
        <v>1960</v>
      </c>
      <c r="F11" s="10"/>
      <c r="G11" s="10">
        <f t="shared" si="0"/>
        <v>7850</v>
      </c>
      <c r="H11" s="16">
        <f t="shared" si="1"/>
        <v>3.61</v>
      </c>
      <c r="I11" s="15">
        <f t="shared" si="2"/>
        <v>0.01</v>
      </c>
      <c r="J11" s="15">
        <f>ROUND(G11/7440-1,2)</f>
        <v>0.06</v>
      </c>
    </row>
    <row r="12" spans="1:10" x14ac:dyDescent="0.25">
      <c r="A12" s="1" t="s">
        <v>16</v>
      </c>
      <c r="B12" s="1" t="s">
        <v>20</v>
      </c>
      <c r="C12" s="10"/>
      <c r="D12" s="10">
        <v>96330</v>
      </c>
      <c r="E12" s="10"/>
      <c r="F12" s="10"/>
      <c r="G12" s="10">
        <f t="shared" si="0"/>
        <v>96330</v>
      </c>
      <c r="H12" s="16">
        <f t="shared" si="1"/>
        <v>44.25</v>
      </c>
      <c r="I12" s="15">
        <f t="shared" si="2"/>
        <v>0.121</v>
      </c>
      <c r="J12" s="15">
        <f>ROUND(G12/97900-1,2)</f>
        <v>-0.02</v>
      </c>
    </row>
    <row r="13" spans="1:10" x14ac:dyDescent="0.25">
      <c r="A13" s="1" t="s">
        <v>16</v>
      </c>
      <c r="B13" s="1" t="s">
        <v>24</v>
      </c>
      <c r="C13" s="10"/>
      <c r="D13" s="10">
        <v>108120</v>
      </c>
      <c r="E13" s="10"/>
      <c r="F13" s="10"/>
      <c r="G13" s="10">
        <f t="shared" si="0"/>
        <v>108120</v>
      </c>
      <c r="H13" s="16">
        <f t="shared" si="1"/>
        <v>49.66</v>
      </c>
      <c r="I13" s="15">
        <f t="shared" si="2"/>
        <v>0.13500000000000001</v>
      </c>
      <c r="J13" s="15">
        <f>ROUND(G13/106040-1,2)</f>
        <v>0.02</v>
      </c>
    </row>
    <row r="14" spans="1:10" x14ac:dyDescent="0.25">
      <c r="A14" s="1" t="s">
        <v>16</v>
      </c>
      <c r="B14" s="1" t="s">
        <v>25</v>
      </c>
      <c r="C14" s="10"/>
      <c r="D14" s="10"/>
      <c r="E14" s="10">
        <v>2495</v>
      </c>
      <c r="F14" s="10"/>
      <c r="G14" s="10">
        <f t="shared" si="0"/>
        <v>2495</v>
      </c>
      <c r="H14" s="16">
        <f t="shared" si="1"/>
        <v>1.1499999999999999</v>
      </c>
      <c r="I14" s="15">
        <f t="shared" si="2"/>
        <v>3.0000000000000001E-3</v>
      </c>
      <c r="J14" s="15">
        <f>ROUND(G14/2110-1,2)</f>
        <v>0.18</v>
      </c>
    </row>
    <row r="15" spans="1:10" x14ac:dyDescent="0.25">
      <c r="A15" s="1" t="s">
        <v>16</v>
      </c>
      <c r="B15" s="1" t="s">
        <v>26</v>
      </c>
      <c r="C15" s="10"/>
      <c r="D15" s="10">
        <v>206620</v>
      </c>
      <c r="E15" s="10"/>
      <c r="F15" s="10"/>
      <c r="G15" s="10">
        <f t="shared" si="0"/>
        <v>206620</v>
      </c>
      <c r="H15" s="16">
        <f t="shared" si="1"/>
        <v>94.91</v>
      </c>
      <c r="I15" s="15">
        <f t="shared" si="2"/>
        <v>0.25900000000000001</v>
      </c>
      <c r="J15" s="15">
        <f>ROUND(G15/159920-1,2)</f>
        <v>0.28999999999999998</v>
      </c>
    </row>
    <row r="16" spans="1:10" x14ac:dyDescent="0.25">
      <c r="A16" s="1" t="s">
        <v>16</v>
      </c>
      <c r="B16" s="1" t="s">
        <v>29</v>
      </c>
      <c r="C16" s="10"/>
      <c r="D16" s="10"/>
      <c r="E16" s="10">
        <v>1270</v>
      </c>
      <c r="F16" s="10"/>
      <c r="G16" s="10">
        <f t="shared" si="0"/>
        <v>1270</v>
      </c>
      <c r="H16" s="16">
        <f t="shared" si="1"/>
        <v>0.57999999999999996</v>
      </c>
      <c r="I16" s="15">
        <f t="shared" si="2"/>
        <v>2E-3</v>
      </c>
      <c r="J16" s="15">
        <f>ROUND(G16/2580-1,2)</f>
        <v>-0.51</v>
      </c>
    </row>
    <row r="17" spans="1:10" x14ac:dyDescent="0.25">
      <c r="A17" s="1" t="s">
        <v>16</v>
      </c>
      <c r="B17" s="1" t="s">
        <v>33</v>
      </c>
      <c r="C17" s="10"/>
      <c r="D17" s="10">
        <v>154</v>
      </c>
      <c r="E17" s="10">
        <v>11</v>
      </c>
      <c r="F17" s="10"/>
      <c r="G17" s="10">
        <f t="shared" si="0"/>
        <v>165</v>
      </c>
      <c r="H17" s="16">
        <f t="shared" si="1"/>
        <v>0.08</v>
      </c>
      <c r="I17" s="15">
        <f t="shared" si="2"/>
        <v>0</v>
      </c>
      <c r="J17" s="15">
        <f>ROUND(G17/148-1,2)</f>
        <v>0.11</v>
      </c>
    </row>
    <row r="18" spans="1:10" x14ac:dyDescent="0.25">
      <c r="A18" s="1" t="s">
        <v>16</v>
      </c>
      <c r="B18" s="1" t="s">
        <v>34</v>
      </c>
      <c r="C18" s="10"/>
      <c r="D18" s="10"/>
      <c r="E18" s="10">
        <v>420</v>
      </c>
      <c r="F18" s="10"/>
      <c r="G18" s="10">
        <f t="shared" si="0"/>
        <v>420</v>
      </c>
      <c r="H18" s="16">
        <f t="shared" si="1"/>
        <v>0.19</v>
      </c>
      <c r="I18" s="15">
        <f t="shared" si="2"/>
        <v>1E-3</v>
      </c>
      <c r="J18" s="15">
        <f>ROUND(G18/580-1,2)</f>
        <v>-0.28000000000000003</v>
      </c>
    </row>
    <row r="19" spans="1:10" x14ac:dyDescent="0.25">
      <c r="A19" s="1" t="s">
        <v>16</v>
      </c>
      <c r="B19" s="1" t="s">
        <v>35</v>
      </c>
      <c r="C19" s="10"/>
      <c r="D19" s="10">
        <v>50</v>
      </c>
      <c r="E19" s="10"/>
      <c r="F19" s="10"/>
      <c r="G19" s="10">
        <f t="shared" si="0"/>
        <v>50</v>
      </c>
      <c r="H19" s="16">
        <f t="shared" si="1"/>
        <v>0.02</v>
      </c>
      <c r="I19" s="15">
        <f t="shared" si="2"/>
        <v>0</v>
      </c>
      <c r="J19" s="15">
        <f>ROUND(G19/280-1,2)</f>
        <v>-0.82</v>
      </c>
    </row>
    <row r="20" spans="1:10" x14ac:dyDescent="0.25">
      <c r="A20" s="1" t="s">
        <v>16</v>
      </c>
      <c r="B20" s="1" t="s">
        <v>36</v>
      </c>
      <c r="C20" s="10"/>
      <c r="D20" s="10"/>
      <c r="E20" s="10">
        <v>900</v>
      </c>
      <c r="F20" s="10"/>
      <c r="G20" s="10">
        <f t="shared" si="0"/>
        <v>900</v>
      </c>
      <c r="H20" s="16">
        <f t="shared" si="1"/>
        <v>0.41</v>
      </c>
      <c r="I20" s="15">
        <f t="shared" si="2"/>
        <v>1E-3</v>
      </c>
      <c r="J20" s="15">
        <f>ROUND(G20/1340-1,2)</f>
        <v>-0.33</v>
      </c>
    </row>
    <row r="21" spans="1:10" x14ac:dyDescent="0.25">
      <c r="A21" s="1" t="s">
        <v>16</v>
      </c>
      <c r="B21" s="1" t="s">
        <v>43</v>
      </c>
      <c r="C21" s="10"/>
      <c r="D21" s="10"/>
      <c r="E21" s="10">
        <v>2080</v>
      </c>
      <c r="F21" s="10"/>
      <c r="G21" s="10">
        <f t="shared" si="0"/>
        <v>2080</v>
      </c>
      <c r="H21" s="16">
        <f t="shared" si="1"/>
        <v>0.96</v>
      </c>
      <c r="I21" s="15">
        <f t="shared" si="2"/>
        <v>3.0000000000000001E-3</v>
      </c>
      <c r="J21" s="15">
        <f>ROUND(G21/4032-1,2)</f>
        <v>-0.48</v>
      </c>
    </row>
    <row r="22" spans="1:10" x14ac:dyDescent="0.25">
      <c r="A22" s="1" t="s">
        <v>16</v>
      </c>
      <c r="B22" s="1" t="s">
        <v>37</v>
      </c>
      <c r="C22" s="10"/>
      <c r="D22" s="10"/>
      <c r="E22" s="10">
        <v>1260</v>
      </c>
      <c r="F22" s="10"/>
      <c r="G22" s="10">
        <f t="shared" si="0"/>
        <v>1260</v>
      </c>
      <c r="H22" s="16">
        <f t="shared" si="1"/>
        <v>0.57999999999999996</v>
      </c>
      <c r="I22" s="15">
        <f t="shared" si="2"/>
        <v>2E-3</v>
      </c>
      <c r="J22" s="15">
        <f>ROUND(G22/1170-1,2)</f>
        <v>0.08</v>
      </c>
    </row>
    <row r="23" spans="1:10" x14ac:dyDescent="0.25">
      <c r="A23" s="1" t="s">
        <v>16</v>
      </c>
      <c r="B23" s="1" t="s">
        <v>38</v>
      </c>
      <c r="C23" s="10"/>
      <c r="D23" s="10"/>
      <c r="E23" s="10">
        <v>38150</v>
      </c>
      <c r="F23" s="10"/>
      <c r="G23" s="10">
        <f t="shared" si="0"/>
        <v>38150</v>
      </c>
      <c r="H23" s="16">
        <f t="shared" si="1"/>
        <v>17.52</v>
      </c>
      <c r="I23" s="15">
        <f t="shared" si="2"/>
        <v>4.8000000000000001E-2</v>
      </c>
      <c r="J23" s="15">
        <f>ROUND(G23/22030-1,2)</f>
        <v>0.73</v>
      </c>
    </row>
    <row r="24" spans="1:10" x14ac:dyDescent="0.25">
      <c r="A24" s="1" t="s">
        <v>16</v>
      </c>
      <c r="B24" s="1" t="s">
        <v>40</v>
      </c>
      <c r="C24" s="10"/>
      <c r="D24" s="10"/>
      <c r="E24" s="10">
        <v>5400</v>
      </c>
      <c r="F24" s="10"/>
      <c r="G24" s="10">
        <f t="shared" si="0"/>
        <v>5400</v>
      </c>
      <c r="H24" s="16">
        <f t="shared" si="1"/>
        <v>2.48</v>
      </c>
      <c r="I24" s="15">
        <f t="shared" si="2"/>
        <v>7.0000000000000001E-3</v>
      </c>
      <c r="J24" s="15"/>
    </row>
    <row r="25" spans="1:10" x14ac:dyDescent="0.25">
      <c r="A25" s="1" t="s">
        <v>16</v>
      </c>
      <c r="B25" s="1" t="s">
        <v>41</v>
      </c>
      <c r="C25" s="10"/>
      <c r="D25" s="10"/>
      <c r="E25" s="10">
        <v>32520</v>
      </c>
      <c r="F25" s="10"/>
      <c r="G25" s="10">
        <f t="shared" si="0"/>
        <v>32520</v>
      </c>
      <c r="H25" s="16">
        <f t="shared" si="1"/>
        <v>14.94</v>
      </c>
      <c r="I25" s="15">
        <f t="shared" si="2"/>
        <v>4.1000000000000002E-2</v>
      </c>
      <c r="J25" s="15">
        <f>ROUND(G25/27390-1,2)</f>
        <v>0.19</v>
      </c>
    </row>
    <row r="26" spans="1:10" x14ac:dyDescent="0.25">
      <c r="A26" s="1" t="s">
        <v>16</v>
      </c>
      <c r="B26" s="1" t="s">
        <v>22</v>
      </c>
      <c r="C26" s="10"/>
      <c r="D26" s="10"/>
      <c r="E26" s="10"/>
      <c r="F26" s="10"/>
      <c r="G26" s="10">
        <f t="shared" si="0"/>
        <v>0</v>
      </c>
      <c r="H26" s="16">
        <f t="shared" si="1"/>
        <v>0</v>
      </c>
      <c r="I26" s="15">
        <f t="shared" si="2"/>
        <v>0</v>
      </c>
      <c r="J26" s="15">
        <f>ROUND(G26/630-1,2)</f>
        <v>-1</v>
      </c>
    </row>
    <row r="27" spans="1:10" x14ac:dyDescent="0.25">
      <c r="A27" s="1" t="s">
        <v>16</v>
      </c>
      <c r="B27" s="1" t="s">
        <v>42</v>
      </c>
      <c r="C27" s="10"/>
      <c r="D27" s="10"/>
      <c r="E27" s="10"/>
      <c r="F27" s="10"/>
      <c r="G27" s="10">
        <f t="shared" si="0"/>
        <v>0</v>
      </c>
      <c r="H27" s="16">
        <f t="shared" si="1"/>
        <v>0</v>
      </c>
      <c r="I27" s="15">
        <f t="shared" si="2"/>
        <v>0</v>
      </c>
      <c r="J27" s="15">
        <f>ROUND(G27/227-1,2)</f>
        <v>-1</v>
      </c>
    </row>
    <row r="28" spans="1:10" x14ac:dyDescent="0.25">
      <c r="A28" s="1" t="s">
        <v>16</v>
      </c>
      <c r="B28" s="1" t="s">
        <v>98</v>
      </c>
      <c r="C28" s="10"/>
      <c r="D28" s="10"/>
      <c r="E28" s="10"/>
      <c r="F28" s="10"/>
      <c r="G28" s="10">
        <f t="shared" si="0"/>
        <v>0</v>
      </c>
      <c r="H28" s="16">
        <f t="shared" si="1"/>
        <v>0</v>
      </c>
      <c r="I28" s="15">
        <f t="shared" si="2"/>
        <v>0</v>
      </c>
      <c r="J28" s="15">
        <f>ROUND(G28/400-1,2)</f>
        <v>-1</v>
      </c>
    </row>
    <row r="29" spans="1:10" x14ac:dyDescent="0.25">
      <c r="A29" s="1" t="s">
        <v>16</v>
      </c>
      <c r="B29" s="1" t="s">
        <v>30</v>
      </c>
      <c r="C29" s="10"/>
      <c r="D29" s="10"/>
      <c r="E29" s="10"/>
      <c r="F29" s="10"/>
      <c r="G29" s="10">
        <f t="shared" si="0"/>
        <v>0</v>
      </c>
      <c r="H29" s="16">
        <f t="shared" si="1"/>
        <v>0</v>
      </c>
      <c r="I29" s="15">
        <f t="shared" si="2"/>
        <v>0</v>
      </c>
      <c r="J29" s="15">
        <f>ROUND(G29/180-1,2)</f>
        <v>-1</v>
      </c>
    </row>
    <row r="30" spans="1:10" x14ac:dyDescent="0.25">
      <c r="A30" s="1" t="s">
        <v>44</v>
      </c>
      <c r="B30" s="1" t="s">
        <v>45</v>
      </c>
      <c r="C30" s="10">
        <v>150590</v>
      </c>
      <c r="D30" s="10"/>
      <c r="E30" s="10"/>
      <c r="F30" s="10"/>
      <c r="G30" s="10">
        <f t="shared" si="0"/>
        <v>150590</v>
      </c>
      <c r="H30" s="16">
        <f t="shared" si="1"/>
        <v>69.17</v>
      </c>
      <c r="I30" s="15">
        <f t="shared" si="2"/>
        <v>0.189</v>
      </c>
      <c r="J30" s="15">
        <f>ROUND(G30/147370-1,2)</f>
        <v>0.02</v>
      </c>
    </row>
    <row r="31" spans="1:10" x14ac:dyDescent="0.25">
      <c r="A31" s="1" t="s">
        <v>44</v>
      </c>
      <c r="B31" s="1" t="s">
        <v>46</v>
      </c>
      <c r="C31" s="10"/>
      <c r="D31" s="10"/>
      <c r="E31" s="10">
        <v>36870</v>
      </c>
      <c r="F31" s="10"/>
      <c r="G31" s="10">
        <f t="shared" si="0"/>
        <v>36870</v>
      </c>
      <c r="H31" s="16">
        <f t="shared" si="1"/>
        <v>16.940000000000001</v>
      </c>
      <c r="I31" s="15">
        <f t="shared" si="2"/>
        <v>4.5999999999999999E-2</v>
      </c>
      <c r="J31" s="15">
        <f>ROUND(G31/5860-1,2)</f>
        <v>5.29</v>
      </c>
    </row>
    <row r="32" spans="1:10" x14ac:dyDescent="0.25">
      <c r="A32" s="1" t="s">
        <v>48</v>
      </c>
      <c r="B32" s="1" t="s">
        <v>49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>
        <f>ROUND(G32/425-1,2)</f>
        <v>-1</v>
      </c>
    </row>
    <row r="33" spans="1:10" x14ac:dyDescent="0.25">
      <c r="A33" s="1" t="s">
        <v>48</v>
      </c>
      <c r="B33" s="1" t="s">
        <v>50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>
        <f>ROUND(G33/450-1,2)</f>
        <v>-1</v>
      </c>
    </row>
    <row r="34" spans="1:10" x14ac:dyDescent="0.25">
      <c r="A34" s="1" t="s">
        <v>48</v>
      </c>
      <c r="B34" s="1" t="s">
        <v>51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/>
    </row>
    <row r="35" spans="1:10" x14ac:dyDescent="0.25">
      <c r="A35" s="30" t="s">
        <v>12</v>
      </c>
      <c r="B35" s="30"/>
      <c r="C35" s="11">
        <f t="shared" ref="C35:H35" si="3">SUM(C8:C34)</f>
        <v>150590</v>
      </c>
      <c r="D35" s="11">
        <f t="shared" si="3"/>
        <v>524784</v>
      </c>
      <c r="E35" s="11">
        <f t="shared" si="3"/>
        <v>123397</v>
      </c>
      <c r="F35" s="11">
        <f t="shared" si="3"/>
        <v>0</v>
      </c>
      <c r="G35" s="11">
        <f t="shared" si="3"/>
        <v>798771</v>
      </c>
      <c r="H35" s="14">
        <f t="shared" si="3"/>
        <v>366.92000000000007</v>
      </c>
      <c r="I35" s="17"/>
      <c r="J35" s="17"/>
    </row>
    <row r="36" spans="1:10" x14ac:dyDescent="0.25">
      <c r="A36" s="30" t="s">
        <v>14</v>
      </c>
      <c r="B36" s="30"/>
      <c r="C36" s="12">
        <f>ROUND(C35/G35,2)</f>
        <v>0.19</v>
      </c>
      <c r="D36" s="12">
        <f>ROUND(D35/G35,2)</f>
        <v>0.66</v>
      </c>
      <c r="E36" s="12">
        <f>ROUND(E35/G35,2)</f>
        <v>0.15</v>
      </c>
      <c r="F36" s="12">
        <f>ROUND(F35/G35,2)</f>
        <v>0</v>
      </c>
      <c r="G36" s="13"/>
      <c r="H36" s="13"/>
      <c r="I36" s="17"/>
      <c r="J36" s="17"/>
    </row>
    <row r="37" spans="1:10" x14ac:dyDescent="0.25">
      <c r="A37" s="2" t="s">
        <v>52</v>
      </c>
      <c r="B37" s="2"/>
      <c r="C37" s="13"/>
      <c r="D37" s="13"/>
      <c r="E37" s="13"/>
      <c r="F37" s="13"/>
      <c r="G37" s="13"/>
      <c r="H37" s="13"/>
      <c r="I37" s="17"/>
      <c r="J37" s="17"/>
    </row>
    <row r="38" spans="1:10" x14ac:dyDescent="0.25">
      <c r="C38" s="8"/>
      <c r="D38" s="8"/>
      <c r="E38" s="8"/>
      <c r="F38" s="8"/>
      <c r="G38" s="8"/>
      <c r="H38" s="8"/>
      <c r="I38" s="9"/>
      <c r="J38" s="9"/>
    </row>
    <row r="39" spans="1:10" x14ac:dyDescent="0.25">
      <c r="C39" s="8"/>
      <c r="D39" s="8"/>
      <c r="E39" s="8"/>
      <c r="F39" s="8"/>
      <c r="G39" s="8"/>
      <c r="H39" s="8"/>
      <c r="I39" s="9"/>
      <c r="J39" s="9"/>
    </row>
    <row r="40" spans="1:10" x14ac:dyDescent="0.25">
      <c r="C40" s="8"/>
      <c r="D40" s="8"/>
      <c r="E40" s="8"/>
      <c r="F40" s="8"/>
      <c r="G40" s="8"/>
      <c r="H40" s="8"/>
      <c r="I40" s="9"/>
      <c r="J40" s="9"/>
    </row>
    <row r="41" spans="1:10" x14ac:dyDescent="0.25">
      <c r="A41" s="30" t="s">
        <v>53</v>
      </c>
      <c r="B41" s="30"/>
      <c r="C41" s="11" t="s">
        <v>8</v>
      </c>
      <c r="D41" s="11" t="s">
        <v>9</v>
      </c>
      <c r="E41" s="11" t="s">
        <v>10</v>
      </c>
      <c r="F41" s="11" t="s">
        <v>11</v>
      </c>
      <c r="G41" s="11" t="s">
        <v>12</v>
      </c>
      <c r="H41" s="14" t="s">
        <v>13</v>
      </c>
      <c r="I41" s="17"/>
      <c r="J41" s="17"/>
    </row>
    <row r="42" spans="1:10" x14ac:dyDescent="0.25">
      <c r="A42" s="29" t="s">
        <v>54</v>
      </c>
      <c r="B42" s="29"/>
      <c r="C42" s="10">
        <v>0</v>
      </c>
      <c r="D42" s="10">
        <v>524784</v>
      </c>
      <c r="E42" s="10">
        <v>86527</v>
      </c>
      <c r="F42" s="10">
        <v>0</v>
      </c>
      <c r="G42" s="10">
        <f>SUM(C42:F42)</f>
        <v>611311</v>
      </c>
      <c r="H42" s="16">
        <f>ROUND(G42/2177,2)</f>
        <v>280.8</v>
      </c>
      <c r="I42" s="9"/>
      <c r="J42" s="9"/>
    </row>
    <row r="43" spans="1:10" x14ac:dyDescent="0.25">
      <c r="A43" s="29" t="s">
        <v>55</v>
      </c>
      <c r="B43" s="29"/>
      <c r="C43" s="10">
        <v>150590</v>
      </c>
      <c r="D43" s="10">
        <v>0</v>
      </c>
      <c r="E43" s="10">
        <v>36870</v>
      </c>
      <c r="F43" s="10">
        <v>0</v>
      </c>
      <c r="G43" s="10">
        <f>SUM(C43:F43)</f>
        <v>187460</v>
      </c>
      <c r="H43" s="16">
        <f>ROUND(G43/2177,2)</f>
        <v>86.11</v>
      </c>
      <c r="I43" s="9"/>
      <c r="J43" s="9"/>
    </row>
    <row r="44" spans="1:10" x14ac:dyDescent="0.25">
      <c r="A44" s="29" t="s">
        <v>56</v>
      </c>
      <c r="B44" s="29"/>
      <c r="C44" s="10">
        <v>0</v>
      </c>
      <c r="D44" s="10">
        <v>0</v>
      </c>
      <c r="E44" s="10">
        <v>0</v>
      </c>
      <c r="F44" s="10">
        <v>0</v>
      </c>
      <c r="G44" s="10">
        <f>SUM(C44:F44)</f>
        <v>0</v>
      </c>
      <c r="H44" s="16">
        <f>ROUND(G44/2177,2)</f>
        <v>0</v>
      </c>
      <c r="I44" s="9"/>
      <c r="J44" s="9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A49" s="30" t="s">
        <v>57</v>
      </c>
      <c r="B49" s="30"/>
      <c r="C49" s="14" t="s">
        <v>2</v>
      </c>
      <c r="D49" s="14">
        <v>2023</v>
      </c>
      <c r="E49" s="14" t="s">
        <v>59</v>
      </c>
      <c r="F49" s="13"/>
      <c r="G49" s="14" t="s">
        <v>60</v>
      </c>
      <c r="H49" s="14" t="s">
        <v>2</v>
      </c>
      <c r="I49" s="12" t="s">
        <v>61</v>
      </c>
      <c r="J49" s="12" t="s">
        <v>59</v>
      </c>
    </row>
    <row r="50" spans="1:10" x14ac:dyDescent="0.25">
      <c r="A50" s="29" t="s">
        <v>58</v>
      </c>
      <c r="B50" s="29"/>
      <c r="C50" s="15">
        <f>ROUND(0.8105, 4)</f>
        <v>0.8105</v>
      </c>
      <c r="D50" s="15">
        <f>ROUND(0.7849, 4)</f>
        <v>0.78490000000000004</v>
      </c>
      <c r="E50" s="15">
        <f>ROUND(0.777, 4)</f>
        <v>0.77700000000000002</v>
      </c>
      <c r="F50" s="8"/>
      <c r="G50" s="14" t="s">
        <v>62</v>
      </c>
      <c r="H50" s="33" t="s">
        <v>63</v>
      </c>
      <c r="I50" s="31" t="s">
        <v>64</v>
      </c>
      <c r="J50" s="31" t="s">
        <v>65</v>
      </c>
    </row>
    <row r="51" spans="1:10" x14ac:dyDescent="0.25">
      <c r="A51" s="29" t="s">
        <v>66</v>
      </c>
      <c r="B51" s="29"/>
      <c r="C51" s="15">
        <f>ROUND(0.746, 4)</f>
        <v>0.746</v>
      </c>
      <c r="D51" s="15">
        <f>ROUND(0.7148, 4)</f>
        <v>0.71479999999999999</v>
      </c>
      <c r="E51" s="15">
        <f>ROUND(0.7608, 4)</f>
        <v>0.76080000000000003</v>
      </c>
      <c r="F51" s="8"/>
      <c r="G51" s="14" t="s">
        <v>67</v>
      </c>
      <c r="H51" s="34"/>
      <c r="I51" s="32"/>
      <c r="J51" s="32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A55" s="30" t="s">
        <v>68</v>
      </c>
      <c r="B55" s="30"/>
      <c r="C55" s="14" t="s">
        <v>2</v>
      </c>
      <c r="D55" s="14" t="s">
        <v>134</v>
      </c>
      <c r="E55" s="14" t="s">
        <v>70</v>
      </c>
      <c r="F55" s="14" t="s">
        <v>71</v>
      </c>
      <c r="G55" s="14" t="s">
        <v>72</v>
      </c>
      <c r="H55" s="13"/>
      <c r="I55" s="17"/>
      <c r="J55" s="17"/>
    </row>
    <row r="56" spans="1:10" x14ac:dyDescent="0.25">
      <c r="A56" s="29" t="s">
        <v>73</v>
      </c>
      <c r="B56" s="29"/>
      <c r="C56" s="16">
        <v>69.17</v>
      </c>
      <c r="D56" s="16">
        <v>64.819999999999993</v>
      </c>
      <c r="E56" s="16">
        <v>93.87</v>
      </c>
      <c r="F56" s="16">
        <v>57.16</v>
      </c>
      <c r="G56" s="16">
        <f>12/12*C56</f>
        <v>69.17</v>
      </c>
      <c r="H56" s="8"/>
      <c r="I56" s="9"/>
      <c r="J56" s="9"/>
    </row>
    <row r="57" spans="1:10" x14ac:dyDescent="0.25">
      <c r="A57" s="29" t="s">
        <v>74</v>
      </c>
      <c r="B57" s="29"/>
      <c r="C57" s="16">
        <v>94.91</v>
      </c>
      <c r="D57" s="16">
        <v>75.239999999999995</v>
      </c>
      <c r="E57" s="16">
        <v>62.84</v>
      </c>
      <c r="F57" s="16">
        <v>65.39</v>
      </c>
      <c r="G57" s="22">
        <f>12/12*C57</f>
        <v>94.91</v>
      </c>
      <c r="H57" s="8"/>
      <c r="I57" s="9"/>
      <c r="J57" s="9"/>
    </row>
    <row r="58" spans="1:10" x14ac:dyDescent="0.25">
      <c r="A58" s="29" t="s">
        <v>75</v>
      </c>
      <c r="B58" s="29"/>
      <c r="C58" s="16">
        <v>280.8</v>
      </c>
      <c r="D58" s="16">
        <v>253.29</v>
      </c>
      <c r="E58" s="16">
        <v>295.08999999999997</v>
      </c>
      <c r="F58" s="16">
        <v>289.06</v>
      </c>
      <c r="G58" s="22">
        <f>12/12*C58</f>
        <v>280.8</v>
      </c>
      <c r="H58" s="8"/>
      <c r="I58" s="9"/>
      <c r="J58" s="9"/>
    </row>
    <row r="59" spans="1:10" x14ac:dyDescent="0.25">
      <c r="A59" s="29" t="s">
        <v>76</v>
      </c>
      <c r="B59" s="29"/>
      <c r="C59" s="16">
        <v>86.11</v>
      </c>
      <c r="D59" s="16">
        <v>75.64</v>
      </c>
      <c r="E59" s="16">
        <v>118.05</v>
      </c>
      <c r="F59" s="16">
        <v>81.41</v>
      </c>
      <c r="G59" s="16">
        <f>12/12*C59</f>
        <v>86.11</v>
      </c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A62" s="28" t="s">
        <v>60</v>
      </c>
      <c r="B62" s="35"/>
      <c r="C62" s="8"/>
      <c r="D62" s="8"/>
      <c r="E62" s="8"/>
      <c r="F62" s="8"/>
      <c r="G62" s="8"/>
      <c r="H62" s="8"/>
      <c r="I62" s="9"/>
      <c r="J62" s="9"/>
    </row>
    <row r="63" spans="1:10" x14ac:dyDescent="0.25">
      <c r="A63" s="3" t="s">
        <v>77</v>
      </c>
      <c r="B63" s="1" t="s">
        <v>135</v>
      </c>
      <c r="C63" s="8"/>
      <c r="D63" s="8"/>
      <c r="E63" s="8"/>
      <c r="F63" s="8"/>
      <c r="G63" s="8"/>
      <c r="H63" s="8"/>
      <c r="I63" s="9"/>
      <c r="J63" s="9"/>
    </row>
    <row r="64" spans="1:10" x14ac:dyDescent="0.25">
      <c r="A64" s="3" t="s">
        <v>70</v>
      </c>
      <c r="B64" s="1" t="s">
        <v>79</v>
      </c>
      <c r="C64" s="8"/>
      <c r="D64" s="8"/>
      <c r="E64" s="8"/>
      <c r="F64" s="8"/>
      <c r="G64" s="8"/>
      <c r="H64" s="8"/>
      <c r="I64" s="9"/>
      <c r="J64" s="9"/>
    </row>
    <row r="65" spans="1:10" x14ac:dyDescent="0.25">
      <c r="A65" s="3" t="s">
        <v>71</v>
      </c>
      <c r="B65" s="1" t="s">
        <v>80</v>
      </c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3" t="s">
        <v>72</v>
      </c>
      <c r="B66" s="1" t="s">
        <v>81</v>
      </c>
      <c r="C66" s="8"/>
      <c r="D66" s="8"/>
      <c r="E66" s="8"/>
      <c r="F66" s="8"/>
      <c r="G66" s="8"/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C68" s="8"/>
      <c r="D68" s="8"/>
      <c r="E68" s="8"/>
      <c r="F68" s="8"/>
      <c r="G68" s="8"/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</sheetData>
  <mergeCells count="19">
    <mergeCell ref="A57:B57"/>
    <mergeCell ref="A58:B58"/>
    <mergeCell ref="A59:B59"/>
    <mergeCell ref="A62:B62"/>
    <mergeCell ref="I50:I51"/>
    <mergeCell ref="J50:J51"/>
    <mergeCell ref="A51:B51"/>
    <mergeCell ref="A55:B55"/>
    <mergeCell ref="A56:B56"/>
    <mergeCell ref="A43:B43"/>
    <mergeCell ref="A44:B44"/>
    <mergeCell ref="A49:B49"/>
    <mergeCell ref="A50:B50"/>
    <mergeCell ref="H50:H51"/>
    <mergeCell ref="C7:G7"/>
    <mergeCell ref="A35:B35"/>
    <mergeCell ref="A36:B36"/>
    <mergeCell ref="A41:B41"/>
    <mergeCell ref="A42:B4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70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6.57031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136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426</v>
      </c>
    </row>
    <row r="7" spans="1:10" x14ac:dyDescent="0.25">
      <c r="C7" s="28" t="s">
        <v>5</v>
      </c>
      <c r="D7" s="29"/>
      <c r="E7" s="29"/>
      <c r="F7" s="29"/>
      <c r="G7" s="29"/>
    </row>
    <row r="8" spans="1:10" x14ac:dyDescent="0.25">
      <c r="A8" s="25" t="s">
        <v>6</v>
      </c>
      <c r="B8" s="25" t="s">
        <v>7</v>
      </c>
      <c r="C8" s="27" t="s">
        <v>8</v>
      </c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9</v>
      </c>
      <c r="F9" s="10"/>
      <c r="G9" s="10">
        <f t="shared" ref="G9:G38" si="0">SUM(C9:F9)</f>
        <v>9</v>
      </c>
      <c r="H9" s="16">
        <f t="shared" ref="H9:H38" si="1">ROUND(G9/426,2)</f>
        <v>0.02</v>
      </c>
      <c r="I9" s="15">
        <f t="shared" ref="I9:I38" si="2">ROUND(G9/$G$39,3)</f>
        <v>0</v>
      </c>
      <c r="J9" s="15"/>
    </row>
    <row r="10" spans="1:10" x14ac:dyDescent="0.25">
      <c r="A10" s="1" t="s">
        <v>16</v>
      </c>
      <c r="B10" s="1" t="s">
        <v>19</v>
      </c>
      <c r="C10" s="10">
        <v>17730</v>
      </c>
      <c r="D10" s="10"/>
      <c r="E10" s="10">
        <v>1226</v>
      </c>
      <c r="F10" s="10"/>
      <c r="G10" s="10">
        <f t="shared" si="0"/>
        <v>18956</v>
      </c>
      <c r="H10" s="16">
        <f t="shared" si="1"/>
        <v>44.5</v>
      </c>
      <c r="I10" s="15">
        <f t="shared" si="2"/>
        <v>8.7999999999999995E-2</v>
      </c>
      <c r="J10" s="15">
        <f>ROUND(G10/19207.66-1,2)</f>
        <v>-0.01</v>
      </c>
    </row>
    <row r="11" spans="1:10" x14ac:dyDescent="0.25">
      <c r="A11" s="1" t="s">
        <v>16</v>
      </c>
      <c r="B11" s="1" t="s">
        <v>20</v>
      </c>
      <c r="C11" s="10">
        <v>35825</v>
      </c>
      <c r="D11" s="10"/>
      <c r="E11" s="10"/>
      <c r="F11" s="10"/>
      <c r="G11" s="10">
        <f t="shared" si="0"/>
        <v>35825</v>
      </c>
      <c r="H11" s="16">
        <f t="shared" si="1"/>
        <v>84.1</v>
      </c>
      <c r="I11" s="15">
        <f t="shared" si="2"/>
        <v>0.16600000000000001</v>
      </c>
      <c r="J11" s="15">
        <f>ROUND(G11/32490-1,2)</f>
        <v>0.1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46</v>
      </c>
      <c r="F12" s="10"/>
      <c r="G12" s="10">
        <f t="shared" si="0"/>
        <v>46</v>
      </c>
      <c r="H12" s="16">
        <f t="shared" si="1"/>
        <v>0.11</v>
      </c>
      <c r="I12" s="15">
        <f t="shared" si="2"/>
        <v>0</v>
      </c>
      <c r="J12" s="15">
        <f>ROUND(G12/34.29-1,2)</f>
        <v>0.34</v>
      </c>
    </row>
    <row r="13" spans="1:10" x14ac:dyDescent="0.25">
      <c r="A13" s="1" t="s">
        <v>16</v>
      </c>
      <c r="B13" s="1" t="s">
        <v>22</v>
      </c>
      <c r="C13" s="10"/>
      <c r="D13" s="10"/>
      <c r="E13" s="10">
        <v>520</v>
      </c>
      <c r="F13" s="10"/>
      <c r="G13" s="10">
        <f t="shared" si="0"/>
        <v>520</v>
      </c>
      <c r="H13" s="16">
        <f t="shared" si="1"/>
        <v>1.22</v>
      </c>
      <c r="I13" s="15">
        <f t="shared" si="2"/>
        <v>2E-3</v>
      </c>
      <c r="J13" s="15"/>
    </row>
    <row r="14" spans="1:10" x14ac:dyDescent="0.25">
      <c r="A14" s="1" t="s">
        <v>16</v>
      </c>
      <c r="B14" s="1" t="s">
        <v>23</v>
      </c>
      <c r="C14" s="10"/>
      <c r="D14" s="10"/>
      <c r="E14" s="10">
        <v>25401</v>
      </c>
      <c r="F14" s="10"/>
      <c r="G14" s="10">
        <f t="shared" si="0"/>
        <v>25401</v>
      </c>
      <c r="H14" s="16">
        <f t="shared" si="1"/>
        <v>59.63</v>
      </c>
      <c r="I14" s="15">
        <f t="shared" si="2"/>
        <v>0.11799999999999999</v>
      </c>
      <c r="J14" s="15">
        <f>ROUND(G14/4286.17-1,2)</f>
        <v>4.93</v>
      </c>
    </row>
    <row r="15" spans="1:10" x14ac:dyDescent="0.25">
      <c r="A15" s="1" t="s">
        <v>16</v>
      </c>
      <c r="B15" s="1" t="s">
        <v>24</v>
      </c>
      <c r="C15" s="10">
        <v>25550</v>
      </c>
      <c r="D15" s="10"/>
      <c r="E15" s="10">
        <v>4045</v>
      </c>
      <c r="F15" s="10"/>
      <c r="G15" s="10">
        <f t="shared" si="0"/>
        <v>29595</v>
      </c>
      <c r="H15" s="16">
        <f t="shared" si="1"/>
        <v>69.47</v>
      </c>
      <c r="I15" s="15">
        <f t="shared" si="2"/>
        <v>0.13700000000000001</v>
      </c>
      <c r="J15" s="15">
        <f>ROUND(G15/27881.06-1,2)</f>
        <v>0.06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766</v>
      </c>
      <c r="F16" s="10"/>
      <c r="G16" s="10">
        <f t="shared" si="0"/>
        <v>766</v>
      </c>
      <c r="H16" s="16">
        <f t="shared" si="1"/>
        <v>1.8</v>
      </c>
      <c r="I16" s="15">
        <f t="shared" si="2"/>
        <v>4.0000000000000001E-3</v>
      </c>
      <c r="J16" s="15"/>
    </row>
    <row r="17" spans="1:10" x14ac:dyDescent="0.25">
      <c r="A17" s="1" t="s">
        <v>16</v>
      </c>
      <c r="B17" s="1" t="s">
        <v>26</v>
      </c>
      <c r="C17" s="10">
        <v>18590</v>
      </c>
      <c r="D17" s="10"/>
      <c r="E17" s="10"/>
      <c r="F17" s="10"/>
      <c r="G17" s="10">
        <f t="shared" si="0"/>
        <v>18590</v>
      </c>
      <c r="H17" s="16">
        <f t="shared" si="1"/>
        <v>43.64</v>
      </c>
      <c r="I17" s="15">
        <f t="shared" si="2"/>
        <v>8.5999999999999993E-2</v>
      </c>
      <c r="J17" s="15">
        <f>ROUND(G17/18060-1,2)</f>
        <v>0.03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245</v>
      </c>
      <c r="F18" s="10"/>
      <c r="G18" s="10">
        <f t="shared" si="0"/>
        <v>245</v>
      </c>
      <c r="H18" s="16">
        <f t="shared" si="1"/>
        <v>0.57999999999999996</v>
      </c>
      <c r="I18" s="15">
        <f t="shared" si="2"/>
        <v>1E-3</v>
      </c>
      <c r="J18" s="15"/>
    </row>
    <row r="19" spans="1:10" x14ac:dyDescent="0.25">
      <c r="A19" s="1" t="s">
        <v>16</v>
      </c>
      <c r="B19" s="1" t="s">
        <v>28</v>
      </c>
      <c r="C19" s="10"/>
      <c r="D19" s="10"/>
      <c r="E19" s="10">
        <v>130</v>
      </c>
      <c r="F19" s="10"/>
      <c r="G19" s="10">
        <f t="shared" si="0"/>
        <v>130</v>
      </c>
      <c r="H19" s="16">
        <f t="shared" si="1"/>
        <v>0.31</v>
      </c>
      <c r="I19" s="15">
        <f t="shared" si="2"/>
        <v>1E-3</v>
      </c>
      <c r="J19" s="15"/>
    </row>
    <row r="20" spans="1:10" x14ac:dyDescent="0.25">
      <c r="A20" s="1" t="s">
        <v>16</v>
      </c>
      <c r="B20" s="1" t="s">
        <v>29</v>
      </c>
      <c r="C20" s="10"/>
      <c r="D20" s="10"/>
      <c r="E20" s="10">
        <v>442</v>
      </c>
      <c r="F20" s="10"/>
      <c r="G20" s="10">
        <f t="shared" si="0"/>
        <v>442</v>
      </c>
      <c r="H20" s="16">
        <f t="shared" si="1"/>
        <v>1.04</v>
      </c>
      <c r="I20" s="15">
        <f t="shared" si="2"/>
        <v>2E-3</v>
      </c>
      <c r="J20" s="15">
        <f>ROUND(G20/208.89-1,2)</f>
        <v>1.1200000000000001</v>
      </c>
    </row>
    <row r="21" spans="1:10" x14ac:dyDescent="0.25">
      <c r="A21" s="1" t="s">
        <v>16</v>
      </c>
      <c r="B21" s="1" t="s">
        <v>30</v>
      </c>
      <c r="C21" s="10"/>
      <c r="D21" s="10"/>
      <c r="E21" s="10">
        <v>131</v>
      </c>
      <c r="F21" s="10"/>
      <c r="G21" s="10">
        <f t="shared" si="0"/>
        <v>131</v>
      </c>
      <c r="H21" s="16">
        <f t="shared" si="1"/>
        <v>0.31</v>
      </c>
      <c r="I21" s="15">
        <f t="shared" si="2"/>
        <v>1E-3</v>
      </c>
      <c r="J21" s="15">
        <f>ROUND(G21/76.13-1,2)</f>
        <v>0.72</v>
      </c>
    </row>
    <row r="22" spans="1:10" x14ac:dyDescent="0.25">
      <c r="A22" s="1" t="s">
        <v>16</v>
      </c>
      <c r="B22" s="1" t="s">
        <v>32</v>
      </c>
      <c r="C22" s="10"/>
      <c r="D22" s="10"/>
      <c r="E22" s="10">
        <v>465</v>
      </c>
      <c r="F22" s="10"/>
      <c r="G22" s="10">
        <f t="shared" si="0"/>
        <v>465</v>
      </c>
      <c r="H22" s="16">
        <f t="shared" si="1"/>
        <v>1.0900000000000001</v>
      </c>
      <c r="I22" s="15">
        <f t="shared" si="2"/>
        <v>2E-3</v>
      </c>
      <c r="J22" s="15">
        <f>ROUND(G22/520-1,2)</f>
        <v>-0.11</v>
      </c>
    </row>
    <row r="23" spans="1:10" x14ac:dyDescent="0.25">
      <c r="A23" s="1" t="s">
        <v>16</v>
      </c>
      <c r="B23" s="1" t="s">
        <v>33</v>
      </c>
      <c r="C23" s="10"/>
      <c r="D23" s="10"/>
      <c r="E23" s="10">
        <v>57</v>
      </c>
      <c r="F23" s="10"/>
      <c r="G23" s="10">
        <f t="shared" si="0"/>
        <v>57</v>
      </c>
      <c r="H23" s="16">
        <f t="shared" si="1"/>
        <v>0.13</v>
      </c>
      <c r="I23" s="15">
        <f t="shared" si="2"/>
        <v>0</v>
      </c>
      <c r="J23" s="15"/>
    </row>
    <row r="24" spans="1:10" x14ac:dyDescent="0.25">
      <c r="A24" s="1" t="s">
        <v>16</v>
      </c>
      <c r="B24" s="1" t="s">
        <v>34</v>
      </c>
      <c r="C24" s="10"/>
      <c r="D24" s="10"/>
      <c r="E24" s="10">
        <v>62</v>
      </c>
      <c r="F24" s="10"/>
      <c r="G24" s="10">
        <f t="shared" si="0"/>
        <v>62</v>
      </c>
      <c r="H24" s="16">
        <f t="shared" si="1"/>
        <v>0.15</v>
      </c>
      <c r="I24" s="15">
        <f t="shared" si="2"/>
        <v>0</v>
      </c>
      <c r="J24" s="15"/>
    </row>
    <row r="25" spans="1:10" x14ac:dyDescent="0.25">
      <c r="A25" s="1" t="s">
        <v>16</v>
      </c>
      <c r="B25" s="1" t="s">
        <v>43</v>
      </c>
      <c r="C25" s="10"/>
      <c r="D25" s="10"/>
      <c r="E25" s="10">
        <v>564</v>
      </c>
      <c r="F25" s="10"/>
      <c r="G25" s="10">
        <f t="shared" si="0"/>
        <v>564</v>
      </c>
      <c r="H25" s="16">
        <f t="shared" si="1"/>
        <v>1.32</v>
      </c>
      <c r="I25" s="15">
        <f t="shared" si="2"/>
        <v>3.0000000000000001E-3</v>
      </c>
      <c r="J25" s="15"/>
    </row>
    <row r="26" spans="1:10" x14ac:dyDescent="0.25">
      <c r="A26" s="1" t="s">
        <v>16</v>
      </c>
      <c r="B26" s="1" t="s">
        <v>37</v>
      </c>
      <c r="C26" s="10"/>
      <c r="D26" s="10"/>
      <c r="E26" s="10">
        <v>676</v>
      </c>
      <c r="F26" s="10"/>
      <c r="G26" s="10">
        <f t="shared" si="0"/>
        <v>676</v>
      </c>
      <c r="H26" s="16">
        <f t="shared" si="1"/>
        <v>1.59</v>
      </c>
      <c r="I26" s="15">
        <f t="shared" si="2"/>
        <v>3.0000000000000001E-3</v>
      </c>
      <c r="J26" s="15">
        <f>ROUND(G26/162.22-1,2)</f>
        <v>3.17</v>
      </c>
    </row>
    <row r="27" spans="1:10" x14ac:dyDescent="0.25">
      <c r="A27" s="1" t="s">
        <v>16</v>
      </c>
      <c r="B27" s="1" t="s">
        <v>38</v>
      </c>
      <c r="C27" s="10"/>
      <c r="D27" s="10"/>
      <c r="E27" s="10">
        <v>15326</v>
      </c>
      <c r="F27" s="10"/>
      <c r="G27" s="10">
        <f t="shared" si="0"/>
        <v>15326</v>
      </c>
      <c r="H27" s="16">
        <f t="shared" si="1"/>
        <v>35.979999999999997</v>
      </c>
      <c r="I27" s="15">
        <f t="shared" si="2"/>
        <v>7.0999999999999994E-2</v>
      </c>
      <c r="J27" s="15">
        <f>ROUND(G27/6641.66-1,2)</f>
        <v>1.31</v>
      </c>
    </row>
    <row r="28" spans="1:10" x14ac:dyDescent="0.25">
      <c r="A28" s="1" t="s">
        <v>16</v>
      </c>
      <c r="B28" s="1" t="s">
        <v>40</v>
      </c>
      <c r="C28" s="10"/>
      <c r="D28" s="10"/>
      <c r="E28" s="10">
        <v>5653</v>
      </c>
      <c r="F28" s="10"/>
      <c r="G28" s="10">
        <f t="shared" si="0"/>
        <v>5653</v>
      </c>
      <c r="H28" s="16">
        <f t="shared" si="1"/>
        <v>13.27</v>
      </c>
      <c r="I28" s="15">
        <f t="shared" si="2"/>
        <v>2.5999999999999999E-2</v>
      </c>
      <c r="J28" s="15">
        <f>ROUND(G28/2472.19-1,2)</f>
        <v>1.29</v>
      </c>
    </row>
    <row r="29" spans="1:10" x14ac:dyDescent="0.25">
      <c r="A29" s="1" t="s">
        <v>16</v>
      </c>
      <c r="B29" s="1" t="s">
        <v>41</v>
      </c>
      <c r="C29" s="10"/>
      <c r="D29" s="10"/>
      <c r="E29" s="10">
        <v>2464</v>
      </c>
      <c r="F29" s="10"/>
      <c r="G29" s="10">
        <f t="shared" si="0"/>
        <v>2464</v>
      </c>
      <c r="H29" s="16">
        <f t="shared" si="1"/>
        <v>5.78</v>
      </c>
      <c r="I29" s="15">
        <f t="shared" si="2"/>
        <v>1.0999999999999999E-2</v>
      </c>
      <c r="J29" s="15">
        <f>ROUND(G29/1039.82-1,2)</f>
        <v>1.37</v>
      </c>
    </row>
    <row r="30" spans="1:10" x14ac:dyDescent="0.25">
      <c r="A30" s="1" t="s">
        <v>16</v>
      </c>
      <c r="B30" s="1" t="s">
        <v>36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>
        <f>ROUND(G30/541.9-1,2)</f>
        <v>-1</v>
      </c>
    </row>
    <row r="31" spans="1:10" x14ac:dyDescent="0.25">
      <c r="A31" s="1" t="s">
        <v>16</v>
      </c>
      <c r="B31" s="1" t="s">
        <v>35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>
        <f>ROUND(G31/188.33-1,2)</f>
        <v>-1</v>
      </c>
    </row>
    <row r="32" spans="1:10" x14ac:dyDescent="0.25">
      <c r="A32" s="1" t="s">
        <v>16</v>
      </c>
      <c r="B32" s="1" t="s">
        <v>42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/>
    </row>
    <row r="33" spans="1:10" x14ac:dyDescent="0.25">
      <c r="A33" s="1" t="s">
        <v>16</v>
      </c>
      <c r="B33" s="1" t="s">
        <v>31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/>
    </row>
    <row r="34" spans="1:10" x14ac:dyDescent="0.25">
      <c r="A34" s="1" t="s">
        <v>16</v>
      </c>
      <c r="B34" s="1" t="s">
        <v>39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/>
    </row>
    <row r="35" spans="1:10" x14ac:dyDescent="0.25">
      <c r="A35" s="1" t="s">
        <v>44</v>
      </c>
      <c r="B35" s="1" t="s">
        <v>45</v>
      </c>
      <c r="C35" s="10">
        <v>50990</v>
      </c>
      <c r="D35" s="10"/>
      <c r="E35" s="10"/>
      <c r="F35" s="10"/>
      <c r="G35" s="10">
        <f t="shared" si="0"/>
        <v>50990</v>
      </c>
      <c r="H35" s="16">
        <f t="shared" si="1"/>
        <v>119.69</v>
      </c>
      <c r="I35" s="15">
        <f t="shared" si="2"/>
        <v>0.23699999999999999</v>
      </c>
      <c r="J35" s="15">
        <f>ROUND(G35/64640-1,2)</f>
        <v>-0.21</v>
      </c>
    </row>
    <row r="36" spans="1:10" x14ac:dyDescent="0.25">
      <c r="A36" s="1" t="s">
        <v>44</v>
      </c>
      <c r="B36" s="1" t="s">
        <v>46</v>
      </c>
      <c r="C36" s="10"/>
      <c r="D36" s="10"/>
      <c r="E36" s="10">
        <v>8406</v>
      </c>
      <c r="F36" s="10"/>
      <c r="G36" s="10">
        <f t="shared" si="0"/>
        <v>8406</v>
      </c>
      <c r="H36" s="16">
        <f t="shared" si="1"/>
        <v>19.73</v>
      </c>
      <c r="I36" s="15">
        <f t="shared" si="2"/>
        <v>3.9E-2</v>
      </c>
      <c r="J36" s="15">
        <f>ROUND(G36/4301.25-1,2)</f>
        <v>0.95</v>
      </c>
    </row>
    <row r="37" spans="1:10" x14ac:dyDescent="0.25">
      <c r="A37" s="1" t="s">
        <v>44</v>
      </c>
      <c r="B37" s="1" t="s">
        <v>47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1" t="s">
        <v>48</v>
      </c>
      <c r="B38" s="1" t="s">
        <v>51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30" t="s">
        <v>12</v>
      </c>
      <c r="B39" s="30"/>
      <c r="C39" s="11">
        <f t="shared" ref="C39:H39" si="3">SUM(C8:C38)</f>
        <v>148685</v>
      </c>
      <c r="D39" s="11">
        <f t="shared" si="3"/>
        <v>0</v>
      </c>
      <c r="E39" s="11">
        <f t="shared" si="3"/>
        <v>66634</v>
      </c>
      <c r="F39" s="11">
        <f t="shared" si="3"/>
        <v>0</v>
      </c>
      <c r="G39" s="11">
        <f t="shared" si="3"/>
        <v>215319</v>
      </c>
      <c r="H39" s="14">
        <f t="shared" si="3"/>
        <v>505.45999999999992</v>
      </c>
      <c r="I39" s="17"/>
      <c r="J39" s="17"/>
    </row>
    <row r="40" spans="1:10" x14ac:dyDescent="0.25">
      <c r="A40" s="30" t="s">
        <v>14</v>
      </c>
      <c r="B40" s="30"/>
      <c r="C40" s="12">
        <f>ROUND(C39/G39,2)</f>
        <v>0.69</v>
      </c>
      <c r="D40" s="12">
        <f>ROUND(D39/G39,2)</f>
        <v>0</v>
      </c>
      <c r="E40" s="12">
        <f>ROUND(E39/G39,2)</f>
        <v>0.31</v>
      </c>
      <c r="F40" s="12">
        <f>ROUND(F39/G39,2)</f>
        <v>0</v>
      </c>
      <c r="G40" s="13"/>
      <c r="H40" s="13"/>
      <c r="I40" s="17"/>
      <c r="J40" s="17"/>
    </row>
    <row r="41" spans="1:10" x14ac:dyDescent="0.25">
      <c r="A41" s="2" t="s">
        <v>52</v>
      </c>
      <c r="B41" s="2"/>
      <c r="C41" s="13"/>
      <c r="D41" s="13"/>
      <c r="E41" s="13"/>
      <c r="F41" s="13"/>
      <c r="G41" s="13"/>
      <c r="H41" s="13"/>
      <c r="I41" s="17"/>
      <c r="J41" s="17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A45" s="30" t="s">
        <v>53</v>
      </c>
      <c r="B45" s="30"/>
      <c r="C45" s="11" t="s">
        <v>8</v>
      </c>
      <c r="D45" s="11" t="s">
        <v>9</v>
      </c>
      <c r="E45" s="11" t="s">
        <v>10</v>
      </c>
      <c r="F45" s="11" t="s">
        <v>11</v>
      </c>
      <c r="G45" s="11" t="s">
        <v>12</v>
      </c>
      <c r="H45" s="14" t="s">
        <v>13</v>
      </c>
      <c r="I45" s="17"/>
      <c r="J45" s="17"/>
    </row>
    <row r="46" spans="1:10" x14ac:dyDescent="0.25">
      <c r="A46" s="29" t="s">
        <v>54</v>
      </c>
      <c r="B46" s="29"/>
      <c r="C46" s="10">
        <v>97695</v>
      </c>
      <c r="D46" s="10">
        <v>0</v>
      </c>
      <c r="E46" s="10">
        <v>58228</v>
      </c>
      <c r="F46" s="10">
        <v>0</v>
      </c>
      <c r="G46" s="10">
        <f>SUM(C46:F46)</f>
        <v>155923</v>
      </c>
      <c r="H46" s="16">
        <f>ROUND(G46/426,2)</f>
        <v>366.02</v>
      </c>
      <c r="I46" s="9"/>
      <c r="J46" s="9"/>
    </row>
    <row r="47" spans="1:10" x14ac:dyDescent="0.25">
      <c r="A47" s="29" t="s">
        <v>55</v>
      </c>
      <c r="B47" s="29"/>
      <c r="C47" s="10">
        <v>50990</v>
      </c>
      <c r="D47" s="10">
        <v>0</v>
      </c>
      <c r="E47" s="10">
        <v>8406</v>
      </c>
      <c r="F47" s="10">
        <v>0</v>
      </c>
      <c r="G47" s="10">
        <f>SUM(C47:F47)</f>
        <v>59396</v>
      </c>
      <c r="H47" s="16">
        <f>ROUND(G47/426,2)</f>
        <v>139.43</v>
      </c>
      <c r="I47" s="9"/>
      <c r="J47" s="9"/>
    </row>
    <row r="48" spans="1:10" x14ac:dyDescent="0.25">
      <c r="A48" s="29" t="s">
        <v>56</v>
      </c>
      <c r="B48" s="29"/>
      <c r="C48" s="10">
        <v>0</v>
      </c>
      <c r="D48" s="10">
        <v>0</v>
      </c>
      <c r="E48" s="10">
        <v>0</v>
      </c>
      <c r="F48" s="10">
        <v>0</v>
      </c>
      <c r="G48" s="10">
        <f>SUM(C48:F48)</f>
        <v>0</v>
      </c>
      <c r="H48" s="16">
        <f>ROUND(G48/426,2)</f>
        <v>0</v>
      </c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A53" s="30" t="s">
        <v>57</v>
      </c>
      <c r="B53" s="30"/>
      <c r="C53" s="14" t="s">
        <v>2</v>
      </c>
      <c r="D53" s="14">
        <v>2023</v>
      </c>
      <c r="E53" s="14" t="s">
        <v>59</v>
      </c>
      <c r="F53" s="13"/>
      <c r="G53" s="14" t="s">
        <v>60</v>
      </c>
      <c r="H53" s="14" t="s">
        <v>2</v>
      </c>
      <c r="I53" s="12" t="s">
        <v>61</v>
      </c>
      <c r="J53" s="12" t="s">
        <v>59</v>
      </c>
    </row>
    <row r="54" spans="1:10" x14ac:dyDescent="0.25">
      <c r="A54" s="29" t="s">
        <v>58</v>
      </c>
      <c r="B54" s="29"/>
      <c r="C54" s="15">
        <f>ROUND(0.7299, 4)</f>
        <v>0.72989999999999999</v>
      </c>
      <c r="D54" s="15">
        <f>ROUND(0.6353, 4)</f>
        <v>0.63529999999999998</v>
      </c>
      <c r="E54" s="15">
        <f>ROUND(0.777, 4)</f>
        <v>0.77700000000000002</v>
      </c>
      <c r="F54" s="8"/>
      <c r="G54" s="14" t="s">
        <v>62</v>
      </c>
      <c r="H54" s="33" t="s">
        <v>63</v>
      </c>
      <c r="I54" s="31" t="s">
        <v>64</v>
      </c>
      <c r="J54" s="31" t="s">
        <v>65</v>
      </c>
    </row>
    <row r="55" spans="1:10" x14ac:dyDescent="0.25">
      <c r="A55" s="29" t="s">
        <v>66</v>
      </c>
      <c r="B55" s="29"/>
      <c r="C55" s="15">
        <f>ROUND(0.6927, 4)</f>
        <v>0.69269999999999998</v>
      </c>
      <c r="D55" s="15">
        <f>ROUND(0.5952, 4)</f>
        <v>0.59519999999999995</v>
      </c>
      <c r="E55" s="15">
        <f>ROUND(0.7608, 4)</f>
        <v>0.76080000000000003</v>
      </c>
      <c r="F55" s="8"/>
      <c r="G55" s="14" t="s">
        <v>67</v>
      </c>
      <c r="H55" s="34"/>
      <c r="I55" s="32"/>
      <c r="J55" s="32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21"/>
      <c r="H57" s="8"/>
      <c r="I57" s="9"/>
      <c r="J57" s="9"/>
    </row>
    <row r="58" spans="1:10" x14ac:dyDescent="0.25">
      <c r="C58" s="8"/>
      <c r="D58" s="8"/>
      <c r="E58" s="8"/>
      <c r="F58" s="8"/>
      <c r="G58" s="21"/>
      <c r="H58" s="8"/>
      <c r="I58" s="9"/>
      <c r="J58" s="9"/>
    </row>
    <row r="59" spans="1:10" x14ac:dyDescent="0.25">
      <c r="A59" s="30" t="s">
        <v>68</v>
      </c>
      <c r="B59" s="30"/>
      <c r="C59" s="14" t="s">
        <v>2</v>
      </c>
      <c r="D59" s="14" t="s">
        <v>137</v>
      </c>
      <c r="E59" s="14" t="s">
        <v>70</v>
      </c>
      <c r="F59" s="14" t="s">
        <v>71</v>
      </c>
      <c r="G59" s="14" t="s">
        <v>72</v>
      </c>
      <c r="H59" s="13"/>
      <c r="I59" s="17"/>
      <c r="J59" s="17"/>
    </row>
    <row r="60" spans="1:10" x14ac:dyDescent="0.25">
      <c r="A60" s="29" t="s">
        <v>73</v>
      </c>
      <c r="B60" s="29"/>
      <c r="C60" s="16">
        <v>119.69</v>
      </c>
      <c r="D60" s="16">
        <v>123.86</v>
      </c>
      <c r="E60" s="16">
        <v>93.87</v>
      </c>
      <c r="F60" s="16">
        <v>57.16</v>
      </c>
      <c r="G60" s="16">
        <f>12/12*C60</f>
        <v>119.69</v>
      </c>
      <c r="H60" s="8"/>
      <c r="I60" s="9"/>
      <c r="J60" s="9"/>
    </row>
    <row r="61" spans="1:10" x14ac:dyDescent="0.25">
      <c r="A61" s="29" t="s">
        <v>74</v>
      </c>
      <c r="B61" s="29"/>
      <c r="C61" s="16">
        <v>43.64</v>
      </c>
      <c r="D61" s="16">
        <v>52.34</v>
      </c>
      <c r="E61" s="16">
        <v>62.84</v>
      </c>
      <c r="F61" s="16">
        <v>65.39</v>
      </c>
      <c r="G61" s="16">
        <f>12/12*C61</f>
        <v>43.64</v>
      </c>
      <c r="H61" s="8"/>
      <c r="I61" s="9"/>
      <c r="J61" s="9"/>
    </row>
    <row r="62" spans="1:10" x14ac:dyDescent="0.25">
      <c r="A62" s="29" t="s">
        <v>75</v>
      </c>
      <c r="B62" s="29"/>
      <c r="C62" s="16">
        <v>366.02</v>
      </c>
      <c r="D62" s="16">
        <v>326.27</v>
      </c>
      <c r="E62" s="16">
        <v>295.08999999999997</v>
      </c>
      <c r="F62" s="16">
        <v>289.06</v>
      </c>
      <c r="G62" s="16">
        <f>12/12*C62</f>
        <v>366.02</v>
      </c>
      <c r="H62" s="8"/>
      <c r="I62" s="9"/>
      <c r="J62" s="9"/>
    </row>
    <row r="63" spans="1:10" x14ac:dyDescent="0.25">
      <c r="A63" s="29" t="s">
        <v>76</v>
      </c>
      <c r="B63" s="29"/>
      <c r="C63" s="16">
        <v>139.43</v>
      </c>
      <c r="D63" s="16">
        <v>158.47999999999999</v>
      </c>
      <c r="E63" s="16">
        <v>118.05</v>
      </c>
      <c r="F63" s="16">
        <v>81.41</v>
      </c>
      <c r="G63" s="16">
        <f>12/12*C63</f>
        <v>139.43</v>
      </c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28" t="s">
        <v>60</v>
      </c>
      <c r="B66" s="35"/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77</v>
      </c>
      <c r="B67" s="1" t="s">
        <v>138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70</v>
      </c>
      <c r="B68" s="1" t="s">
        <v>79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71</v>
      </c>
      <c r="B69" s="1" t="s">
        <v>80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72</v>
      </c>
      <c r="B70" s="1" t="s">
        <v>81</v>
      </c>
      <c r="C70" s="8"/>
      <c r="D70" s="8"/>
      <c r="E70" s="8"/>
      <c r="F70" s="8"/>
      <c r="G70" s="8"/>
      <c r="H70" s="8"/>
      <c r="I70" s="9"/>
      <c r="J70" s="9"/>
    </row>
  </sheetData>
  <mergeCells count="19">
    <mergeCell ref="A61:B61"/>
    <mergeCell ref="A62:B62"/>
    <mergeCell ref="A63:B63"/>
    <mergeCell ref="A66:B66"/>
    <mergeCell ref="I54:I55"/>
    <mergeCell ref="J54:J55"/>
    <mergeCell ref="A55:B55"/>
    <mergeCell ref="A59:B59"/>
    <mergeCell ref="A60:B60"/>
    <mergeCell ref="A47:B47"/>
    <mergeCell ref="A48:B48"/>
    <mergeCell ref="A53:B53"/>
    <mergeCell ref="A54:B54"/>
    <mergeCell ref="H54:H55"/>
    <mergeCell ref="C7:G7"/>
    <mergeCell ref="A39:B39"/>
    <mergeCell ref="A40:B40"/>
    <mergeCell ref="A45:B45"/>
    <mergeCell ref="A46:B4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J75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32.285156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139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3143</v>
      </c>
    </row>
    <row r="7" spans="1:10" x14ac:dyDescent="0.25">
      <c r="C7" s="28" t="s">
        <v>5</v>
      </c>
      <c r="D7" s="29"/>
      <c r="E7" s="29"/>
      <c r="F7" s="29"/>
      <c r="G7" s="29"/>
    </row>
    <row r="8" spans="1:10" x14ac:dyDescent="0.25">
      <c r="A8" s="25" t="s">
        <v>6</v>
      </c>
      <c r="B8" s="25" t="s">
        <v>7</v>
      </c>
      <c r="C8" s="27" t="s">
        <v>8</v>
      </c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42</v>
      </c>
      <c r="F9" s="10"/>
      <c r="G9" s="10">
        <f t="shared" ref="G9:G38" si="0">SUM(C9:F9)</f>
        <v>42</v>
      </c>
      <c r="H9" s="16">
        <f t="shared" ref="H9:H38" si="1">ROUND(G9/3143,2)</f>
        <v>0.01</v>
      </c>
      <c r="I9" s="15">
        <f t="shared" ref="I9:I38" si="2">ROUND(G9/$G$39,3)</f>
        <v>0</v>
      </c>
      <c r="J9" s="15">
        <f>ROUND(G9/80-1,2)</f>
        <v>-0.48</v>
      </c>
    </row>
    <row r="10" spans="1:10" x14ac:dyDescent="0.25">
      <c r="A10" s="1" t="s">
        <v>16</v>
      </c>
      <c r="B10" s="1" t="s">
        <v>19</v>
      </c>
      <c r="C10" s="10">
        <v>98290</v>
      </c>
      <c r="D10" s="10"/>
      <c r="E10" s="10"/>
      <c r="F10" s="10">
        <v>420</v>
      </c>
      <c r="G10" s="10">
        <f t="shared" si="0"/>
        <v>98710</v>
      </c>
      <c r="H10" s="16">
        <f t="shared" si="1"/>
        <v>31.41</v>
      </c>
      <c r="I10" s="15">
        <f t="shared" si="2"/>
        <v>9.9000000000000005E-2</v>
      </c>
      <c r="J10" s="15">
        <f>ROUND(G10/100870-1,2)</f>
        <v>-0.02</v>
      </c>
    </row>
    <row r="11" spans="1:10" x14ac:dyDescent="0.25">
      <c r="A11" s="1" t="s">
        <v>16</v>
      </c>
      <c r="B11" s="1" t="s">
        <v>20</v>
      </c>
      <c r="C11" s="10">
        <v>127340</v>
      </c>
      <c r="D11" s="10"/>
      <c r="E11" s="10"/>
      <c r="F11" s="10"/>
      <c r="G11" s="10">
        <f t="shared" si="0"/>
        <v>127340</v>
      </c>
      <c r="H11" s="16">
        <f t="shared" si="1"/>
        <v>40.520000000000003</v>
      </c>
      <c r="I11" s="15">
        <f t="shared" si="2"/>
        <v>0.127</v>
      </c>
      <c r="J11" s="15">
        <f>ROUND(G11/145360-1,2)</f>
        <v>-0.12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140</v>
      </c>
      <c r="F12" s="10"/>
      <c r="G12" s="10">
        <f t="shared" si="0"/>
        <v>140</v>
      </c>
      <c r="H12" s="16">
        <f t="shared" si="1"/>
        <v>0.04</v>
      </c>
      <c r="I12" s="15">
        <f t="shared" si="2"/>
        <v>0</v>
      </c>
      <c r="J12" s="15">
        <f>ROUND(G12/81-1,2)</f>
        <v>0.73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273</v>
      </c>
      <c r="F13" s="10"/>
      <c r="G13" s="10">
        <f t="shared" si="0"/>
        <v>273</v>
      </c>
      <c r="H13" s="16">
        <f t="shared" si="1"/>
        <v>0.09</v>
      </c>
      <c r="I13" s="15">
        <f t="shared" si="2"/>
        <v>0</v>
      </c>
      <c r="J13" s="15">
        <f>ROUND(G13/204-1,2)</f>
        <v>0.34</v>
      </c>
    </row>
    <row r="14" spans="1:10" x14ac:dyDescent="0.25">
      <c r="A14" s="1" t="s">
        <v>16</v>
      </c>
      <c r="B14" s="1" t="s">
        <v>23</v>
      </c>
      <c r="C14" s="10"/>
      <c r="D14" s="10"/>
      <c r="E14" s="10">
        <v>53580</v>
      </c>
      <c r="F14" s="10"/>
      <c r="G14" s="10">
        <f t="shared" si="0"/>
        <v>53580</v>
      </c>
      <c r="H14" s="16">
        <f t="shared" si="1"/>
        <v>17.05</v>
      </c>
      <c r="I14" s="15">
        <f t="shared" si="2"/>
        <v>5.3999999999999999E-2</v>
      </c>
      <c r="J14" s="15">
        <f>ROUND(G14/20300-1,2)</f>
        <v>1.64</v>
      </c>
    </row>
    <row r="15" spans="1:10" x14ac:dyDescent="0.25">
      <c r="A15" s="1" t="s">
        <v>16</v>
      </c>
      <c r="B15" s="1" t="s">
        <v>24</v>
      </c>
      <c r="C15" s="10">
        <v>143280</v>
      </c>
      <c r="D15" s="10"/>
      <c r="E15" s="10"/>
      <c r="F15" s="10">
        <v>300</v>
      </c>
      <c r="G15" s="10">
        <f t="shared" si="0"/>
        <v>143580</v>
      </c>
      <c r="H15" s="16">
        <f t="shared" si="1"/>
        <v>45.68</v>
      </c>
      <c r="I15" s="15">
        <f t="shared" si="2"/>
        <v>0.14299999999999999</v>
      </c>
      <c r="J15" s="15">
        <f>ROUND(G15/139680-1,2)</f>
        <v>0.03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2955</v>
      </c>
      <c r="F16" s="10"/>
      <c r="G16" s="10">
        <f t="shared" si="0"/>
        <v>2955</v>
      </c>
      <c r="H16" s="16">
        <f t="shared" si="1"/>
        <v>0.94</v>
      </c>
      <c r="I16" s="15">
        <f t="shared" si="2"/>
        <v>3.0000000000000001E-3</v>
      </c>
      <c r="J16" s="15">
        <f>ROUND(G16/3880-1,2)</f>
        <v>-0.24</v>
      </c>
    </row>
    <row r="17" spans="1:10" x14ac:dyDescent="0.25">
      <c r="A17" s="1" t="s">
        <v>16</v>
      </c>
      <c r="B17" s="1" t="s">
        <v>26</v>
      </c>
      <c r="C17" s="10">
        <v>187370</v>
      </c>
      <c r="D17" s="10"/>
      <c r="E17" s="10"/>
      <c r="F17" s="10">
        <v>1090</v>
      </c>
      <c r="G17" s="10">
        <f t="shared" si="0"/>
        <v>188460</v>
      </c>
      <c r="H17" s="16">
        <f t="shared" si="1"/>
        <v>59.96</v>
      </c>
      <c r="I17" s="15">
        <f t="shared" si="2"/>
        <v>0.188</v>
      </c>
      <c r="J17" s="15">
        <f>ROUND(G17/186700-1,2)</f>
        <v>0.01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573</v>
      </c>
      <c r="F18" s="10"/>
      <c r="G18" s="10">
        <f t="shared" si="0"/>
        <v>573</v>
      </c>
      <c r="H18" s="16">
        <f t="shared" si="1"/>
        <v>0.18</v>
      </c>
      <c r="I18" s="15">
        <f t="shared" si="2"/>
        <v>1E-3</v>
      </c>
      <c r="J18" s="15">
        <f>ROUND(G18/178-1,2)</f>
        <v>2.2200000000000002</v>
      </c>
    </row>
    <row r="19" spans="1:10" x14ac:dyDescent="0.25">
      <c r="A19" s="1" t="s">
        <v>16</v>
      </c>
      <c r="B19" s="1" t="s">
        <v>28</v>
      </c>
      <c r="C19" s="10"/>
      <c r="D19" s="10"/>
      <c r="E19" s="10">
        <v>348</v>
      </c>
      <c r="F19" s="10"/>
      <c r="G19" s="10">
        <f t="shared" si="0"/>
        <v>348</v>
      </c>
      <c r="H19" s="16">
        <f t="shared" si="1"/>
        <v>0.11</v>
      </c>
      <c r="I19" s="15">
        <f t="shared" si="2"/>
        <v>0</v>
      </c>
      <c r="J19" s="15">
        <f>ROUND(G19/146-1,2)</f>
        <v>1.38</v>
      </c>
    </row>
    <row r="20" spans="1:10" x14ac:dyDescent="0.25">
      <c r="A20" s="1" t="s">
        <v>16</v>
      </c>
      <c r="B20" s="1" t="s">
        <v>29</v>
      </c>
      <c r="C20" s="10"/>
      <c r="D20" s="10"/>
      <c r="E20" s="10">
        <v>1200</v>
      </c>
      <c r="F20" s="10"/>
      <c r="G20" s="10">
        <f t="shared" si="0"/>
        <v>1200</v>
      </c>
      <c r="H20" s="16">
        <f t="shared" si="1"/>
        <v>0.38</v>
      </c>
      <c r="I20" s="15">
        <f t="shared" si="2"/>
        <v>1E-3</v>
      </c>
      <c r="J20" s="15">
        <f>ROUND(G20/5648-1,2)</f>
        <v>-0.79</v>
      </c>
    </row>
    <row r="21" spans="1:10" x14ac:dyDescent="0.25">
      <c r="A21" s="1" t="s">
        <v>16</v>
      </c>
      <c r="B21" s="1" t="s">
        <v>30</v>
      </c>
      <c r="C21" s="10"/>
      <c r="D21" s="10"/>
      <c r="E21" s="10">
        <v>610</v>
      </c>
      <c r="F21" s="10"/>
      <c r="G21" s="10">
        <f t="shared" si="0"/>
        <v>610</v>
      </c>
      <c r="H21" s="16">
        <f t="shared" si="1"/>
        <v>0.19</v>
      </c>
      <c r="I21" s="15">
        <f t="shared" si="2"/>
        <v>1E-3</v>
      </c>
      <c r="J21" s="15">
        <f>ROUND(G21/810-1,2)</f>
        <v>-0.25</v>
      </c>
    </row>
    <row r="22" spans="1:10" x14ac:dyDescent="0.25">
      <c r="A22" s="1" t="s">
        <v>16</v>
      </c>
      <c r="B22" s="1" t="s">
        <v>31</v>
      </c>
      <c r="C22" s="10"/>
      <c r="D22" s="10"/>
      <c r="E22" s="10">
        <v>600</v>
      </c>
      <c r="F22" s="10"/>
      <c r="G22" s="10">
        <f t="shared" si="0"/>
        <v>600</v>
      </c>
      <c r="H22" s="16">
        <f t="shared" si="1"/>
        <v>0.19</v>
      </c>
      <c r="I22" s="15">
        <f t="shared" si="2"/>
        <v>1E-3</v>
      </c>
      <c r="J22" s="15">
        <f>ROUND(G22/350-1,2)</f>
        <v>0.71</v>
      </c>
    </row>
    <row r="23" spans="1:10" x14ac:dyDescent="0.25">
      <c r="A23" s="1" t="s">
        <v>16</v>
      </c>
      <c r="B23" s="1" t="s">
        <v>32</v>
      </c>
      <c r="C23" s="10"/>
      <c r="D23" s="10"/>
      <c r="E23" s="10">
        <v>1035</v>
      </c>
      <c r="F23" s="10"/>
      <c r="G23" s="10">
        <f t="shared" si="0"/>
        <v>1035</v>
      </c>
      <c r="H23" s="16">
        <f t="shared" si="1"/>
        <v>0.33</v>
      </c>
      <c r="I23" s="15">
        <f t="shared" si="2"/>
        <v>1E-3</v>
      </c>
      <c r="J23" s="15">
        <f>ROUND(G23/665-1,2)</f>
        <v>0.56000000000000005</v>
      </c>
    </row>
    <row r="24" spans="1:10" x14ac:dyDescent="0.25">
      <c r="A24" s="1" t="s">
        <v>16</v>
      </c>
      <c r="B24" s="1" t="s">
        <v>33</v>
      </c>
      <c r="C24" s="10"/>
      <c r="D24" s="10">
        <v>357</v>
      </c>
      <c r="E24" s="10">
        <v>87</v>
      </c>
      <c r="F24" s="10"/>
      <c r="G24" s="10">
        <f t="shared" si="0"/>
        <v>444</v>
      </c>
      <c r="H24" s="16">
        <f t="shared" si="1"/>
        <v>0.14000000000000001</v>
      </c>
      <c r="I24" s="15">
        <f t="shared" si="2"/>
        <v>0</v>
      </c>
      <c r="J24" s="15">
        <f>ROUND(G24/337-1,2)</f>
        <v>0.32</v>
      </c>
    </row>
    <row r="25" spans="1:10" x14ac:dyDescent="0.25">
      <c r="A25" s="1" t="s">
        <v>16</v>
      </c>
      <c r="B25" s="1" t="s">
        <v>34</v>
      </c>
      <c r="C25" s="10"/>
      <c r="D25" s="10"/>
      <c r="E25" s="10">
        <v>710</v>
      </c>
      <c r="F25" s="10"/>
      <c r="G25" s="10">
        <f t="shared" si="0"/>
        <v>710</v>
      </c>
      <c r="H25" s="16">
        <f t="shared" si="1"/>
        <v>0.23</v>
      </c>
      <c r="I25" s="15">
        <f t="shared" si="2"/>
        <v>1E-3</v>
      </c>
      <c r="J25" s="15">
        <f>ROUND(G25/570-1,2)</f>
        <v>0.25</v>
      </c>
    </row>
    <row r="26" spans="1:10" x14ac:dyDescent="0.25">
      <c r="A26" s="1" t="s">
        <v>16</v>
      </c>
      <c r="B26" s="1" t="s">
        <v>35</v>
      </c>
      <c r="C26" s="10"/>
      <c r="D26" s="10"/>
      <c r="E26" s="10">
        <v>580</v>
      </c>
      <c r="F26" s="10"/>
      <c r="G26" s="10">
        <f t="shared" si="0"/>
        <v>580</v>
      </c>
      <c r="H26" s="16">
        <f t="shared" si="1"/>
        <v>0.18</v>
      </c>
      <c r="I26" s="15">
        <f t="shared" si="2"/>
        <v>1E-3</v>
      </c>
      <c r="J26" s="15"/>
    </row>
    <row r="27" spans="1:10" x14ac:dyDescent="0.25">
      <c r="A27" s="1" t="s">
        <v>16</v>
      </c>
      <c r="B27" s="1" t="s">
        <v>36</v>
      </c>
      <c r="C27" s="10"/>
      <c r="D27" s="10"/>
      <c r="E27" s="10">
        <v>752</v>
      </c>
      <c r="F27" s="10"/>
      <c r="G27" s="10">
        <f t="shared" si="0"/>
        <v>752</v>
      </c>
      <c r="H27" s="16">
        <f t="shared" si="1"/>
        <v>0.24</v>
      </c>
      <c r="I27" s="15">
        <f t="shared" si="2"/>
        <v>1E-3</v>
      </c>
      <c r="J27" s="15">
        <f>ROUND(G27/4167-1,2)</f>
        <v>-0.82</v>
      </c>
    </row>
    <row r="28" spans="1:10" x14ac:dyDescent="0.25">
      <c r="A28" s="1" t="s">
        <v>16</v>
      </c>
      <c r="B28" s="1" t="s">
        <v>37</v>
      </c>
      <c r="C28" s="10"/>
      <c r="D28" s="10"/>
      <c r="E28" s="10">
        <v>1176</v>
      </c>
      <c r="F28" s="10"/>
      <c r="G28" s="10">
        <f t="shared" si="0"/>
        <v>1176</v>
      </c>
      <c r="H28" s="16">
        <f t="shared" si="1"/>
        <v>0.37</v>
      </c>
      <c r="I28" s="15">
        <f t="shared" si="2"/>
        <v>1E-3</v>
      </c>
      <c r="J28" s="15">
        <f>ROUND(G28/4203-1,2)</f>
        <v>-0.72</v>
      </c>
    </row>
    <row r="29" spans="1:10" x14ac:dyDescent="0.25">
      <c r="A29" s="1" t="s">
        <v>16</v>
      </c>
      <c r="B29" s="1" t="s">
        <v>43</v>
      </c>
      <c r="C29" s="10"/>
      <c r="D29" s="10"/>
      <c r="E29" s="10">
        <v>3827</v>
      </c>
      <c r="F29" s="10"/>
      <c r="G29" s="10">
        <f t="shared" si="0"/>
        <v>3827</v>
      </c>
      <c r="H29" s="16">
        <f t="shared" si="1"/>
        <v>1.22</v>
      </c>
      <c r="I29" s="15">
        <f t="shared" si="2"/>
        <v>4.0000000000000001E-3</v>
      </c>
      <c r="J29" s="15">
        <f>ROUND(G29/7541-1,2)</f>
        <v>-0.49</v>
      </c>
    </row>
    <row r="30" spans="1:10" x14ac:dyDescent="0.25">
      <c r="A30" s="1" t="s">
        <v>16</v>
      </c>
      <c r="B30" s="1" t="s">
        <v>38</v>
      </c>
      <c r="C30" s="10"/>
      <c r="D30" s="10"/>
      <c r="E30" s="10">
        <v>56400</v>
      </c>
      <c r="F30" s="10"/>
      <c r="G30" s="10">
        <f t="shared" si="0"/>
        <v>56400</v>
      </c>
      <c r="H30" s="16">
        <f t="shared" si="1"/>
        <v>17.940000000000001</v>
      </c>
      <c r="I30" s="15">
        <f t="shared" si="2"/>
        <v>5.6000000000000001E-2</v>
      </c>
      <c r="J30" s="15">
        <f>ROUND(G30/38700-1,2)</f>
        <v>0.46</v>
      </c>
    </row>
    <row r="31" spans="1:10" x14ac:dyDescent="0.25">
      <c r="A31" s="1" t="s">
        <v>16</v>
      </c>
      <c r="B31" s="1" t="s">
        <v>39</v>
      </c>
      <c r="C31" s="10"/>
      <c r="D31" s="10"/>
      <c r="E31" s="10">
        <v>4070</v>
      </c>
      <c r="F31" s="10"/>
      <c r="G31" s="10">
        <f t="shared" si="0"/>
        <v>4070</v>
      </c>
      <c r="H31" s="16">
        <f t="shared" si="1"/>
        <v>1.29</v>
      </c>
      <c r="I31" s="15">
        <f t="shared" si="2"/>
        <v>4.0000000000000001E-3</v>
      </c>
      <c r="J31" s="15">
        <f>ROUND(G31/3975-1,2)</f>
        <v>0.02</v>
      </c>
    </row>
    <row r="32" spans="1:10" x14ac:dyDescent="0.25">
      <c r="A32" s="1" t="s">
        <v>16</v>
      </c>
      <c r="B32" s="1" t="s">
        <v>40</v>
      </c>
      <c r="C32" s="10"/>
      <c r="D32" s="10"/>
      <c r="E32" s="10">
        <v>15310</v>
      </c>
      <c r="F32" s="10"/>
      <c r="G32" s="10">
        <f t="shared" si="0"/>
        <v>15310</v>
      </c>
      <c r="H32" s="16">
        <f t="shared" si="1"/>
        <v>4.87</v>
      </c>
      <c r="I32" s="15">
        <f t="shared" si="2"/>
        <v>1.4999999999999999E-2</v>
      </c>
      <c r="J32" s="15">
        <f>ROUND(G32/13240-1,2)</f>
        <v>0.16</v>
      </c>
    </row>
    <row r="33" spans="1:10" x14ac:dyDescent="0.25">
      <c r="A33" s="1" t="s">
        <v>16</v>
      </c>
      <c r="B33" s="1" t="s">
        <v>41</v>
      </c>
      <c r="C33" s="10"/>
      <c r="D33" s="10"/>
      <c r="E33" s="10">
        <v>76660</v>
      </c>
      <c r="F33" s="10">
        <v>1060</v>
      </c>
      <c r="G33" s="10">
        <f t="shared" si="0"/>
        <v>77720</v>
      </c>
      <c r="H33" s="16">
        <f t="shared" si="1"/>
        <v>24.73</v>
      </c>
      <c r="I33" s="15">
        <f t="shared" si="2"/>
        <v>7.8E-2</v>
      </c>
      <c r="J33" s="15">
        <f>ROUND(G33/76680-1,2)</f>
        <v>0.01</v>
      </c>
    </row>
    <row r="34" spans="1:10" x14ac:dyDescent="0.25">
      <c r="A34" s="1" t="s">
        <v>16</v>
      </c>
      <c r="B34" s="1" t="s">
        <v>42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ROUND(G34/343-1,2)</f>
        <v>-1</v>
      </c>
    </row>
    <row r="35" spans="1:10" x14ac:dyDescent="0.25">
      <c r="A35" s="1" t="s">
        <v>44</v>
      </c>
      <c r="B35" s="1" t="s">
        <v>45</v>
      </c>
      <c r="C35" s="10">
        <v>150070</v>
      </c>
      <c r="D35" s="10"/>
      <c r="E35" s="10"/>
      <c r="F35" s="10"/>
      <c r="G35" s="10">
        <f t="shared" si="0"/>
        <v>150070</v>
      </c>
      <c r="H35" s="16">
        <f t="shared" si="1"/>
        <v>47.75</v>
      </c>
      <c r="I35" s="15">
        <f t="shared" si="2"/>
        <v>0.15</v>
      </c>
      <c r="J35" s="15">
        <f>ROUND(G35/139150-1,2)</f>
        <v>0.08</v>
      </c>
    </row>
    <row r="36" spans="1:10" x14ac:dyDescent="0.25">
      <c r="A36" s="1" t="s">
        <v>44</v>
      </c>
      <c r="B36" s="1" t="s">
        <v>47</v>
      </c>
      <c r="C36" s="10"/>
      <c r="D36" s="10"/>
      <c r="E36" s="10"/>
      <c r="F36" s="10">
        <v>25300</v>
      </c>
      <c r="G36" s="10">
        <f t="shared" si="0"/>
        <v>25300</v>
      </c>
      <c r="H36" s="16">
        <f t="shared" si="1"/>
        <v>8.0500000000000007</v>
      </c>
      <c r="I36" s="15">
        <f t="shared" si="2"/>
        <v>2.5000000000000001E-2</v>
      </c>
      <c r="J36" s="15">
        <f>ROUND(G36/29780-1,2)</f>
        <v>-0.15</v>
      </c>
    </row>
    <row r="37" spans="1:10" x14ac:dyDescent="0.25">
      <c r="A37" s="1" t="s">
        <v>44</v>
      </c>
      <c r="B37" s="1" t="s">
        <v>46</v>
      </c>
      <c r="C37" s="10"/>
      <c r="D37" s="10"/>
      <c r="E37" s="10">
        <v>44920</v>
      </c>
      <c r="F37" s="10"/>
      <c r="G37" s="10">
        <f t="shared" si="0"/>
        <v>44920</v>
      </c>
      <c r="H37" s="16">
        <f t="shared" si="1"/>
        <v>14.29</v>
      </c>
      <c r="I37" s="15">
        <f t="shared" si="2"/>
        <v>4.4999999999999998E-2</v>
      </c>
      <c r="J37" s="15">
        <f>ROUND(G37/35110-1,2)</f>
        <v>0.28000000000000003</v>
      </c>
    </row>
    <row r="38" spans="1:10" x14ac:dyDescent="0.25">
      <c r="A38" s="1" t="s">
        <v>48</v>
      </c>
      <c r="B38" s="1" t="s">
        <v>51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>
        <f>ROUND(G38/10-1,2)</f>
        <v>-1</v>
      </c>
    </row>
    <row r="39" spans="1:10" x14ac:dyDescent="0.25">
      <c r="A39" s="30" t="s">
        <v>12</v>
      </c>
      <c r="B39" s="30"/>
      <c r="C39" s="11">
        <f t="shared" ref="C39:H39" si="3">SUM(C8:C38)</f>
        <v>706350</v>
      </c>
      <c r="D39" s="11">
        <f t="shared" si="3"/>
        <v>357</v>
      </c>
      <c r="E39" s="11">
        <f t="shared" si="3"/>
        <v>265848</v>
      </c>
      <c r="F39" s="11">
        <f t="shared" si="3"/>
        <v>28170</v>
      </c>
      <c r="G39" s="11">
        <f t="shared" si="3"/>
        <v>1000725</v>
      </c>
      <c r="H39" s="14">
        <f t="shared" si="3"/>
        <v>318.38000000000005</v>
      </c>
      <c r="I39" s="17"/>
      <c r="J39" s="17"/>
    </row>
    <row r="40" spans="1:10" x14ac:dyDescent="0.25">
      <c r="A40" s="30" t="s">
        <v>14</v>
      </c>
      <c r="B40" s="30"/>
      <c r="C40" s="12">
        <f>ROUND(C39/G39,2)</f>
        <v>0.71</v>
      </c>
      <c r="D40" s="12">
        <f>ROUND(D39/G39,2)</f>
        <v>0</v>
      </c>
      <c r="E40" s="12">
        <f>ROUND(E39/G39,2)</f>
        <v>0.27</v>
      </c>
      <c r="F40" s="12">
        <f>ROUND(F39/G39,2)</f>
        <v>0.03</v>
      </c>
      <c r="G40" s="13"/>
      <c r="H40" s="13"/>
      <c r="I40" s="17"/>
      <c r="J40" s="17"/>
    </row>
    <row r="41" spans="1:10" x14ac:dyDescent="0.25">
      <c r="A41" s="2" t="s">
        <v>52</v>
      </c>
      <c r="B41" s="2"/>
      <c r="C41" s="13"/>
      <c r="D41" s="13"/>
      <c r="E41" s="13"/>
      <c r="F41" s="13"/>
      <c r="G41" s="13"/>
      <c r="H41" s="13"/>
      <c r="I41" s="17"/>
      <c r="J41" s="17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A45" s="30" t="s">
        <v>53</v>
      </c>
      <c r="B45" s="30"/>
      <c r="C45" s="11" t="s">
        <v>8</v>
      </c>
      <c r="D45" s="11" t="s">
        <v>9</v>
      </c>
      <c r="E45" s="11" t="s">
        <v>10</v>
      </c>
      <c r="F45" s="11" t="s">
        <v>11</v>
      </c>
      <c r="G45" s="11" t="s">
        <v>12</v>
      </c>
      <c r="H45" s="14" t="s">
        <v>13</v>
      </c>
      <c r="I45" s="17"/>
      <c r="J45" s="17"/>
    </row>
    <row r="46" spans="1:10" x14ac:dyDescent="0.25">
      <c r="A46" s="29" t="s">
        <v>54</v>
      </c>
      <c r="B46" s="29"/>
      <c r="C46" s="10">
        <v>556280</v>
      </c>
      <c r="D46" s="10">
        <v>357</v>
      </c>
      <c r="E46" s="10">
        <v>220928</v>
      </c>
      <c r="F46" s="10">
        <v>2870</v>
      </c>
      <c r="G46" s="10">
        <f>SUM(C46:F46)</f>
        <v>780435</v>
      </c>
      <c r="H46" s="16">
        <f>ROUND(G46/3143,2)</f>
        <v>248.31</v>
      </c>
      <c r="I46" s="9"/>
      <c r="J46" s="9"/>
    </row>
    <row r="47" spans="1:10" x14ac:dyDescent="0.25">
      <c r="A47" s="29" t="s">
        <v>55</v>
      </c>
      <c r="B47" s="29"/>
      <c r="C47" s="10">
        <v>150070</v>
      </c>
      <c r="D47" s="10">
        <v>0</v>
      </c>
      <c r="E47" s="10">
        <v>44920</v>
      </c>
      <c r="F47" s="10">
        <v>25300</v>
      </c>
      <c r="G47" s="10">
        <f>SUM(C47:F47)</f>
        <v>220290</v>
      </c>
      <c r="H47" s="16">
        <f>ROUND(G47/3143,2)</f>
        <v>70.09</v>
      </c>
      <c r="I47" s="9"/>
      <c r="J47" s="9"/>
    </row>
    <row r="48" spans="1:10" x14ac:dyDescent="0.25">
      <c r="A48" s="29" t="s">
        <v>56</v>
      </c>
      <c r="B48" s="29"/>
      <c r="C48" s="10">
        <v>0</v>
      </c>
      <c r="D48" s="10">
        <v>0</v>
      </c>
      <c r="E48" s="10">
        <v>0</v>
      </c>
      <c r="F48" s="10">
        <v>0</v>
      </c>
      <c r="G48" s="10">
        <f>SUM(C48:F48)</f>
        <v>0</v>
      </c>
      <c r="H48" s="16">
        <f>ROUND(G48/3143,2)</f>
        <v>0</v>
      </c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A53" s="30" t="s">
        <v>57</v>
      </c>
      <c r="B53" s="30"/>
      <c r="C53" s="14" t="s">
        <v>2</v>
      </c>
      <c r="D53" s="14">
        <v>2023</v>
      </c>
      <c r="E53" s="14" t="s">
        <v>59</v>
      </c>
      <c r="F53" s="13"/>
      <c r="G53" s="14" t="s">
        <v>60</v>
      </c>
      <c r="H53" s="14" t="s">
        <v>2</v>
      </c>
      <c r="I53" s="12" t="s">
        <v>61</v>
      </c>
      <c r="J53" s="12" t="s">
        <v>59</v>
      </c>
    </row>
    <row r="54" spans="1:10" x14ac:dyDescent="0.25">
      <c r="A54" s="29" t="s">
        <v>58</v>
      </c>
      <c r="B54" s="29"/>
      <c r="C54" s="15">
        <f>ROUND(0.8334, 4)</f>
        <v>0.83340000000000003</v>
      </c>
      <c r="D54" s="15">
        <f>ROUND(0.8432, 4)</f>
        <v>0.84319999999999995</v>
      </c>
      <c r="E54" s="15">
        <f>ROUND(0.777, 4)</f>
        <v>0.77700000000000002</v>
      </c>
      <c r="F54" s="8"/>
      <c r="G54" s="14" t="s">
        <v>62</v>
      </c>
      <c r="H54" s="33" t="s">
        <v>63</v>
      </c>
      <c r="I54" s="31" t="s">
        <v>64</v>
      </c>
      <c r="J54" s="31" t="s">
        <v>65</v>
      </c>
    </row>
    <row r="55" spans="1:10" x14ac:dyDescent="0.25">
      <c r="A55" s="29" t="s">
        <v>66</v>
      </c>
      <c r="B55" s="29"/>
      <c r="C55" s="15">
        <f>ROUND(0.82, 4)</f>
        <v>0.82</v>
      </c>
      <c r="D55" s="15">
        <f>ROUND(0.8294, 4)</f>
        <v>0.82940000000000003</v>
      </c>
      <c r="E55" s="15">
        <f>ROUND(0.7608, 4)</f>
        <v>0.76080000000000003</v>
      </c>
      <c r="F55" s="8"/>
      <c r="G55" s="14" t="s">
        <v>67</v>
      </c>
      <c r="H55" s="34"/>
      <c r="I55" s="32"/>
      <c r="J55" s="32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21"/>
      <c r="H57" s="8"/>
      <c r="I57" s="9"/>
      <c r="J57" s="9"/>
    </row>
    <row r="58" spans="1:10" x14ac:dyDescent="0.25">
      <c r="C58" s="8"/>
      <c r="D58" s="8"/>
      <c r="E58" s="8"/>
      <c r="F58" s="8"/>
      <c r="G58" s="21"/>
      <c r="H58" s="8"/>
      <c r="I58" s="9"/>
      <c r="J58" s="9"/>
    </row>
    <row r="59" spans="1:10" x14ac:dyDescent="0.25">
      <c r="A59" s="30" t="s">
        <v>68</v>
      </c>
      <c r="B59" s="30"/>
      <c r="C59" s="14" t="s">
        <v>2</v>
      </c>
      <c r="D59" s="14" t="s">
        <v>140</v>
      </c>
      <c r="E59" s="14" t="s">
        <v>70</v>
      </c>
      <c r="F59" s="14" t="s">
        <v>71</v>
      </c>
      <c r="G59" s="14" t="s">
        <v>72</v>
      </c>
      <c r="H59" s="13"/>
      <c r="I59" s="17"/>
      <c r="J59" s="17"/>
    </row>
    <row r="60" spans="1:10" x14ac:dyDescent="0.25">
      <c r="A60" s="29" t="s">
        <v>73</v>
      </c>
      <c r="B60" s="29"/>
      <c r="C60" s="16">
        <v>47.75</v>
      </c>
      <c r="D60" s="16">
        <v>50.43</v>
      </c>
      <c r="E60" s="16">
        <v>93.87</v>
      </c>
      <c r="F60" s="16">
        <v>57.16</v>
      </c>
      <c r="G60" s="16">
        <f>12/12*C60</f>
        <v>47.75</v>
      </c>
      <c r="H60" s="8"/>
      <c r="I60" s="9"/>
      <c r="J60" s="9"/>
    </row>
    <row r="61" spans="1:10" x14ac:dyDescent="0.25">
      <c r="A61" s="29" t="s">
        <v>74</v>
      </c>
      <c r="B61" s="29"/>
      <c r="C61" s="16">
        <v>59.96</v>
      </c>
      <c r="D61" s="16">
        <v>57.48</v>
      </c>
      <c r="E61" s="16">
        <v>62.84</v>
      </c>
      <c r="F61" s="16">
        <v>65.39</v>
      </c>
      <c r="G61" s="16">
        <f>12/12*C61</f>
        <v>59.96</v>
      </c>
      <c r="H61" s="8"/>
      <c r="I61" s="9"/>
      <c r="J61" s="9"/>
    </row>
    <row r="62" spans="1:10" x14ac:dyDescent="0.25">
      <c r="A62" s="29" t="s">
        <v>75</v>
      </c>
      <c r="B62" s="29"/>
      <c r="C62" s="16">
        <v>248.31</v>
      </c>
      <c r="D62" s="16">
        <v>242.49</v>
      </c>
      <c r="E62" s="16">
        <v>295.08999999999997</v>
      </c>
      <c r="F62" s="16">
        <v>289.06</v>
      </c>
      <c r="G62" s="16">
        <f>12/12*C62</f>
        <v>248.31</v>
      </c>
      <c r="H62" s="8"/>
      <c r="I62" s="9"/>
      <c r="J62" s="9"/>
    </row>
    <row r="63" spans="1:10" x14ac:dyDescent="0.25">
      <c r="A63" s="29" t="s">
        <v>76</v>
      </c>
      <c r="B63" s="29"/>
      <c r="C63" s="16">
        <v>70.09</v>
      </c>
      <c r="D63" s="16">
        <v>69.06</v>
      </c>
      <c r="E63" s="16">
        <v>118.05</v>
      </c>
      <c r="F63" s="16">
        <v>81.41</v>
      </c>
      <c r="G63" s="16">
        <f>12/12*C63</f>
        <v>70.09</v>
      </c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28" t="s">
        <v>60</v>
      </c>
      <c r="B66" s="35"/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77</v>
      </c>
      <c r="B67" s="1" t="s">
        <v>141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70</v>
      </c>
      <c r="B68" s="1" t="s">
        <v>79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71</v>
      </c>
      <c r="B69" s="1" t="s">
        <v>80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72</v>
      </c>
      <c r="B70" s="1" t="s">
        <v>81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</sheetData>
  <mergeCells count="19">
    <mergeCell ref="A61:B61"/>
    <mergeCell ref="A62:B62"/>
    <mergeCell ref="A63:B63"/>
    <mergeCell ref="A66:B66"/>
    <mergeCell ref="I54:I55"/>
    <mergeCell ref="J54:J55"/>
    <mergeCell ref="A55:B55"/>
    <mergeCell ref="A59:B59"/>
    <mergeCell ref="A60:B60"/>
    <mergeCell ref="A47:B47"/>
    <mergeCell ref="A48:B48"/>
    <mergeCell ref="A53:B53"/>
    <mergeCell ref="A54:B54"/>
    <mergeCell ref="H54:H55"/>
    <mergeCell ref="C7:G7"/>
    <mergeCell ref="A39:B39"/>
    <mergeCell ref="A40:B40"/>
    <mergeCell ref="A45:B45"/>
    <mergeCell ref="A46:B4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J75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3.1406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142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2014</v>
      </c>
    </row>
    <row r="7" spans="1:10" x14ac:dyDescent="0.25">
      <c r="C7" s="28" t="s">
        <v>5</v>
      </c>
      <c r="D7" s="29"/>
      <c r="E7" s="29"/>
      <c r="F7" s="29"/>
      <c r="G7" s="29"/>
    </row>
    <row r="8" spans="1:10" x14ac:dyDescent="0.25">
      <c r="A8" s="25" t="s">
        <v>6</v>
      </c>
      <c r="B8" s="25" t="s">
        <v>7</v>
      </c>
      <c r="C8" s="27" t="s">
        <v>8</v>
      </c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54</v>
      </c>
      <c r="F9" s="10"/>
      <c r="G9" s="10">
        <f t="shared" ref="G9:G43" si="0">SUM(C9:F9)</f>
        <v>54</v>
      </c>
      <c r="H9" s="16">
        <f t="shared" ref="H9:H43" si="1">ROUND(G9/2014,2)</f>
        <v>0.03</v>
      </c>
      <c r="I9" s="15">
        <f t="shared" ref="I9:I43" si="2">ROUND(G9/$G$44,3)</f>
        <v>0</v>
      </c>
      <c r="J9" s="15">
        <f>ROUND(G9/132-1,2)</f>
        <v>-0.59</v>
      </c>
    </row>
    <row r="10" spans="1:10" x14ac:dyDescent="0.25">
      <c r="A10" s="1" t="s">
        <v>16</v>
      </c>
      <c r="B10" s="1" t="s">
        <v>19</v>
      </c>
      <c r="C10" s="10">
        <v>68790</v>
      </c>
      <c r="D10" s="10"/>
      <c r="E10" s="10"/>
      <c r="F10" s="10"/>
      <c r="G10" s="10">
        <f t="shared" si="0"/>
        <v>68790</v>
      </c>
      <c r="H10" s="16">
        <f t="shared" si="1"/>
        <v>34.159999999999997</v>
      </c>
      <c r="I10" s="15">
        <f t="shared" si="2"/>
        <v>0.08</v>
      </c>
      <c r="J10" s="15">
        <f>ROUND(G10/66050-1,2)</f>
        <v>0.04</v>
      </c>
    </row>
    <row r="11" spans="1:10" x14ac:dyDescent="0.25">
      <c r="A11" s="1" t="s">
        <v>16</v>
      </c>
      <c r="B11" s="1" t="s">
        <v>20</v>
      </c>
      <c r="C11" s="10">
        <v>73710</v>
      </c>
      <c r="D11" s="10"/>
      <c r="E11" s="10"/>
      <c r="F11" s="10">
        <v>100</v>
      </c>
      <c r="G11" s="10">
        <f t="shared" si="0"/>
        <v>73810</v>
      </c>
      <c r="H11" s="16">
        <f t="shared" si="1"/>
        <v>36.65</v>
      </c>
      <c r="I11" s="15">
        <f t="shared" si="2"/>
        <v>8.5999999999999993E-2</v>
      </c>
      <c r="J11" s="15">
        <f>ROUND(G11/76070-1,2)</f>
        <v>-0.03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96</v>
      </c>
      <c r="F12" s="10"/>
      <c r="G12" s="10">
        <f t="shared" si="0"/>
        <v>96</v>
      </c>
      <c r="H12" s="16">
        <f t="shared" si="1"/>
        <v>0.05</v>
      </c>
      <c r="I12" s="15">
        <f t="shared" si="2"/>
        <v>0</v>
      </c>
      <c r="J12" s="15">
        <f>ROUND(G12/32-1,2)</f>
        <v>2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57</v>
      </c>
      <c r="F13" s="10"/>
      <c r="G13" s="10">
        <f t="shared" si="0"/>
        <v>57</v>
      </c>
      <c r="H13" s="16">
        <f t="shared" si="1"/>
        <v>0.03</v>
      </c>
      <c r="I13" s="15">
        <f t="shared" si="2"/>
        <v>0</v>
      </c>
      <c r="J13" s="15">
        <f>ROUND(G13/81-1,2)</f>
        <v>-0.3</v>
      </c>
    </row>
    <row r="14" spans="1:10" x14ac:dyDescent="0.25">
      <c r="A14" s="1" t="s">
        <v>16</v>
      </c>
      <c r="B14" s="1" t="s">
        <v>22</v>
      </c>
      <c r="C14" s="10"/>
      <c r="D14" s="10"/>
      <c r="E14" s="10">
        <v>3180</v>
      </c>
      <c r="F14" s="10"/>
      <c r="G14" s="10">
        <f t="shared" si="0"/>
        <v>3180</v>
      </c>
      <c r="H14" s="16">
        <f t="shared" si="1"/>
        <v>1.58</v>
      </c>
      <c r="I14" s="15">
        <f t="shared" si="2"/>
        <v>4.0000000000000001E-3</v>
      </c>
      <c r="J14" s="15">
        <f>ROUND(G14/1810-1,2)</f>
        <v>0.76</v>
      </c>
    </row>
    <row r="15" spans="1:10" x14ac:dyDescent="0.25">
      <c r="A15" s="1" t="s">
        <v>16</v>
      </c>
      <c r="B15" s="1" t="s">
        <v>23</v>
      </c>
      <c r="C15" s="10"/>
      <c r="D15" s="10"/>
      <c r="E15" s="10">
        <v>68460</v>
      </c>
      <c r="F15" s="10"/>
      <c r="G15" s="10">
        <f t="shared" si="0"/>
        <v>68460</v>
      </c>
      <c r="H15" s="16">
        <f t="shared" si="1"/>
        <v>33.99</v>
      </c>
      <c r="I15" s="15">
        <f t="shared" si="2"/>
        <v>0.08</v>
      </c>
      <c r="J15" s="15">
        <f>ROUND(G15/75590-1,2)</f>
        <v>-0.09</v>
      </c>
    </row>
    <row r="16" spans="1:10" x14ac:dyDescent="0.25">
      <c r="A16" s="1" t="s">
        <v>16</v>
      </c>
      <c r="B16" s="1" t="s">
        <v>24</v>
      </c>
      <c r="C16" s="10">
        <v>87600</v>
      </c>
      <c r="D16" s="10"/>
      <c r="E16" s="10">
        <v>8685</v>
      </c>
      <c r="F16" s="10"/>
      <c r="G16" s="10">
        <f t="shared" si="0"/>
        <v>96285</v>
      </c>
      <c r="H16" s="16">
        <f t="shared" si="1"/>
        <v>47.81</v>
      </c>
      <c r="I16" s="15">
        <f t="shared" si="2"/>
        <v>0.112</v>
      </c>
      <c r="J16" s="15">
        <f>ROUND(G16/100705-1,2)</f>
        <v>-0.04</v>
      </c>
    </row>
    <row r="17" spans="1:10" x14ac:dyDescent="0.25">
      <c r="A17" s="1" t="s">
        <v>16</v>
      </c>
      <c r="B17" s="1" t="s">
        <v>25</v>
      </c>
      <c r="C17" s="10"/>
      <c r="D17" s="10"/>
      <c r="E17" s="10">
        <v>3790</v>
      </c>
      <c r="F17" s="10"/>
      <c r="G17" s="10">
        <f t="shared" si="0"/>
        <v>3790</v>
      </c>
      <c r="H17" s="16">
        <f t="shared" si="1"/>
        <v>1.88</v>
      </c>
      <c r="I17" s="15">
        <f t="shared" si="2"/>
        <v>4.0000000000000001E-3</v>
      </c>
      <c r="J17" s="15">
        <f>ROUND(G17/3905-1,2)</f>
        <v>-0.03</v>
      </c>
    </row>
    <row r="18" spans="1:10" x14ac:dyDescent="0.25">
      <c r="A18" s="1" t="s">
        <v>16</v>
      </c>
      <c r="B18" s="1" t="s">
        <v>26</v>
      </c>
      <c r="C18" s="10">
        <v>133810</v>
      </c>
      <c r="D18" s="10"/>
      <c r="E18" s="10"/>
      <c r="F18" s="10">
        <v>140</v>
      </c>
      <c r="G18" s="10">
        <f t="shared" si="0"/>
        <v>133950</v>
      </c>
      <c r="H18" s="16">
        <f t="shared" si="1"/>
        <v>66.510000000000005</v>
      </c>
      <c r="I18" s="15">
        <f t="shared" si="2"/>
        <v>0.156</v>
      </c>
      <c r="J18" s="15">
        <f>ROUND(G18/145100-1,2)</f>
        <v>-0.08</v>
      </c>
    </row>
    <row r="19" spans="1:10" x14ac:dyDescent="0.25">
      <c r="A19" s="1" t="s">
        <v>16</v>
      </c>
      <c r="B19" s="1" t="s">
        <v>27</v>
      </c>
      <c r="C19" s="10"/>
      <c r="D19" s="10"/>
      <c r="E19" s="10">
        <v>416</v>
      </c>
      <c r="F19" s="10"/>
      <c r="G19" s="10">
        <f t="shared" si="0"/>
        <v>416</v>
      </c>
      <c r="H19" s="16">
        <f t="shared" si="1"/>
        <v>0.21</v>
      </c>
      <c r="I19" s="15">
        <f t="shared" si="2"/>
        <v>0</v>
      </c>
      <c r="J19" s="15">
        <f>ROUND(G19/527-1,2)</f>
        <v>-0.21</v>
      </c>
    </row>
    <row r="20" spans="1:10" x14ac:dyDescent="0.25">
      <c r="A20" s="1" t="s">
        <v>16</v>
      </c>
      <c r="B20" s="1" t="s">
        <v>28</v>
      </c>
      <c r="C20" s="10"/>
      <c r="D20" s="10"/>
      <c r="E20" s="10">
        <v>230</v>
      </c>
      <c r="F20" s="10"/>
      <c r="G20" s="10">
        <f t="shared" si="0"/>
        <v>230</v>
      </c>
      <c r="H20" s="16">
        <f t="shared" si="1"/>
        <v>0.11</v>
      </c>
      <c r="I20" s="15">
        <f t="shared" si="2"/>
        <v>0</v>
      </c>
      <c r="J20" s="15">
        <f>ROUND(G20/316-1,2)</f>
        <v>-0.27</v>
      </c>
    </row>
    <row r="21" spans="1:10" x14ac:dyDescent="0.25">
      <c r="A21" s="1" t="s">
        <v>16</v>
      </c>
      <c r="B21" s="1" t="s">
        <v>42</v>
      </c>
      <c r="C21" s="10"/>
      <c r="D21" s="10"/>
      <c r="E21" s="10">
        <v>89</v>
      </c>
      <c r="F21" s="10"/>
      <c r="G21" s="10">
        <f t="shared" si="0"/>
        <v>89</v>
      </c>
      <c r="H21" s="16">
        <f t="shared" si="1"/>
        <v>0.04</v>
      </c>
      <c r="I21" s="15">
        <f t="shared" si="2"/>
        <v>0</v>
      </c>
      <c r="J21" s="15">
        <f>ROUND(G21/219-1,2)</f>
        <v>-0.59</v>
      </c>
    </row>
    <row r="22" spans="1:10" x14ac:dyDescent="0.25">
      <c r="A22" s="1" t="s">
        <v>16</v>
      </c>
      <c r="B22" s="1" t="s">
        <v>29</v>
      </c>
      <c r="C22" s="10"/>
      <c r="D22" s="10"/>
      <c r="E22" s="10">
        <v>2330</v>
      </c>
      <c r="F22" s="10"/>
      <c r="G22" s="10">
        <f t="shared" si="0"/>
        <v>2330</v>
      </c>
      <c r="H22" s="16">
        <f t="shared" si="1"/>
        <v>1.1599999999999999</v>
      </c>
      <c r="I22" s="15">
        <f t="shared" si="2"/>
        <v>3.0000000000000001E-3</v>
      </c>
      <c r="J22" s="15">
        <f>ROUND(G22/4480-1,2)</f>
        <v>-0.48</v>
      </c>
    </row>
    <row r="23" spans="1:10" x14ac:dyDescent="0.25">
      <c r="A23" s="1" t="s">
        <v>16</v>
      </c>
      <c r="B23" s="1" t="s">
        <v>30</v>
      </c>
      <c r="C23" s="10"/>
      <c r="D23" s="10"/>
      <c r="E23" s="10">
        <v>230</v>
      </c>
      <c r="F23" s="10"/>
      <c r="G23" s="10">
        <f t="shared" si="0"/>
        <v>230</v>
      </c>
      <c r="H23" s="16">
        <f t="shared" si="1"/>
        <v>0.11</v>
      </c>
      <c r="I23" s="15">
        <f t="shared" si="2"/>
        <v>0</v>
      </c>
      <c r="J23" s="15">
        <f>ROUND(G23/370-1,2)</f>
        <v>-0.38</v>
      </c>
    </row>
    <row r="24" spans="1:10" x14ac:dyDescent="0.25">
      <c r="A24" s="1" t="s">
        <v>16</v>
      </c>
      <c r="B24" s="1" t="s">
        <v>31</v>
      </c>
      <c r="C24" s="10"/>
      <c r="D24" s="10"/>
      <c r="E24" s="10">
        <v>950</v>
      </c>
      <c r="F24" s="10"/>
      <c r="G24" s="10">
        <f t="shared" si="0"/>
        <v>950</v>
      </c>
      <c r="H24" s="16">
        <f t="shared" si="1"/>
        <v>0.47</v>
      </c>
      <c r="I24" s="15">
        <f t="shared" si="2"/>
        <v>1E-3</v>
      </c>
      <c r="J24" s="15">
        <f>ROUND(G24/500-1,2)</f>
        <v>0.9</v>
      </c>
    </row>
    <row r="25" spans="1:10" x14ac:dyDescent="0.25">
      <c r="A25" s="1" t="s">
        <v>16</v>
      </c>
      <c r="B25" s="1" t="s">
        <v>32</v>
      </c>
      <c r="C25" s="10"/>
      <c r="D25" s="10"/>
      <c r="E25" s="10">
        <v>1152</v>
      </c>
      <c r="F25" s="10"/>
      <c r="G25" s="10">
        <f t="shared" si="0"/>
        <v>1152</v>
      </c>
      <c r="H25" s="16">
        <f t="shared" si="1"/>
        <v>0.56999999999999995</v>
      </c>
      <c r="I25" s="15">
        <f t="shared" si="2"/>
        <v>1E-3</v>
      </c>
      <c r="J25" s="15">
        <f>ROUND(G25/1075-1,2)</f>
        <v>7.0000000000000007E-2</v>
      </c>
    </row>
    <row r="26" spans="1:10" x14ac:dyDescent="0.25">
      <c r="A26" s="1" t="s">
        <v>16</v>
      </c>
      <c r="B26" s="1" t="s">
        <v>33</v>
      </c>
      <c r="C26" s="10"/>
      <c r="D26" s="10">
        <v>111</v>
      </c>
      <c r="E26" s="10">
        <v>41</v>
      </c>
      <c r="F26" s="10"/>
      <c r="G26" s="10">
        <f t="shared" si="0"/>
        <v>152</v>
      </c>
      <c r="H26" s="16">
        <f t="shared" si="1"/>
        <v>0.08</v>
      </c>
      <c r="I26" s="15">
        <f t="shared" si="2"/>
        <v>0</v>
      </c>
      <c r="J26" s="15">
        <f>ROUND(G26/193-1,2)</f>
        <v>-0.21</v>
      </c>
    </row>
    <row r="27" spans="1:10" x14ac:dyDescent="0.25">
      <c r="A27" s="1" t="s">
        <v>16</v>
      </c>
      <c r="B27" s="1" t="s">
        <v>35</v>
      </c>
      <c r="C27" s="10"/>
      <c r="D27" s="10">
        <v>55</v>
      </c>
      <c r="E27" s="10">
        <v>200</v>
      </c>
      <c r="F27" s="10"/>
      <c r="G27" s="10">
        <f t="shared" si="0"/>
        <v>255</v>
      </c>
      <c r="H27" s="16">
        <f t="shared" si="1"/>
        <v>0.13</v>
      </c>
      <c r="I27" s="15">
        <f t="shared" si="2"/>
        <v>0</v>
      </c>
      <c r="J27" s="15">
        <f>ROUND(G27/340-1,2)</f>
        <v>-0.25</v>
      </c>
    </row>
    <row r="28" spans="1:10" x14ac:dyDescent="0.25">
      <c r="A28" s="1" t="s">
        <v>16</v>
      </c>
      <c r="B28" s="1" t="s">
        <v>34</v>
      </c>
      <c r="C28" s="10"/>
      <c r="D28" s="10"/>
      <c r="E28" s="10">
        <v>280</v>
      </c>
      <c r="F28" s="10"/>
      <c r="G28" s="10">
        <f t="shared" si="0"/>
        <v>280</v>
      </c>
      <c r="H28" s="16">
        <f t="shared" si="1"/>
        <v>0.14000000000000001</v>
      </c>
      <c r="I28" s="15">
        <f t="shared" si="2"/>
        <v>0</v>
      </c>
      <c r="J28" s="15">
        <f>ROUND(G28/730-1,2)</f>
        <v>-0.62</v>
      </c>
    </row>
    <row r="29" spans="1:10" x14ac:dyDescent="0.25">
      <c r="A29" s="1" t="s">
        <v>16</v>
      </c>
      <c r="B29" s="1" t="s">
        <v>37</v>
      </c>
      <c r="C29" s="10"/>
      <c r="D29" s="10"/>
      <c r="E29" s="10">
        <v>3130</v>
      </c>
      <c r="F29" s="10"/>
      <c r="G29" s="10">
        <f t="shared" si="0"/>
        <v>3130</v>
      </c>
      <c r="H29" s="16">
        <f t="shared" si="1"/>
        <v>1.55</v>
      </c>
      <c r="I29" s="15">
        <f t="shared" si="2"/>
        <v>4.0000000000000001E-3</v>
      </c>
      <c r="J29" s="15">
        <f>ROUND(G29/5280-1,2)</f>
        <v>-0.41</v>
      </c>
    </row>
    <row r="30" spans="1:10" x14ac:dyDescent="0.25">
      <c r="A30" s="1" t="s">
        <v>16</v>
      </c>
      <c r="B30" s="1" t="s">
        <v>43</v>
      </c>
      <c r="C30" s="10"/>
      <c r="D30" s="10"/>
      <c r="E30" s="10">
        <v>2740</v>
      </c>
      <c r="F30" s="10"/>
      <c r="G30" s="10">
        <f t="shared" si="0"/>
        <v>2740</v>
      </c>
      <c r="H30" s="16">
        <f t="shared" si="1"/>
        <v>1.36</v>
      </c>
      <c r="I30" s="15">
        <f t="shared" si="2"/>
        <v>3.0000000000000001E-3</v>
      </c>
      <c r="J30" s="15">
        <f>ROUND(G30/7518-1,2)</f>
        <v>-0.64</v>
      </c>
    </row>
    <row r="31" spans="1:10" x14ac:dyDescent="0.25">
      <c r="A31" s="1" t="s">
        <v>16</v>
      </c>
      <c r="B31" s="1" t="s">
        <v>38</v>
      </c>
      <c r="C31" s="10"/>
      <c r="D31" s="10"/>
      <c r="E31" s="10">
        <v>60210</v>
      </c>
      <c r="F31" s="10"/>
      <c r="G31" s="10">
        <f t="shared" si="0"/>
        <v>60210</v>
      </c>
      <c r="H31" s="16">
        <f t="shared" si="1"/>
        <v>29.9</v>
      </c>
      <c r="I31" s="15">
        <f t="shared" si="2"/>
        <v>7.0000000000000007E-2</v>
      </c>
      <c r="J31" s="15">
        <f>ROUND(G31/56190-1,2)</f>
        <v>7.0000000000000007E-2</v>
      </c>
    </row>
    <row r="32" spans="1:10" x14ac:dyDescent="0.25">
      <c r="A32" s="1" t="s">
        <v>16</v>
      </c>
      <c r="B32" s="1" t="s">
        <v>40</v>
      </c>
      <c r="C32" s="10"/>
      <c r="D32" s="10"/>
      <c r="E32" s="10">
        <v>18750</v>
      </c>
      <c r="F32" s="10"/>
      <c r="G32" s="10">
        <f t="shared" si="0"/>
        <v>18750</v>
      </c>
      <c r="H32" s="16">
        <f t="shared" si="1"/>
        <v>9.31</v>
      </c>
      <c r="I32" s="15">
        <f t="shared" si="2"/>
        <v>2.1999999999999999E-2</v>
      </c>
      <c r="J32" s="15">
        <f>ROUND(G32/16920-1,2)</f>
        <v>0.11</v>
      </c>
    </row>
    <row r="33" spans="1:10" x14ac:dyDescent="0.25">
      <c r="A33" s="1" t="s">
        <v>16</v>
      </c>
      <c r="B33" s="1" t="s">
        <v>41</v>
      </c>
      <c r="C33" s="10"/>
      <c r="D33" s="10"/>
      <c r="E33" s="10">
        <v>88920</v>
      </c>
      <c r="F33" s="10"/>
      <c r="G33" s="10">
        <f t="shared" si="0"/>
        <v>88920</v>
      </c>
      <c r="H33" s="16">
        <f t="shared" si="1"/>
        <v>44.15</v>
      </c>
      <c r="I33" s="15">
        <f t="shared" si="2"/>
        <v>0.10299999999999999</v>
      </c>
      <c r="J33" s="15">
        <f>ROUND(G33/75200-1,2)</f>
        <v>0.18</v>
      </c>
    </row>
    <row r="34" spans="1:10" x14ac:dyDescent="0.25">
      <c r="A34" s="1" t="s">
        <v>16</v>
      </c>
      <c r="B34" s="1" t="s">
        <v>36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ROUND(G34/3300-1,2)</f>
        <v>-1</v>
      </c>
    </row>
    <row r="35" spans="1:10" x14ac:dyDescent="0.25">
      <c r="A35" s="1" t="s">
        <v>16</v>
      </c>
      <c r="B35" s="1" t="s">
        <v>143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16</v>
      </c>
      <c r="B36" s="1" t="s">
        <v>144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/>
    </row>
    <row r="37" spans="1:10" x14ac:dyDescent="0.25">
      <c r="A37" s="1" t="s">
        <v>16</v>
      </c>
      <c r="B37" s="1" t="s">
        <v>120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1" t="s">
        <v>16</v>
      </c>
      <c r="B38" s="1" t="s">
        <v>145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1" t="s">
        <v>44</v>
      </c>
      <c r="B39" s="1" t="s">
        <v>45</v>
      </c>
      <c r="C39" s="10">
        <v>158240</v>
      </c>
      <c r="D39" s="10"/>
      <c r="E39" s="10"/>
      <c r="F39" s="10"/>
      <c r="G39" s="10">
        <f t="shared" si="0"/>
        <v>158240</v>
      </c>
      <c r="H39" s="16">
        <f t="shared" si="1"/>
        <v>78.569999999999993</v>
      </c>
      <c r="I39" s="15">
        <f t="shared" si="2"/>
        <v>0.184</v>
      </c>
      <c r="J39" s="15">
        <f>ROUND(G39/151650-1,2)</f>
        <v>0.04</v>
      </c>
    </row>
    <row r="40" spans="1:10" x14ac:dyDescent="0.25">
      <c r="A40" s="1" t="s">
        <v>44</v>
      </c>
      <c r="B40" s="1" t="s">
        <v>47</v>
      </c>
      <c r="C40" s="10"/>
      <c r="D40" s="10"/>
      <c r="E40" s="10"/>
      <c r="F40" s="10">
        <v>6620</v>
      </c>
      <c r="G40" s="10">
        <f t="shared" si="0"/>
        <v>6620</v>
      </c>
      <c r="H40" s="16">
        <f t="shared" si="1"/>
        <v>3.29</v>
      </c>
      <c r="I40" s="15">
        <f t="shared" si="2"/>
        <v>8.0000000000000002E-3</v>
      </c>
      <c r="J40" s="15">
        <f>ROUND(G40/6600-1,2)</f>
        <v>0</v>
      </c>
    </row>
    <row r="41" spans="1:10" x14ac:dyDescent="0.25">
      <c r="A41" s="1" t="s">
        <v>44</v>
      </c>
      <c r="B41" s="1" t="s">
        <v>46</v>
      </c>
      <c r="C41" s="10"/>
      <c r="D41" s="10"/>
      <c r="E41" s="10">
        <v>66610</v>
      </c>
      <c r="F41" s="10"/>
      <c r="G41" s="10">
        <f t="shared" si="0"/>
        <v>66610</v>
      </c>
      <c r="H41" s="16">
        <f t="shared" si="1"/>
        <v>33.07</v>
      </c>
      <c r="I41" s="15">
        <f t="shared" si="2"/>
        <v>7.6999999999999999E-2</v>
      </c>
      <c r="J41" s="15">
        <f>ROUND(G41/60360-1,2)</f>
        <v>0.1</v>
      </c>
    </row>
    <row r="42" spans="1:10" x14ac:dyDescent="0.25">
      <c r="A42" s="1" t="s">
        <v>48</v>
      </c>
      <c r="B42" s="1" t="s">
        <v>51</v>
      </c>
      <c r="C42" s="10"/>
      <c r="D42" s="10"/>
      <c r="E42" s="10"/>
      <c r="F42" s="10"/>
      <c r="G42" s="10">
        <f t="shared" si="0"/>
        <v>0</v>
      </c>
      <c r="H42" s="16">
        <f t="shared" si="1"/>
        <v>0</v>
      </c>
      <c r="I42" s="15">
        <f t="shared" si="2"/>
        <v>0</v>
      </c>
      <c r="J42" s="15"/>
    </row>
    <row r="43" spans="1:10" x14ac:dyDescent="0.25">
      <c r="A43" s="1" t="s">
        <v>48</v>
      </c>
      <c r="B43" s="1" t="s">
        <v>50</v>
      </c>
      <c r="C43" s="10"/>
      <c r="D43" s="10"/>
      <c r="E43" s="10"/>
      <c r="F43" s="10"/>
      <c r="G43" s="10">
        <f t="shared" si="0"/>
        <v>0</v>
      </c>
      <c r="H43" s="16">
        <f t="shared" si="1"/>
        <v>0</v>
      </c>
      <c r="I43" s="15">
        <f t="shared" si="2"/>
        <v>0</v>
      </c>
      <c r="J43" s="15"/>
    </row>
    <row r="44" spans="1:10" x14ac:dyDescent="0.25">
      <c r="A44" s="30" t="s">
        <v>12</v>
      </c>
      <c r="B44" s="30"/>
      <c r="C44" s="11">
        <f t="shared" ref="C44:H44" si="3">SUM(C8:C43)</f>
        <v>522150</v>
      </c>
      <c r="D44" s="11">
        <f t="shared" si="3"/>
        <v>166</v>
      </c>
      <c r="E44" s="11">
        <f t="shared" si="3"/>
        <v>330600</v>
      </c>
      <c r="F44" s="11">
        <f t="shared" si="3"/>
        <v>6860</v>
      </c>
      <c r="G44" s="11">
        <f t="shared" si="3"/>
        <v>859776</v>
      </c>
      <c r="H44" s="14">
        <f t="shared" si="3"/>
        <v>426.91</v>
      </c>
      <c r="I44" s="17"/>
      <c r="J44" s="17"/>
    </row>
    <row r="45" spans="1:10" x14ac:dyDescent="0.25">
      <c r="A45" s="30" t="s">
        <v>14</v>
      </c>
      <c r="B45" s="30"/>
      <c r="C45" s="12">
        <f>ROUND(C44/G44,2)</f>
        <v>0.61</v>
      </c>
      <c r="D45" s="12">
        <f>ROUND(D44/G44,2)</f>
        <v>0</v>
      </c>
      <c r="E45" s="12">
        <f>ROUND(E44/G44,2)</f>
        <v>0.38</v>
      </c>
      <c r="F45" s="12">
        <f>ROUND(F44/G44,2)</f>
        <v>0.01</v>
      </c>
      <c r="G45" s="13"/>
      <c r="H45" s="13"/>
      <c r="I45" s="17"/>
      <c r="J45" s="17"/>
    </row>
    <row r="46" spans="1:10" x14ac:dyDescent="0.25">
      <c r="A46" s="2" t="s">
        <v>52</v>
      </c>
      <c r="B46" s="2"/>
      <c r="C46" s="13"/>
      <c r="D46" s="13"/>
      <c r="E46" s="13"/>
      <c r="F46" s="13"/>
      <c r="G46" s="13"/>
      <c r="H46" s="13"/>
      <c r="I46" s="17"/>
      <c r="J46" s="17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A50" s="30" t="s">
        <v>53</v>
      </c>
      <c r="B50" s="30"/>
      <c r="C50" s="11" t="s">
        <v>8</v>
      </c>
      <c r="D50" s="11" t="s">
        <v>9</v>
      </c>
      <c r="E50" s="11" t="s">
        <v>10</v>
      </c>
      <c r="F50" s="11" t="s">
        <v>11</v>
      </c>
      <c r="G50" s="11" t="s">
        <v>12</v>
      </c>
      <c r="H50" s="14" t="s">
        <v>13</v>
      </c>
      <c r="I50" s="17"/>
      <c r="J50" s="17"/>
    </row>
    <row r="51" spans="1:10" x14ac:dyDescent="0.25">
      <c r="A51" s="29" t="s">
        <v>54</v>
      </c>
      <c r="B51" s="29"/>
      <c r="C51" s="10">
        <v>363910</v>
      </c>
      <c r="D51" s="10">
        <v>166</v>
      </c>
      <c r="E51" s="10">
        <v>263990</v>
      </c>
      <c r="F51" s="10">
        <v>240</v>
      </c>
      <c r="G51" s="10">
        <f>SUM(C51:F51)</f>
        <v>628306</v>
      </c>
      <c r="H51" s="16">
        <f>ROUND(G51/2014,2)</f>
        <v>311.97000000000003</v>
      </c>
      <c r="I51" s="9"/>
      <c r="J51" s="9"/>
    </row>
    <row r="52" spans="1:10" x14ac:dyDescent="0.25">
      <c r="A52" s="29" t="s">
        <v>55</v>
      </c>
      <c r="B52" s="29"/>
      <c r="C52" s="10">
        <v>158240</v>
      </c>
      <c r="D52" s="10">
        <v>0</v>
      </c>
      <c r="E52" s="10">
        <v>66610</v>
      </c>
      <c r="F52" s="10">
        <v>6620</v>
      </c>
      <c r="G52" s="10">
        <f>SUM(C52:F52)</f>
        <v>231470</v>
      </c>
      <c r="H52" s="16">
        <f>ROUND(G52/2014,2)</f>
        <v>114.93</v>
      </c>
      <c r="I52" s="9"/>
      <c r="J52" s="9"/>
    </row>
    <row r="53" spans="1:10" x14ac:dyDescent="0.25">
      <c r="A53" s="29" t="s">
        <v>56</v>
      </c>
      <c r="B53" s="29"/>
      <c r="C53" s="10">
        <v>0</v>
      </c>
      <c r="D53" s="10">
        <v>0</v>
      </c>
      <c r="E53" s="10">
        <v>0</v>
      </c>
      <c r="F53" s="10">
        <v>0</v>
      </c>
      <c r="G53" s="10">
        <f>SUM(C53:F53)</f>
        <v>0</v>
      </c>
      <c r="H53" s="16">
        <f>ROUND(G53/2014,2)</f>
        <v>0</v>
      </c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21"/>
      <c r="H57" s="8"/>
      <c r="I57" s="9"/>
      <c r="J57" s="9"/>
    </row>
    <row r="58" spans="1:10" x14ac:dyDescent="0.25">
      <c r="A58" s="30" t="s">
        <v>57</v>
      </c>
      <c r="B58" s="30"/>
      <c r="C58" s="14" t="s">
        <v>2</v>
      </c>
      <c r="D58" s="14">
        <v>2023</v>
      </c>
      <c r="E58" s="14" t="s">
        <v>59</v>
      </c>
      <c r="F58" s="13"/>
      <c r="G58" s="20" t="s">
        <v>60</v>
      </c>
      <c r="H58" s="14" t="s">
        <v>2</v>
      </c>
      <c r="I58" s="12" t="s">
        <v>61</v>
      </c>
      <c r="J58" s="12" t="s">
        <v>59</v>
      </c>
    </row>
    <row r="59" spans="1:10" x14ac:dyDescent="0.25">
      <c r="A59" s="29" t="s">
        <v>58</v>
      </c>
      <c r="B59" s="29"/>
      <c r="C59" s="15">
        <f>ROUND(0.7971, 4)</f>
        <v>0.79710000000000003</v>
      </c>
      <c r="D59" s="15">
        <f>ROUND(0.7972, 4)</f>
        <v>0.79720000000000002</v>
      </c>
      <c r="E59" s="15">
        <f>ROUND(0.777, 4)</f>
        <v>0.77700000000000002</v>
      </c>
      <c r="F59" s="8"/>
      <c r="G59" s="14" t="s">
        <v>62</v>
      </c>
      <c r="H59" s="33" t="s">
        <v>63</v>
      </c>
      <c r="I59" s="31" t="s">
        <v>64</v>
      </c>
      <c r="J59" s="31" t="s">
        <v>65</v>
      </c>
    </row>
    <row r="60" spans="1:10" x14ac:dyDescent="0.25">
      <c r="A60" s="29" t="s">
        <v>66</v>
      </c>
      <c r="B60" s="29"/>
      <c r="C60" s="15">
        <f>ROUND(0.7859, 4)</f>
        <v>0.78590000000000004</v>
      </c>
      <c r="D60" s="15">
        <f>ROUND(0.7863, 4)</f>
        <v>0.7863</v>
      </c>
      <c r="E60" s="15">
        <f>ROUND(0.7608, 4)</f>
        <v>0.76080000000000003</v>
      </c>
      <c r="F60" s="8"/>
      <c r="G60" s="14" t="s">
        <v>67</v>
      </c>
      <c r="H60" s="34"/>
      <c r="I60" s="32"/>
      <c r="J60" s="32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A64" s="30" t="s">
        <v>68</v>
      </c>
      <c r="B64" s="30"/>
      <c r="C64" s="14" t="s">
        <v>2</v>
      </c>
      <c r="D64" s="14" t="s">
        <v>146</v>
      </c>
      <c r="E64" s="14" t="s">
        <v>70</v>
      </c>
      <c r="F64" s="14" t="s">
        <v>71</v>
      </c>
      <c r="G64" s="14" t="s">
        <v>72</v>
      </c>
      <c r="H64" s="13"/>
      <c r="I64" s="17"/>
      <c r="J64" s="17"/>
    </row>
    <row r="65" spans="1:10" x14ac:dyDescent="0.25">
      <c r="A65" s="29" t="s">
        <v>73</v>
      </c>
      <c r="B65" s="29"/>
      <c r="C65" s="16">
        <v>78.569999999999993</v>
      </c>
      <c r="D65" s="16">
        <v>76.209999999999994</v>
      </c>
      <c r="E65" s="16">
        <v>93.87</v>
      </c>
      <c r="F65" s="16">
        <v>57.16</v>
      </c>
      <c r="G65" s="16">
        <f>12/12*C65</f>
        <v>78.569999999999993</v>
      </c>
      <c r="H65" s="8"/>
      <c r="I65" s="9"/>
      <c r="J65" s="9"/>
    </row>
    <row r="66" spans="1:10" x14ac:dyDescent="0.25">
      <c r="A66" s="29" t="s">
        <v>74</v>
      </c>
      <c r="B66" s="29"/>
      <c r="C66" s="16">
        <v>66.510000000000005</v>
      </c>
      <c r="D66" s="16">
        <v>74.44</v>
      </c>
      <c r="E66" s="16">
        <v>62.84</v>
      </c>
      <c r="F66" s="16">
        <v>65.39</v>
      </c>
      <c r="G66" s="16">
        <f>12/12*C66</f>
        <v>66.510000000000005</v>
      </c>
      <c r="H66" s="8"/>
      <c r="I66" s="9"/>
      <c r="J66" s="9"/>
    </row>
    <row r="67" spans="1:10" x14ac:dyDescent="0.25">
      <c r="A67" s="29" t="s">
        <v>75</v>
      </c>
      <c r="B67" s="29"/>
      <c r="C67" s="16">
        <v>311.97000000000003</v>
      </c>
      <c r="D67" s="16">
        <v>309.77</v>
      </c>
      <c r="E67" s="16">
        <v>295.08999999999997</v>
      </c>
      <c r="F67" s="16">
        <v>289.06</v>
      </c>
      <c r="G67" s="16">
        <f>12/12*C67</f>
        <v>311.97000000000003</v>
      </c>
      <c r="H67" s="8"/>
      <c r="I67" s="9"/>
      <c r="J67" s="9"/>
    </row>
    <row r="68" spans="1:10" x14ac:dyDescent="0.25">
      <c r="A68" s="29" t="s">
        <v>76</v>
      </c>
      <c r="B68" s="29"/>
      <c r="C68" s="16">
        <v>114.93</v>
      </c>
      <c r="D68" s="16">
        <v>110.05</v>
      </c>
      <c r="E68" s="16">
        <v>118.05</v>
      </c>
      <c r="F68" s="16">
        <v>81.41</v>
      </c>
      <c r="G68" s="16">
        <f>12/12*C68</f>
        <v>114.93</v>
      </c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1" spans="1:10" x14ac:dyDescent="0.25">
      <c r="A71" s="28" t="s">
        <v>60</v>
      </c>
      <c r="B71" s="35"/>
    </row>
    <row r="72" spans="1:10" x14ac:dyDescent="0.25">
      <c r="A72" s="3" t="s">
        <v>77</v>
      </c>
      <c r="B72" s="1" t="s">
        <v>147</v>
      </c>
    </row>
    <row r="73" spans="1:10" x14ac:dyDescent="0.25">
      <c r="A73" s="3" t="s">
        <v>70</v>
      </c>
      <c r="B73" s="1" t="s">
        <v>79</v>
      </c>
    </row>
    <row r="74" spans="1:10" x14ac:dyDescent="0.25">
      <c r="A74" s="3" t="s">
        <v>71</v>
      </c>
      <c r="B74" s="1" t="s">
        <v>80</v>
      </c>
    </row>
    <row r="75" spans="1:10" x14ac:dyDescent="0.25">
      <c r="A75" s="3" t="s">
        <v>72</v>
      </c>
      <c r="B75" s="1" t="s">
        <v>81</v>
      </c>
    </row>
  </sheetData>
  <mergeCells count="19">
    <mergeCell ref="A66:B66"/>
    <mergeCell ref="A67:B67"/>
    <mergeCell ref="A68:B68"/>
    <mergeCell ref="A71:B71"/>
    <mergeCell ref="I59:I60"/>
    <mergeCell ref="J59:J60"/>
    <mergeCell ref="A60:B60"/>
    <mergeCell ref="A64:B64"/>
    <mergeCell ref="A65:B65"/>
    <mergeCell ref="A52:B52"/>
    <mergeCell ref="A53:B53"/>
    <mergeCell ref="A58:B58"/>
    <mergeCell ref="A59:B59"/>
    <mergeCell ref="H59:H60"/>
    <mergeCell ref="C7:G7"/>
    <mergeCell ref="A44:B44"/>
    <mergeCell ref="A45:B45"/>
    <mergeCell ref="A50:B50"/>
    <mergeCell ref="A51:B5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J69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3.285156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148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2233</v>
      </c>
    </row>
    <row r="7" spans="1:10" x14ac:dyDescent="0.25">
      <c r="C7" s="28" t="s">
        <v>5</v>
      </c>
      <c r="D7" s="29"/>
      <c r="E7" s="29"/>
      <c r="F7" s="29"/>
      <c r="G7" s="29"/>
    </row>
    <row r="8" spans="1:10" x14ac:dyDescent="0.25">
      <c r="A8" s="25" t="s">
        <v>6</v>
      </c>
      <c r="B8" s="25" t="s">
        <v>7</v>
      </c>
      <c r="C8" s="27" t="s">
        <v>8</v>
      </c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25</v>
      </c>
      <c r="F9" s="10"/>
      <c r="G9" s="10">
        <f t="shared" ref="G9:G37" si="0">SUM(C9:F9)</f>
        <v>25</v>
      </c>
      <c r="H9" s="16">
        <f t="shared" ref="H9:H37" si="1">ROUND(G9/2233,2)</f>
        <v>0.01</v>
      </c>
      <c r="I9" s="15">
        <f t="shared" ref="I9:I37" si="2">ROUND(G9/$G$38,3)</f>
        <v>0</v>
      </c>
      <c r="J9" s="15">
        <f>ROUND(G9/40-1,2)</f>
        <v>-0.38</v>
      </c>
    </row>
    <row r="10" spans="1:10" x14ac:dyDescent="0.25">
      <c r="A10" s="1" t="s">
        <v>16</v>
      </c>
      <c r="B10" s="1" t="s">
        <v>19</v>
      </c>
      <c r="C10" s="10">
        <v>74320</v>
      </c>
      <c r="D10" s="10"/>
      <c r="E10" s="10"/>
      <c r="F10" s="10"/>
      <c r="G10" s="10">
        <f t="shared" si="0"/>
        <v>74320</v>
      </c>
      <c r="H10" s="16">
        <f t="shared" si="1"/>
        <v>33.28</v>
      </c>
      <c r="I10" s="15">
        <f t="shared" si="2"/>
        <v>6.8000000000000005E-2</v>
      </c>
      <c r="J10" s="15">
        <f>ROUND(G10/73790-1,2)</f>
        <v>0.01</v>
      </c>
    </row>
    <row r="11" spans="1:10" x14ac:dyDescent="0.25">
      <c r="A11" s="1" t="s">
        <v>16</v>
      </c>
      <c r="B11" s="1" t="s">
        <v>20</v>
      </c>
      <c r="C11" s="10">
        <v>89980</v>
      </c>
      <c r="D11" s="10"/>
      <c r="E11" s="10"/>
      <c r="F11" s="10"/>
      <c r="G11" s="10">
        <f t="shared" si="0"/>
        <v>89980</v>
      </c>
      <c r="H11" s="16">
        <f t="shared" si="1"/>
        <v>40.299999999999997</v>
      </c>
      <c r="I11" s="15">
        <f t="shared" si="2"/>
        <v>8.3000000000000004E-2</v>
      </c>
      <c r="J11" s="15">
        <f>ROUND(G11/83680-1,2)</f>
        <v>0.08</v>
      </c>
    </row>
    <row r="12" spans="1:10" x14ac:dyDescent="0.25">
      <c r="A12" s="1" t="s">
        <v>16</v>
      </c>
      <c r="B12" s="1" t="s">
        <v>22</v>
      </c>
      <c r="C12" s="10"/>
      <c r="D12" s="10"/>
      <c r="E12" s="10">
        <v>1620</v>
      </c>
      <c r="F12" s="10"/>
      <c r="G12" s="10">
        <f t="shared" si="0"/>
        <v>1620</v>
      </c>
      <c r="H12" s="16">
        <f t="shared" si="1"/>
        <v>0.73</v>
      </c>
      <c r="I12" s="15">
        <f t="shared" si="2"/>
        <v>1E-3</v>
      </c>
      <c r="J12" s="15">
        <f>ROUND(G12/900-1,2)</f>
        <v>0.8</v>
      </c>
    </row>
    <row r="13" spans="1:10" x14ac:dyDescent="0.25">
      <c r="A13" s="1" t="s">
        <v>16</v>
      </c>
      <c r="B13" s="1" t="s">
        <v>98</v>
      </c>
      <c r="C13" s="10"/>
      <c r="D13" s="10"/>
      <c r="E13" s="10"/>
      <c r="F13" s="10">
        <v>340</v>
      </c>
      <c r="G13" s="10">
        <f t="shared" si="0"/>
        <v>340</v>
      </c>
      <c r="H13" s="16">
        <f t="shared" si="1"/>
        <v>0.15</v>
      </c>
      <c r="I13" s="15">
        <f t="shared" si="2"/>
        <v>0</v>
      </c>
      <c r="J13" s="15"/>
    </row>
    <row r="14" spans="1:10" x14ac:dyDescent="0.25">
      <c r="A14" s="1" t="s">
        <v>16</v>
      </c>
      <c r="B14" s="1" t="s">
        <v>23</v>
      </c>
      <c r="C14" s="10"/>
      <c r="D14" s="10"/>
      <c r="E14" s="10">
        <v>99860</v>
      </c>
      <c r="F14" s="10"/>
      <c r="G14" s="10">
        <f t="shared" si="0"/>
        <v>99860</v>
      </c>
      <c r="H14" s="16">
        <f t="shared" si="1"/>
        <v>44.72</v>
      </c>
      <c r="I14" s="15">
        <f t="shared" si="2"/>
        <v>9.1999999999999998E-2</v>
      </c>
      <c r="J14" s="15">
        <f>ROUND(G14/104500-1,2)</f>
        <v>-0.04</v>
      </c>
    </row>
    <row r="15" spans="1:10" x14ac:dyDescent="0.25">
      <c r="A15" s="1" t="s">
        <v>16</v>
      </c>
      <c r="B15" s="1" t="s">
        <v>24</v>
      </c>
      <c r="C15" s="10">
        <v>117360</v>
      </c>
      <c r="D15" s="10"/>
      <c r="E15" s="10"/>
      <c r="F15" s="10"/>
      <c r="G15" s="10">
        <f t="shared" si="0"/>
        <v>117360</v>
      </c>
      <c r="H15" s="16">
        <f t="shared" si="1"/>
        <v>52.56</v>
      </c>
      <c r="I15" s="15">
        <f t="shared" si="2"/>
        <v>0.108</v>
      </c>
      <c r="J15" s="15">
        <f>ROUND(G15/119950-1,2)</f>
        <v>-0.02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6845</v>
      </c>
      <c r="F16" s="10"/>
      <c r="G16" s="10">
        <f t="shared" si="0"/>
        <v>6845</v>
      </c>
      <c r="H16" s="16">
        <f t="shared" si="1"/>
        <v>3.07</v>
      </c>
      <c r="I16" s="15">
        <f t="shared" si="2"/>
        <v>6.0000000000000001E-3</v>
      </c>
      <c r="J16" s="15">
        <f>ROUND(G16/4005-1,2)</f>
        <v>0.71</v>
      </c>
    </row>
    <row r="17" spans="1:10" x14ac:dyDescent="0.25">
      <c r="A17" s="1" t="s">
        <v>16</v>
      </c>
      <c r="B17" s="1" t="s">
        <v>26</v>
      </c>
      <c r="C17" s="10">
        <v>175910</v>
      </c>
      <c r="D17" s="10"/>
      <c r="E17" s="10"/>
      <c r="F17" s="10"/>
      <c r="G17" s="10">
        <f t="shared" si="0"/>
        <v>175910</v>
      </c>
      <c r="H17" s="16">
        <f t="shared" si="1"/>
        <v>78.78</v>
      </c>
      <c r="I17" s="15">
        <f t="shared" si="2"/>
        <v>0.16200000000000001</v>
      </c>
      <c r="J17" s="15">
        <f>ROUND(G17/177250-1,2)</f>
        <v>-0.01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225</v>
      </c>
      <c r="F18" s="10"/>
      <c r="G18" s="10">
        <f t="shared" si="0"/>
        <v>225</v>
      </c>
      <c r="H18" s="16">
        <f t="shared" si="1"/>
        <v>0.1</v>
      </c>
      <c r="I18" s="15">
        <f t="shared" si="2"/>
        <v>0</v>
      </c>
      <c r="J18" s="15">
        <f>ROUND(G18/329-1,2)</f>
        <v>-0.32</v>
      </c>
    </row>
    <row r="19" spans="1:10" x14ac:dyDescent="0.25">
      <c r="A19" s="1" t="s">
        <v>16</v>
      </c>
      <c r="B19" s="1" t="s">
        <v>28</v>
      </c>
      <c r="C19" s="10"/>
      <c r="D19" s="10"/>
      <c r="E19" s="10">
        <v>172</v>
      </c>
      <c r="F19" s="10"/>
      <c r="G19" s="10">
        <f t="shared" si="0"/>
        <v>172</v>
      </c>
      <c r="H19" s="16">
        <f t="shared" si="1"/>
        <v>0.08</v>
      </c>
      <c r="I19" s="15">
        <f t="shared" si="2"/>
        <v>0</v>
      </c>
      <c r="J19" s="15">
        <f>ROUND(G19/225-1,2)</f>
        <v>-0.24</v>
      </c>
    </row>
    <row r="20" spans="1:10" x14ac:dyDescent="0.25">
      <c r="A20" s="1" t="s">
        <v>16</v>
      </c>
      <c r="B20" s="1" t="s">
        <v>42</v>
      </c>
      <c r="C20" s="10"/>
      <c r="D20" s="10"/>
      <c r="E20" s="10">
        <v>247</v>
      </c>
      <c r="F20" s="10"/>
      <c r="G20" s="10">
        <f t="shared" si="0"/>
        <v>247</v>
      </c>
      <c r="H20" s="16">
        <f t="shared" si="1"/>
        <v>0.11</v>
      </c>
      <c r="I20" s="15">
        <f t="shared" si="2"/>
        <v>0</v>
      </c>
      <c r="J20" s="15">
        <f>ROUND(G20/157-1,2)</f>
        <v>0.56999999999999995</v>
      </c>
    </row>
    <row r="21" spans="1:10" x14ac:dyDescent="0.25">
      <c r="A21" s="1" t="s">
        <v>16</v>
      </c>
      <c r="B21" s="1" t="s">
        <v>29</v>
      </c>
      <c r="C21" s="10"/>
      <c r="D21" s="10"/>
      <c r="E21" s="10">
        <v>720</v>
      </c>
      <c r="F21" s="10"/>
      <c r="G21" s="10">
        <f t="shared" si="0"/>
        <v>720</v>
      </c>
      <c r="H21" s="16">
        <f t="shared" si="1"/>
        <v>0.32</v>
      </c>
      <c r="I21" s="15">
        <f t="shared" si="2"/>
        <v>1E-3</v>
      </c>
      <c r="J21" s="15">
        <f>ROUND(G21/3000-1,2)</f>
        <v>-0.76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640</v>
      </c>
      <c r="F22" s="10"/>
      <c r="G22" s="10">
        <f t="shared" si="0"/>
        <v>640</v>
      </c>
      <c r="H22" s="16">
        <f t="shared" si="1"/>
        <v>0.28999999999999998</v>
      </c>
      <c r="I22" s="15">
        <f t="shared" si="2"/>
        <v>1E-3</v>
      </c>
      <c r="J22" s="15">
        <f>ROUND(G22/400-1,2)</f>
        <v>0.6</v>
      </c>
    </row>
    <row r="23" spans="1:10" x14ac:dyDescent="0.25">
      <c r="A23" s="1" t="s">
        <v>16</v>
      </c>
      <c r="B23" s="1" t="s">
        <v>31</v>
      </c>
      <c r="C23" s="10"/>
      <c r="D23" s="10"/>
      <c r="E23" s="10">
        <v>660</v>
      </c>
      <c r="F23" s="10"/>
      <c r="G23" s="10">
        <f t="shared" si="0"/>
        <v>660</v>
      </c>
      <c r="H23" s="16">
        <f t="shared" si="1"/>
        <v>0.3</v>
      </c>
      <c r="I23" s="15">
        <f t="shared" si="2"/>
        <v>1E-3</v>
      </c>
      <c r="J23" s="15">
        <f>ROUND(G23/370-1,2)</f>
        <v>0.78</v>
      </c>
    </row>
    <row r="24" spans="1:10" x14ac:dyDescent="0.25">
      <c r="A24" s="1" t="s">
        <v>16</v>
      </c>
      <c r="B24" s="1" t="s">
        <v>33</v>
      </c>
      <c r="C24" s="10"/>
      <c r="D24" s="10">
        <v>167</v>
      </c>
      <c r="E24" s="10">
        <v>40</v>
      </c>
      <c r="F24" s="10"/>
      <c r="G24" s="10">
        <f t="shared" si="0"/>
        <v>207</v>
      </c>
      <c r="H24" s="16">
        <f t="shared" si="1"/>
        <v>0.09</v>
      </c>
      <c r="I24" s="15">
        <f t="shared" si="2"/>
        <v>0</v>
      </c>
      <c r="J24" s="15">
        <f>ROUND(G24/169-1,2)</f>
        <v>0.22</v>
      </c>
    </row>
    <row r="25" spans="1:10" x14ac:dyDescent="0.25">
      <c r="A25" s="1" t="s">
        <v>16</v>
      </c>
      <c r="B25" s="1" t="s">
        <v>34</v>
      </c>
      <c r="C25" s="10"/>
      <c r="D25" s="10"/>
      <c r="E25" s="10">
        <v>210</v>
      </c>
      <c r="F25" s="10"/>
      <c r="G25" s="10">
        <f t="shared" si="0"/>
        <v>210</v>
      </c>
      <c r="H25" s="16">
        <f t="shared" si="1"/>
        <v>0.09</v>
      </c>
      <c r="I25" s="15">
        <f t="shared" si="2"/>
        <v>0</v>
      </c>
      <c r="J25" s="15">
        <f>ROUND(G25/610-1,2)</f>
        <v>-0.66</v>
      </c>
    </row>
    <row r="26" spans="1:10" x14ac:dyDescent="0.25">
      <c r="A26" s="1" t="s">
        <v>16</v>
      </c>
      <c r="B26" s="1" t="s">
        <v>35</v>
      </c>
      <c r="C26" s="10"/>
      <c r="D26" s="10">
        <v>55</v>
      </c>
      <c r="E26" s="10"/>
      <c r="F26" s="10"/>
      <c r="G26" s="10">
        <f t="shared" si="0"/>
        <v>55</v>
      </c>
      <c r="H26" s="16">
        <f t="shared" si="1"/>
        <v>0.02</v>
      </c>
      <c r="I26" s="15">
        <f t="shared" si="2"/>
        <v>0</v>
      </c>
      <c r="J26" s="15">
        <f>ROUND(G26/350-1,2)</f>
        <v>-0.84</v>
      </c>
    </row>
    <row r="27" spans="1:10" x14ac:dyDescent="0.25">
      <c r="A27" s="1" t="s">
        <v>16</v>
      </c>
      <c r="B27" s="1" t="s">
        <v>36</v>
      </c>
      <c r="C27" s="10"/>
      <c r="D27" s="10"/>
      <c r="E27" s="10">
        <v>1158</v>
      </c>
      <c r="F27" s="10"/>
      <c r="G27" s="10">
        <f t="shared" si="0"/>
        <v>1158</v>
      </c>
      <c r="H27" s="16">
        <f t="shared" si="1"/>
        <v>0.52</v>
      </c>
      <c r="I27" s="15">
        <f t="shared" si="2"/>
        <v>1E-3</v>
      </c>
      <c r="J27" s="15">
        <f>ROUND(G27/3278-1,2)</f>
        <v>-0.65</v>
      </c>
    </row>
    <row r="28" spans="1:10" x14ac:dyDescent="0.25">
      <c r="A28" s="1" t="s">
        <v>16</v>
      </c>
      <c r="B28" s="1" t="s">
        <v>37</v>
      </c>
      <c r="C28" s="10"/>
      <c r="D28" s="10"/>
      <c r="E28" s="10">
        <v>1260</v>
      </c>
      <c r="F28" s="10"/>
      <c r="G28" s="10">
        <f t="shared" si="0"/>
        <v>1260</v>
      </c>
      <c r="H28" s="16">
        <f t="shared" si="1"/>
        <v>0.56000000000000005</v>
      </c>
      <c r="I28" s="15">
        <f t="shared" si="2"/>
        <v>1E-3</v>
      </c>
      <c r="J28" s="15">
        <f>ROUND(G28/6154-1,2)</f>
        <v>-0.8</v>
      </c>
    </row>
    <row r="29" spans="1:10" x14ac:dyDescent="0.25">
      <c r="A29" s="1" t="s">
        <v>16</v>
      </c>
      <c r="B29" s="1" t="s">
        <v>43</v>
      </c>
      <c r="C29" s="10"/>
      <c r="D29" s="10"/>
      <c r="E29" s="10">
        <v>2748</v>
      </c>
      <c r="F29" s="10"/>
      <c r="G29" s="10">
        <f t="shared" si="0"/>
        <v>2748</v>
      </c>
      <c r="H29" s="16">
        <f t="shared" si="1"/>
        <v>1.23</v>
      </c>
      <c r="I29" s="15">
        <f t="shared" si="2"/>
        <v>3.0000000000000001E-3</v>
      </c>
      <c r="J29" s="15">
        <f>ROUND(G29/6084-1,2)</f>
        <v>-0.55000000000000004</v>
      </c>
    </row>
    <row r="30" spans="1:10" x14ac:dyDescent="0.25">
      <c r="A30" s="1" t="s">
        <v>16</v>
      </c>
      <c r="B30" s="1" t="s">
        <v>38</v>
      </c>
      <c r="C30" s="10"/>
      <c r="D30" s="10"/>
      <c r="E30" s="10">
        <v>79780</v>
      </c>
      <c r="F30" s="10"/>
      <c r="G30" s="10">
        <f t="shared" si="0"/>
        <v>79780</v>
      </c>
      <c r="H30" s="16">
        <f t="shared" si="1"/>
        <v>35.729999999999997</v>
      </c>
      <c r="I30" s="15">
        <f t="shared" si="2"/>
        <v>7.2999999999999995E-2</v>
      </c>
      <c r="J30" s="15">
        <f>ROUND(G30/57810-1,2)</f>
        <v>0.38</v>
      </c>
    </row>
    <row r="31" spans="1:10" x14ac:dyDescent="0.25">
      <c r="A31" s="1" t="s">
        <v>16</v>
      </c>
      <c r="B31" s="1" t="s">
        <v>40</v>
      </c>
      <c r="C31" s="10"/>
      <c r="D31" s="10"/>
      <c r="E31" s="10">
        <v>22970</v>
      </c>
      <c r="F31" s="10"/>
      <c r="G31" s="10">
        <f t="shared" si="0"/>
        <v>22970</v>
      </c>
      <c r="H31" s="16">
        <f t="shared" si="1"/>
        <v>10.29</v>
      </c>
      <c r="I31" s="15">
        <f t="shared" si="2"/>
        <v>2.1000000000000001E-2</v>
      </c>
      <c r="J31" s="15">
        <f>ROUND(G31/19080-1,2)</f>
        <v>0.2</v>
      </c>
    </row>
    <row r="32" spans="1:10" x14ac:dyDescent="0.25">
      <c r="A32" s="1" t="s">
        <v>16</v>
      </c>
      <c r="B32" s="1" t="s">
        <v>41</v>
      </c>
      <c r="C32" s="10"/>
      <c r="D32" s="10"/>
      <c r="E32" s="10">
        <v>143550</v>
      </c>
      <c r="F32" s="10"/>
      <c r="G32" s="10">
        <f t="shared" si="0"/>
        <v>143550</v>
      </c>
      <c r="H32" s="16">
        <f t="shared" si="1"/>
        <v>64.290000000000006</v>
      </c>
      <c r="I32" s="15">
        <f t="shared" si="2"/>
        <v>0.13200000000000001</v>
      </c>
      <c r="J32" s="15">
        <f>ROUND(G32/109170-1,2)</f>
        <v>0.31</v>
      </c>
    </row>
    <row r="33" spans="1:10" x14ac:dyDescent="0.25">
      <c r="A33" s="1" t="s">
        <v>44</v>
      </c>
      <c r="B33" s="1" t="s">
        <v>45</v>
      </c>
      <c r="C33" s="10">
        <v>176060</v>
      </c>
      <c r="D33" s="10"/>
      <c r="E33" s="10"/>
      <c r="F33" s="10"/>
      <c r="G33" s="10">
        <f t="shared" si="0"/>
        <v>176060</v>
      </c>
      <c r="H33" s="16">
        <f t="shared" si="1"/>
        <v>78.84</v>
      </c>
      <c r="I33" s="15">
        <f t="shared" si="2"/>
        <v>0.16200000000000001</v>
      </c>
      <c r="J33" s="15">
        <f>ROUND(G33/171540-1,2)</f>
        <v>0.03</v>
      </c>
    </row>
    <row r="34" spans="1:10" x14ac:dyDescent="0.25">
      <c r="A34" s="1" t="s">
        <v>44</v>
      </c>
      <c r="B34" s="1" t="s">
        <v>47</v>
      </c>
      <c r="C34" s="10"/>
      <c r="D34" s="10"/>
      <c r="E34" s="10"/>
      <c r="F34" s="10">
        <v>20220</v>
      </c>
      <c r="G34" s="10">
        <f t="shared" si="0"/>
        <v>20220</v>
      </c>
      <c r="H34" s="16">
        <f t="shared" si="1"/>
        <v>9.06</v>
      </c>
      <c r="I34" s="15">
        <f t="shared" si="2"/>
        <v>1.9E-2</v>
      </c>
      <c r="J34" s="15">
        <f>ROUND(G34/28625-1,2)</f>
        <v>-0.28999999999999998</v>
      </c>
    </row>
    <row r="35" spans="1:10" x14ac:dyDescent="0.25">
      <c r="A35" s="1" t="s">
        <v>44</v>
      </c>
      <c r="B35" s="1" t="s">
        <v>46</v>
      </c>
      <c r="C35" s="10"/>
      <c r="D35" s="10"/>
      <c r="E35" s="10">
        <v>70620</v>
      </c>
      <c r="F35" s="10"/>
      <c r="G35" s="10">
        <f t="shared" si="0"/>
        <v>70620</v>
      </c>
      <c r="H35" s="16">
        <f t="shared" si="1"/>
        <v>31.63</v>
      </c>
      <c r="I35" s="15">
        <f t="shared" si="2"/>
        <v>6.5000000000000002E-2</v>
      </c>
      <c r="J35" s="15">
        <f>ROUND(G35/56920-1,2)</f>
        <v>0.24</v>
      </c>
    </row>
    <row r="36" spans="1:10" x14ac:dyDescent="0.25">
      <c r="A36" s="1" t="s">
        <v>48</v>
      </c>
      <c r="B36" s="1" t="s">
        <v>50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>
        <f>ROUND(G36/130-1,2)</f>
        <v>-1</v>
      </c>
    </row>
    <row r="37" spans="1:10" x14ac:dyDescent="0.25">
      <c r="A37" s="1" t="s">
        <v>48</v>
      </c>
      <c r="B37" s="1" t="s">
        <v>51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30" t="s">
        <v>12</v>
      </c>
      <c r="B38" s="30"/>
      <c r="C38" s="11">
        <f t="shared" ref="C38:H38" si="3">SUM(C8:C37)</f>
        <v>633630</v>
      </c>
      <c r="D38" s="11">
        <f t="shared" si="3"/>
        <v>222</v>
      </c>
      <c r="E38" s="11">
        <f t="shared" si="3"/>
        <v>433350</v>
      </c>
      <c r="F38" s="11">
        <f t="shared" si="3"/>
        <v>20560</v>
      </c>
      <c r="G38" s="11">
        <f t="shared" si="3"/>
        <v>1087762</v>
      </c>
      <c r="H38" s="14">
        <f t="shared" si="3"/>
        <v>487.15000000000015</v>
      </c>
      <c r="I38" s="17"/>
      <c r="J38" s="17"/>
    </row>
    <row r="39" spans="1:10" x14ac:dyDescent="0.25">
      <c r="A39" s="30" t="s">
        <v>14</v>
      </c>
      <c r="B39" s="30"/>
      <c r="C39" s="12">
        <f>ROUND(C38/G38,2)</f>
        <v>0.57999999999999996</v>
      </c>
      <c r="D39" s="12">
        <f>ROUND(D38/G38,2)</f>
        <v>0</v>
      </c>
      <c r="E39" s="12">
        <f>ROUND(E38/G38,2)</f>
        <v>0.4</v>
      </c>
      <c r="F39" s="12">
        <f>ROUND(F38/G38,2)</f>
        <v>0.02</v>
      </c>
      <c r="G39" s="13"/>
      <c r="H39" s="13"/>
      <c r="I39" s="17"/>
      <c r="J39" s="17"/>
    </row>
    <row r="40" spans="1:10" x14ac:dyDescent="0.25">
      <c r="A40" s="2" t="s">
        <v>52</v>
      </c>
      <c r="B40" s="2"/>
      <c r="C40" s="13"/>
      <c r="D40" s="13"/>
      <c r="E40" s="13"/>
      <c r="F40" s="13"/>
      <c r="G40" s="13"/>
      <c r="H40" s="13"/>
      <c r="I40" s="17"/>
      <c r="J40" s="17"/>
    </row>
    <row r="41" spans="1:10" x14ac:dyDescent="0.25">
      <c r="C41" s="8"/>
      <c r="D41" s="8"/>
      <c r="E41" s="8"/>
      <c r="F41" s="8"/>
      <c r="G41" s="8"/>
      <c r="H41" s="8"/>
      <c r="I41" s="9"/>
      <c r="J41" s="9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A44" s="30" t="s">
        <v>53</v>
      </c>
      <c r="B44" s="30"/>
      <c r="C44" s="11" t="s">
        <v>8</v>
      </c>
      <c r="D44" s="11" t="s">
        <v>9</v>
      </c>
      <c r="E44" s="11" t="s">
        <v>10</v>
      </c>
      <c r="F44" s="11" t="s">
        <v>11</v>
      </c>
      <c r="G44" s="11" t="s">
        <v>12</v>
      </c>
      <c r="H44" s="14" t="s">
        <v>13</v>
      </c>
      <c r="I44" s="17"/>
      <c r="J44" s="17"/>
    </row>
    <row r="45" spans="1:10" x14ac:dyDescent="0.25">
      <c r="A45" s="29" t="s">
        <v>54</v>
      </c>
      <c r="B45" s="29"/>
      <c r="C45" s="10">
        <v>457570</v>
      </c>
      <c r="D45" s="10">
        <v>222</v>
      </c>
      <c r="E45" s="10">
        <v>362730</v>
      </c>
      <c r="F45" s="10">
        <v>340</v>
      </c>
      <c r="G45" s="10">
        <f>SUM(C45:F45)</f>
        <v>820862</v>
      </c>
      <c r="H45" s="16">
        <f>ROUND(G45/2233,2)</f>
        <v>367.61</v>
      </c>
      <c r="I45" s="9"/>
      <c r="J45" s="9"/>
    </row>
    <row r="46" spans="1:10" x14ac:dyDescent="0.25">
      <c r="A46" s="29" t="s">
        <v>55</v>
      </c>
      <c r="B46" s="29"/>
      <c r="C46" s="10">
        <v>176060</v>
      </c>
      <c r="D46" s="10">
        <v>0</v>
      </c>
      <c r="E46" s="10">
        <v>70620</v>
      </c>
      <c r="F46" s="10">
        <v>20220</v>
      </c>
      <c r="G46" s="10">
        <f>SUM(C46:F46)</f>
        <v>266900</v>
      </c>
      <c r="H46" s="16">
        <f>ROUND(G46/2233,2)</f>
        <v>119.53</v>
      </c>
      <c r="I46" s="9"/>
      <c r="J46" s="9"/>
    </row>
    <row r="47" spans="1:10" x14ac:dyDescent="0.25">
      <c r="A47" s="29" t="s">
        <v>56</v>
      </c>
      <c r="B47" s="29"/>
      <c r="C47" s="10">
        <v>0</v>
      </c>
      <c r="D47" s="10">
        <v>0</v>
      </c>
      <c r="E47" s="10">
        <v>0</v>
      </c>
      <c r="F47" s="10">
        <v>0</v>
      </c>
      <c r="G47" s="10">
        <f>SUM(C47:F47)</f>
        <v>0</v>
      </c>
      <c r="H47" s="16">
        <f>ROUND(G47/2233,2)</f>
        <v>0</v>
      </c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A52" s="30" t="s">
        <v>57</v>
      </c>
      <c r="B52" s="30"/>
      <c r="C52" s="14" t="s">
        <v>2</v>
      </c>
      <c r="D52" s="14">
        <v>2023</v>
      </c>
      <c r="E52" s="14" t="s">
        <v>59</v>
      </c>
      <c r="F52" s="13"/>
      <c r="G52" s="14" t="s">
        <v>60</v>
      </c>
      <c r="H52" s="14" t="s">
        <v>2</v>
      </c>
      <c r="I52" s="12" t="s">
        <v>61</v>
      </c>
      <c r="J52" s="12" t="s">
        <v>59</v>
      </c>
    </row>
    <row r="53" spans="1:10" x14ac:dyDescent="0.25">
      <c r="A53" s="29" t="s">
        <v>58</v>
      </c>
      <c r="B53" s="29"/>
      <c r="C53" s="7">
        <f>ROUND(0.8176, 4)</f>
        <v>0.81759999999999999</v>
      </c>
      <c r="D53" s="7">
        <f>ROUND(0.8034, 4)</f>
        <v>0.8034</v>
      </c>
      <c r="E53" s="7">
        <f>ROUND(0.777, 4)</f>
        <v>0.77700000000000002</v>
      </c>
      <c r="G53" s="3" t="s">
        <v>62</v>
      </c>
      <c r="H53" s="36" t="s">
        <v>63</v>
      </c>
      <c r="I53" s="36" t="s">
        <v>64</v>
      </c>
      <c r="J53" s="36" t="s">
        <v>65</v>
      </c>
    </row>
    <row r="54" spans="1:10" x14ac:dyDescent="0.25">
      <c r="A54" s="29" t="s">
        <v>66</v>
      </c>
      <c r="B54" s="29"/>
      <c r="C54" s="7">
        <f>ROUND(0.8079, 4)</f>
        <v>0.80789999999999995</v>
      </c>
      <c r="D54" s="7">
        <f>ROUND(0.793, 4)</f>
        <v>0.79300000000000004</v>
      </c>
      <c r="E54" s="7">
        <f>ROUND(0.7608, 4)</f>
        <v>0.76080000000000003</v>
      </c>
      <c r="G54" s="3" t="s">
        <v>67</v>
      </c>
      <c r="H54" s="29"/>
      <c r="I54" s="29"/>
      <c r="J54" s="29"/>
    </row>
    <row r="57" spans="1:10" x14ac:dyDescent="0.25">
      <c r="G57" s="21"/>
    </row>
    <row r="58" spans="1:10" x14ac:dyDescent="0.25">
      <c r="A58" s="30" t="s">
        <v>68</v>
      </c>
      <c r="B58" s="30"/>
      <c r="C58" s="3" t="s">
        <v>2</v>
      </c>
      <c r="D58" s="3" t="s">
        <v>149</v>
      </c>
      <c r="E58" s="3" t="s">
        <v>70</v>
      </c>
      <c r="F58" s="3" t="s">
        <v>71</v>
      </c>
      <c r="G58" s="20" t="s">
        <v>72</v>
      </c>
      <c r="H58" s="2"/>
      <c r="I58" s="2"/>
      <c r="J58" s="2"/>
    </row>
    <row r="59" spans="1:10" x14ac:dyDescent="0.25">
      <c r="A59" s="29" t="s">
        <v>73</v>
      </c>
      <c r="B59" s="29"/>
      <c r="C59" s="1">
        <v>78.84</v>
      </c>
      <c r="D59" s="1">
        <v>74.040000000000006</v>
      </c>
      <c r="E59" s="1">
        <v>93.87</v>
      </c>
      <c r="F59" s="1">
        <v>57.16</v>
      </c>
      <c r="G59" s="1">
        <f>12/12*C59</f>
        <v>78.84</v>
      </c>
    </row>
    <row r="60" spans="1:10" x14ac:dyDescent="0.25">
      <c r="A60" s="29" t="s">
        <v>74</v>
      </c>
      <c r="B60" s="29"/>
      <c r="C60" s="1">
        <v>78.78</v>
      </c>
      <c r="D60" s="1">
        <v>83.57</v>
      </c>
      <c r="E60" s="1">
        <v>62.84</v>
      </c>
      <c r="F60" s="1">
        <v>65.39</v>
      </c>
      <c r="G60" s="1">
        <f>12/12*C60</f>
        <v>78.78</v>
      </c>
    </row>
    <row r="61" spans="1:10" x14ac:dyDescent="0.25">
      <c r="A61" s="29" t="s">
        <v>75</v>
      </c>
      <c r="B61" s="29"/>
      <c r="C61" s="1">
        <v>367.61</v>
      </c>
      <c r="D61" s="1">
        <v>345.32</v>
      </c>
      <c r="E61" s="1">
        <v>295.08999999999997</v>
      </c>
      <c r="F61" s="1">
        <v>289.06</v>
      </c>
      <c r="G61" s="1">
        <f>12/12*C61</f>
        <v>367.61</v>
      </c>
    </row>
    <row r="62" spans="1:10" x14ac:dyDescent="0.25">
      <c r="A62" s="29" t="s">
        <v>76</v>
      </c>
      <c r="B62" s="29"/>
      <c r="C62" s="1">
        <v>119.53</v>
      </c>
      <c r="D62" s="1">
        <v>111.5</v>
      </c>
      <c r="E62" s="1">
        <v>118.05</v>
      </c>
      <c r="F62" s="1">
        <v>81.41</v>
      </c>
      <c r="G62" s="1">
        <f>12/12*C62</f>
        <v>119.53</v>
      </c>
    </row>
    <row r="65" spans="1:2" x14ac:dyDescent="0.25">
      <c r="A65" s="28" t="s">
        <v>60</v>
      </c>
      <c r="B65" s="35"/>
    </row>
    <row r="66" spans="1:2" x14ac:dyDescent="0.25">
      <c r="A66" s="3" t="s">
        <v>77</v>
      </c>
      <c r="B66" s="1" t="s">
        <v>150</v>
      </c>
    </row>
    <row r="67" spans="1:2" x14ac:dyDescent="0.25">
      <c r="A67" s="3" t="s">
        <v>70</v>
      </c>
      <c r="B67" s="1" t="s">
        <v>79</v>
      </c>
    </row>
    <row r="68" spans="1:2" x14ac:dyDescent="0.25">
      <c r="A68" s="3" t="s">
        <v>71</v>
      </c>
      <c r="B68" s="1" t="s">
        <v>80</v>
      </c>
    </row>
    <row r="69" spans="1:2" x14ac:dyDescent="0.25">
      <c r="A69" s="3" t="s">
        <v>72</v>
      </c>
      <c r="B69" s="1" t="s">
        <v>81</v>
      </c>
    </row>
  </sheetData>
  <mergeCells count="19">
    <mergeCell ref="A60:B60"/>
    <mergeCell ref="A61:B61"/>
    <mergeCell ref="A62:B62"/>
    <mergeCell ref="A65:B65"/>
    <mergeCell ref="I53:I54"/>
    <mergeCell ref="J53:J54"/>
    <mergeCell ref="A54:B54"/>
    <mergeCell ref="A58:B58"/>
    <mergeCell ref="A59:B59"/>
    <mergeCell ref="A46:B46"/>
    <mergeCell ref="A47:B47"/>
    <mergeCell ref="A52:B52"/>
    <mergeCell ref="A53:B53"/>
    <mergeCell ref="H53:H54"/>
    <mergeCell ref="C7:G7"/>
    <mergeCell ref="A38:B38"/>
    <mergeCell ref="A39:B39"/>
    <mergeCell ref="A44:B44"/>
    <mergeCell ref="A45:B4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J73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1.1406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151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150</v>
      </c>
    </row>
    <row r="7" spans="1:10" x14ac:dyDescent="0.25">
      <c r="C7" s="28" t="s">
        <v>5</v>
      </c>
      <c r="D7" s="29"/>
      <c r="E7" s="29"/>
      <c r="F7" s="29"/>
      <c r="G7" s="29"/>
    </row>
    <row r="8" spans="1:10" x14ac:dyDescent="0.25">
      <c r="A8" s="25" t="s">
        <v>6</v>
      </c>
      <c r="B8" s="25" t="s">
        <v>7</v>
      </c>
      <c r="C8" s="27" t="s">
        <v>8</v>
      </c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</row>
    <row r="9" spans="1:10" x14ac:dyDescent="0.25">
      <c r="A9" s="1" t="s">
        <v>16</v>
      </c>
      <c r="B9" s="1" t="s">
        <v>19</v>
      </c>
      <c r="C9" s="10">
        <v>600</v>
      </c>
      <c r="D9" s="10">
        <v>7750</v>
      </c>
      <c r="E9" s="10"/>
      <c r="F9" s="10"/>
      <c r="G9" s="10">
        <f t="shared" ref="G9:G20" si="0">SUM(C9:F9)</f>
        <v>8350</v>
      </c>
      <c r="H9" s="16">
        <f t="shared" ref="H9:H20" si="1">ROUND(G9/150,2)</f>
        <v>55.67</v>
      </c>
      <c r="I9" s="15">
        <f t="shared" ref="I9:I20" si="2">ROUND(G9/$G$21,3)</f>
        <v>0.11</v>
      </c>
      <c r="J9" s="15">
        <f>ROUND(G9/8625-1,2)</f>
        <v>-0.03</v>
      </c>
    </row>
    <row r="10" spans="1:10" x14ac:dyDescent="0.25">
      <c r="A10" s="1" t="s">
        <v>16</v>
      </c>
      <c r="B10" s="1" t="s">
        <v>20</v>
      </c>
      <c r="C10" s="10"/>
      <c r="D10" s="10">
        <v>7395</v>
      </c>
      <c r="E10" s="10"/>
      <c r="F10" s="10"/>
      <c r="G10" s="10">
        <f t="shared" si="0"/>
        <v>7395</v>
      </c>
      <c r="H10" s="16">
        <f t="shared" si="1"/>
        <v>49.3</v>
      </c>
      <c r="I10" s="15">
        <f t="shared" si="2"/>
        <v>9.7000000000000003E-2</v>
      </c>
      <c r="J10" s="15">
        <f>ROUND(G10/8120-1,2)</f>
        <v>-0.09</v>
      </c>
    </row>
    <row r="11" spans="1:10" x14ac:dyDescent="0.25">
      <c r="A11" s="1" t="s">
        <v>16</v>
      </c>
      <c r="B11" s="1" t="s">
        <v>24</v>
      </c>
      <c r="C11" s="10">
        <v>640</v>
      </c>
      <c r="D11" s="10">
        <v>9540</v>
      </c>
      <c r="E11" s="10"/>
      <c r="F11" s="10"/>
      <c r="G11" s="10">
        <f t="shared" si="0"/>
        <v>10180</v>
      </c>
      <c r="H11" s="16">
        <f t="shared" si="1"/>
        <v>67.87</v>
      </c>
      <c r="I11" s="15">
        <f t="shared" si="2"/>
        <v>0.13400000000000001</v>
      </c>
      <c r="J11" s="15">
        <f>ROUND(G11/8920-1,2)</f>
        <v>0.14000000000000001</v>
      </c>
    </row>
    <row r="12" spans="1:10" x14ac:dyDescent="0.25">
      <c r="A12" s="1" t="s">
        <v>16</v>
      </c>
      <c r="B12" s="1" t="s">
        <v>26</v>
      </c>
      <c r="C12" s="10">
        <v>3000</v>
      </c>
      <c r="D12" s="10">
        <v>4410</v>
      </c>
      <c r="E12" s="10"/>
      <c r="F12" s="10">
        <v>80</v>
      </c>
      <c r="G12" s="10">
        <f t="shared" si="0"/>
        <v>7490</v>
      </c>
      <c r="H12" s="16">
        <f t="shared" si="1"/>
        <v>49.93</v>
      </c>
      <c r="I12" s="15">
        <f t="shared" si="2"/>
        <v>9.8000000000000004E-2</v>
      </c>
      <c r="J12" s="15">
        <f>ROUND(G12/160-1,2)</f>
        <v>45.81</v>
      </c>
    </row>
    <row r="13" spans="1:10" x14ac:dyDescent="0.25">
      <c r="A13" s="1" t="s">
        <v>16</v>
      </c>
      <c r="B13" s="1" t="s">
        <v>33</v>
      </c>
      <c r="C13" s="10"/>
      <c r="D13" s="10">
        <v>89</v>
      </c>
      <c r="E13" s="10">
        <v>16</v>
      </c>
      <c r="F13" s="10"/>
      <c r="G13" s="10">
        <f t="shared" si="0"/>
        <v>105</v>
      </c>
      <c r="H13" s="16">
        <f t="shared" si="1"/>
        <v>0.7</v>
      </c>
      <c r="I13" s="15">
        <f t="shared" si="2"/>
        <v>1E-3</v>
      </c>
      <c r="J13" s="15">
        <f>ROUND(G13/73-1,2)</f>
        <v>0.44</v>
      </c>
    </row>
    <row r="14" spans="1:10" x14ac:dyDescent="0.25">
      <c r="A14" s="1" t="s">
        <v>16</v>
      </c>
      <c r="B14" s="1" t="s">
        <v>35</v>
      </c>
      <c r="C14" s="10"/>
      <c r="D14" s="10">
        <v>60</v>
      </c>
      <c r="E14" s="10"/>
      <c r="F14" s="10"/>
      <c r="G14" s="10">
        <f t="shared" si="0"/>
        <v>60</v>
      </c>
      <c r="H14" s="16">
        <f t="shared" si="1"/>
        <v>0.4</v>
      </c>
      <c r="I14" s="15">
        <f t="shared" si="2"/>
        <v>1E-3</v>
      </c>
      <c r="J14" s="15">
        <f>ROUND(G14/61-1,2)</f>
        <v>-0.02</v>
      </c>
    </row>
    <row r="15" spans="1:10" x14ac:dyDescent="0.25">
      <c r="A15" s="1" t="s">
        <v>16</v>
      </c>
      <c r="B15" s="1" t="s">
        <v>40</v>
      </c>
      <c r="C15" s="10"/>
      <c r="D15" s="10"/>
      <c r="E15" s="10">
        <v>2770</v>
      </c>
      <c r="F15" s="10"/>
      <c r="G15" s="10">
        <f t="shared" si="0"/>
        <v>2770</v>
      </c>
      <c r="H15" s="16">
        <f t="shared" si="1"/>
        <v>18.47</v>
      </c>
      <c r="I15" s="15">
        <f t="shared" si="2"/>
        <v>3.5999999999999997E-2</v>
      </c>
      <c r="J15" s="15">
        <f>ROUND(G15/2830-1,2)</f>
        <v>-0.02</v>
      </c>
    </row>
    <row r="16" spans="1:10" x14ac:dyDescent="0.25">
      <c r="A16" s="1" t="s">
        <v>16</v>
      </c>
      <c r="B16" s="1" t="s">
        <v>41</v>
      </c>
      <c r="C16" s="10"/>
      <c r="D16" s="10"/>
      <c r="E16" s="10">
        <v>1620</v>
      </c>
      <c r="F16" s="10"/>
      <c r="G16" s="10">
        <f t="shared" si="0"/>
        <v>1620</v>
      </c>
      <c r="H16" s="16">
        <f t="shared" si="1"/>
        <v>10.8</v>
      </c>
      <c r="I16" s="15">
        <f t="shared" si="2"/>
        <v>2.1000000000000001E-2</v>
      </c>
      <c r="J16" s="15">
        <f>ROUND(G16/6960-1,2)</f>
        <v>-0.77</v>
      </c>
    </row>
    <row r="17" spans="1:10" x14ac:dyDescent="0.25">
      <c r="A17" s="1" t="s">
        <v>16</v>
      </c>
      <c r="B17" s="1" t="s">
        <v>23</v>
      </c>
      <c r="C17" s="10"/>
      <c r="D17" s="10"/>
      <c r="E17" s="10"/>
      <c r="F17" s="10"/>
      <c r="G17" s="10">
        <f t="shared" si="0"/>
        <v>0</v>
      </c>
      <c r="H17" s="16">
        <f t="shared" si="1"/>
        <v>0</v>
      </c>
      <c r="I17" s="15">
        <f t="shared" si="2"/>
        <v>0</v>
      </c>
      <c r="J17" s="15"/>
    </row>
    <row r="18" spans="1:10" x14ac:dyDescent="0.25">
      <c r="A18" s="1" t="s">
        <v>44</v>
      </c>
      <c r="B18" s="1" t="s">
        <v>45</v>
      </c>
      <c r="C18" s="10"/>
      <c r="D18" s="10">
        <v>32920</v>
      </c>
      <c r="E18" s="10"/>
      <c r="F18" s="10"/>
      <c r="G18" s="10">
        <f t="shared" si="0"/>
        <v>32920</v>
      </c>
      <c r="H18" s="16">
        <f t="shared" si="1"/>
        <v>219.47</v>
      </c>
      <c r="I18" s="15">
        <f t="shared" si="2"/>
        <v>0.433</v>
      </c>
      <c r="J18" s="15">
        <f>ROUND(G18/31485-1,2)</f>
        <v>0.05</v>
      </c>
    </row>
    <row r="19" spans="1:10" x14ac:dyDescent="0.25">
      <c r="A19" s="1" t="s">
        <v>44</v>
      </c>
      <c r="B19" s="1" t="s">
        <v>46</v>
      </c>
      <c r="C19" s="10"/>
      <c r="D19" s="10"/>
      <c r="E19" s="10">
        <v>5200</v>
      </c>
      <c r="F19" s="10"/>
      <c r="G19" s="10">
        <f t="shared" si="0"/>
        <v>5200</v>
      </c>
      <c r="H19" s="16">
        <f t="shared" si="1"/>
        <v>34.67</v>
      </c>
      <c r="I19" s="15">
        <f t="shared" si="2"/>
        <v>6.8000000000000005E-2</v>
      </c>
      <c r="J19" s="15">
        <f>ROUND(G19/10820-1,2)</f>
        <v>-0.52</v>
      </c>
    </row>
    <row r="20" spans="1:10" x14ac:dyDescent="0.25">
      <c r="A20" s="1" t="s">
        <v>48</v>
      </c>
      <c r="B20" s="1" t="s">
        <v>51</v>
      </c>
      <c r="C20" s="10"/>
      <c r="D20" s="10"/>
      <c r="E20" s="10"/>
      <c r="F20" s="10"/>
      <c r="G20" s="10">
        <f t="shared" si="0"/>
        <v>0</v>
      </c>
      <c r="H20" s="16">
        <f t="shared" si="1"/>
        <v>0</v>
      </c>
      <c r="I20" s="15">
        <f t="shared" si="2"/>
        <v>0</v>
      </c>
      <c r="J20" s="15"/>
    </row>
    <row r="21" spans="1:10" x14ac:dyDescent="0.25">
      <c r="A21" s="30" t="s">
        <v>12</v>
      </c>
      <c r="B21" s="30"/>
      <c r="C21" s="11">
        <f t="shared" ref="C21:H21" si="3">SUM(C8:C20)</f>
        <v>4240</v>
      </c>
      <c r="D21" s="11">
        <f t="shared" si="3"/>
        <v>62164</v>
      </c>
      <c r="E21" s="11">
        <f t="shared" si="3"/>
        <v>9606</v>
      </c>
      <c r="F21" s="11">
        <f t="shared" si="3"/>
        <v>80</v>
      </c>
      <c r="G21" s="11">
        <f t="shared" si="3"/>
        <v>76090</v>
      </c>
      <c r="H21" s="14">
        <f t="shared" si="3"/>
        <v>507.28000000000003</v>
      </c>
      <c r="I21" s="17"/>
      <c r="J21" s="17"/>
    </row>
    <row r="22" spans="1:10" x14ac:dyDescent="0.25">
      <c r="A22" s="30" t="s">
        <v>14</v>
      </c>
      <c r="B22" s="30"/>
      <c r="C22" s="12">
        <f>ROUND(C21/G21,2)</f>
        <v>0.06</v>
      </c>
      <c r="D22" s="12">
        <f>ROUND(D21/G21,2)</f>
        <v>0.82</v>
      </c>
      <c r="E22" s="12">
        <f>ROUND(E21/G21,2)</f>
        <v>0.13</v>
      </c>
      <c r="F22" s="12">
        <f>ROUND(F21/G21,2)</f>
        <v>0</v>
      </c>
      <c r="G22" s="13"/>
      <c r="H22" s="13"/>
      <c r="I22" s="17"/>
      <c r="J22" s="17"/>
    </row>
    <row r="23" spans="1:10" x14ac:dyDescent="0.25">
      <c r="A23" s="2" t="s">
        <v>52</v>
      </c>
      <c r="B23" s="2"/>
      <c r="C23" s="13"/>
      <c r="D23" s="13"/>
      <c r="E23" s="13"/>
      <c r="F23" s="13"/>
      <c r="G23" s="13"/>
      <c r="H23" s="13"/>
      <c r="I23" s="17"/>
      <c r="J23" s="17"/>
    </row>
    <row r="24" spans="1:10" x14ac:dyDescent="0.25">
      <c r="C24" s="8"/>
      <c r="D24" s="8"/>
      <c r="E24" s="8"/>
      <c r="F24" s="8"/>
      <c r="G24" s="8"/>
      <c r="H24" s="8"/>
      <c r="I24" s="9"/>
      <c r="J24" s="9"/>
    </row>
    <row r="25" spans="1:10" x14ac:dyDescent="0.25">
      <c r="C25" s="8"/>
      <c r="D25" s="8"/>
      <c r="E25" s="8"/>
      <c r="F25" s="8"/>
      <c r="G25" s="8"/>
      <c r="H25" s="8"/>
      <c r="I25" s="9"/>
      <c r="J25" s="9"/>
    </row>
    <row r="26" spans="1:10" x14ac:dyDescent="0.25">
      <c r="C26" s="8"/>
      <c r="D26" s="8"/>
      <c r="E26" s="8"/>
      <c r="F26" s="8"/>
      <c r="G26" s="8"/>
      <c r="H26" s="8"/>
      <c r="I26" s="9"/>
      <c r="J26" s="9"/>
    </row>
    <row r="27" spans="1:10" x14ac:dyDescent="0.25">
      <c r="A27" s="30" t="s">
        <v>53</v>
      </c>
      <c r="B27" s="30"/>
      <c r="C27" s="11" t="s">
        <v>8</v>
      </c>
      <c r="D27" s="11" t="s">
        <v>9</v>
      </c>
      <c r="E27" s="11" t="s">
        <v>10</v>
      </c>
      <c r="F27" s="11" t="s">
        <v>11</v>
      </c>
      <c r="G27" s="11" t="s">
        <v>12</v>
      </c>
      <c r="H27" s="14" t="s">
        <v>13</v>
      </c>
      <c r="I27" s="17"/>
      <c r="J27" s="17"/>
    </row>
    <row r="28" spans="1:10" x14ac:dyDescent="0.25">
      <c r="A28" s="29" t="s">
        <v>54</v>
      </c>
      <c r="B28" s="29"/>
      <c r="C28" s="10">
        <v>4240</v>
      </c>
      <c r="D28" s="10">
        <v>29244</v>
      </c>
      <c r="E28" s="10">
        <v>4406</v>
      </c>
      <c r="F28" s="10">
        <v>80</v>
      </c>
      <c r="G28" s="10">
        <f>SUM(C28:F28)</f>
        <v>37970</v>
      </c>
      <c r="H28" s="16">
        <f>ROUND(G28/150,2)</f>
        <v>253.13</v>
      </c>
      <c r="I28" s="9"/>
      <c r="J28" s="9"/>
    </row>
    <row r="29" spans="1:10" x14ac:dyDescent="0.25">
      <c r="A29" s="29" t="s">
        <v>55</v>
      </c>
      <c r="B29" s="29"/>
      <c r="C29" s="10">
        <v>0</v>
      </c>
      <c r="D29" s="10">
        <v>32920</v>
      </c>
      <c r="E29" s="10">
        <v>5200</v>
      </c>
      <c r="F29" s="10">
        <v>0</v>
      </c>
      <c r="G29" s="10">
        <f>SUM(C29:F29)</f>
        <v>38120</v>
      </c>
      <c r="H29" s="16">
        <f>ROUND(G29/150,2)</f>
        <v>254.13</v>
      </c>
      <c r="I29" s="9"/>
      <c r="J29" s="9"/>
    </row>
    <row r="30" spans="1:10" x14ac:dyDescent="0.25">
      <c r="A30" s="29" t="s">
        <v>56</v>
      </c>
      <c r="B30" s="29"/>
      <c r="C30" s="10">
        <v>0</v>
      </c>
      <c r="D30" s="10">
        <v>0</v>
      </c>
      <c r="E30" s="10">
        <v>0</v>
      </c>
      <c r="F30" s="10">
        <v>0</v>
      </c>
      <c r="G30" s="10">
        <f>SUM(C30:F30)</f>
        <v>0</v>
      </c>
      <c r="H30" s="16">
        <f>ROUND(G30/150,2)</f>
        <v>0</v>
      </c>
      <c r="I30" s="9"/>
      <c r="J30" s="9"/>
    </row>
    <row r="31" spans="1:10" x14ac:dyDescent="0.25">
      <c r="C31" s="8"/>
      <c r="D31" s="8"/>
      <c r="E31" s="8"/>
      <c r="F31" s="8"/>
      <c r="G31" s="8"/>
      <c r="H31" s="8"/>
      <c r="I31" s="9"/>
      <c r="J31" s="9"/>
    </row>
    <row r="32" spans="1:10" x14ac:dyDescent="0.25">
      <c r="C32" s="8"/>
      <c r="D32" s="8"/>
      <c r="E32" s="8"/>
      <c r="F32" s="8"/>
      <c r="G32" s="8"/>
      <c r="H32" s="8"/>
      <c r="I32" s="9"/>
      <c r="J32" s="9"/>
    </row>
    <row r="33" spans="1:10" x14ac:dyDescent="0.25">
      <c r="C33" s="8"/>
      <c r="D33" s="8"/>
      <c r="E33" s="8"/>
      <c r="F33" s="8"/>
      <c r="G33" s="8"/>
      <c r="H33" s="8"/>
      <c r="I33" s="9"/>
      <c r="J33" s="9"/>
    </row>
    <row r="34" spans="1:10" x14ac:dyDescent="0.25">
      <c r="C34" s="8"/>
      <c r="D34" s="8"/>
      <c r="E34" s="8"/>
      <c r="F34" s="8"/>
      <c r="G34" s="8"/>
      <c r="H34" s="8"/>
      <c r="I34" s="9"/>
      <c r="J34" s="9"/>
    </row>
    <row r="35" spans="1:10" x14ac:dyDescent="0.25">
      <c r="A35" s="30" t="s">
        <v>57</v>
      </c>
      <c r="B35" s="30"/>
      <c r="C35" s="14" t="s">
        <v>2</v>
      </c>
      <c r="D35" s="14">
        <v>2023</v>
      </c>
      <c r="E35" s="14" t="s">
        <v>59</v>
      </c>
      <c r="F35" s="13"/>
      <c r="G35" s="14" t="s">
        <v>60</v>
      </c>
      <c r="H35" s="14" t="s">
        <v>2</v>
      </c>
      <c r="I35" s="12" t="s">
        <v>61</v>
      </c>
      <c r="J35" s="12" t="s">
        <v>59</v>
      </c>
    </row>
    <row r="36" spans="1:10" x14ac:dyDescent="0.25">
      <c r="A36" s="29" t="s">
        <v>58</v>
      </c>
      <c r="B36" s="29"/>
      <c r="C36" s="15">
        <f>ROUND(0.56, 4)</f>
        <v>0.56000000000000005</v>
      </c>
      <c r="D36" s="15">
        <f>ROUND(0.5817, 4)</f>
        <v>0.58169999999999999</v>
      </c>
      <c r="E36" s="15">
        <f>ROUND(0.777, 4)</f>
        <v>0.77700000000000002</v>
      </c>
      <c r="F36" s="8"/>
      <c r="G36" s="14" t="s">
        <v>62</v>
      </c>
      <c r="H36" s="33" t="s">
        <v>63</v>
      </c>
      <c r="I36" s="31" t="s">
        <v>64</v>
      </c>
      <c r="J36" s="31" t="s">
        <v>65</v>
      </c>
    </row>
    <row r="37" spans="1:10" x14ac:dyDescent="0.25">
      <c r="A37" s="29" t="s">
        <v>66</v>
      </c>
      <c r="B37" s="29"/>
      <c r="C37" s="15">
        <f>ROUND(0.5192, 4)</f>
        <v>0.51919999999999999</v>
      </c>
      <c r="D37" s="15">
        <f>ROUND(0.5406, 4)</f>
        <v>0.54059999999999997</v>
      </c>
      <c r="E37" s="15">
        <f>ROUND(0.7608, 4)</f>
        <v>0.76080000000000003</v>
      </c>
      <c r="F37" s="8"/>
      <c r="G37" s="14" t="s">
        <v>67</v>
      </c>
      <c r="H37" s="34"/>
      <c r="I37" s="32"/>
      <c r="J37" s="32"/>
    </row>
    <row r="38" spans="1:10" x14ac:dyDescent="0.25">
      <c r="C38" s="8"/>
      <c r="D38" s="8"/>
      <c r="E38" s="8"/>
      <c r="F38" s="8"/>
      <c r="G38" s="8"/>
      <c r="H38" s="8"/>
      <c r="I38" s="9"/>
      <c r="J38" s="9"/>
    </row>
    <row r="39" spans="1:10" x14ac:dyDescent="0.25">
      <c r="C39" s="8"/>
      <c r="D39" s="8"/>
      <c r="E39" s="8"/>
      <c r="F39" s="8"/>
      <c r="G39" s="8"/>
      <c r="H39" s="8"/>
      <c r="I39" s="9"/>
      <c r="J39" s="9"/>
    </row>
    <row r="40" spans="1:10" x14ac:dyDescent="0.25">
      <c r="C40" s="8"/>
      <c r="D40" s="8"/>
      <c r="E40" s="8"/>
      <c r="F40" s="8"/>
      <c r="G40" s="8"/>
      <c r="H40" s="8"/>
      <c r="I40" s="9"/>
      <c r="J40" s="9"/>
    </row>
    <row r="41" spans="1:10" x14ac:dyDescent="0.25">
      <c r="A41" s="30" t="s">
        <v>68</v>
      </c>
      <c r="B41" s="30"/>
      <c r="C41" s="14" t="s">
        <v>2</v>
      </c>
      <c r="D41" s="14" t="s">
        <v>152</v>
      </c>
      <c r="E41" s="14" t="s">
        <v>70</v>
      </c>
      <c r="F41" s="14" t="s">
        <v>71</v>
      </c>
      <c r="G41" s="14" t="s">
        <v>72</v>
      </c>
      <c r="H41" s="13"/>
      <c r="I41" s="17"/>
      <c r="J41" s="17"/>
    </row>
    <row r="42" spans="1:10" x14ac:dyDescent="0.25">
      <c r="A42" s="29" t="s">
        <v>73</v>
      </c>
      <c r="B42" s="29"/>
      <c r="C42" s="16">
        <v>219.47</v>
      </c>
      <c r="D42" s="16">
        <v>197.03</v>
      </c>
      <c r="E42" s="16">
        <v>93.87</v>
      </c>
      <c r="F42" s="16">
        <v>57.16</v>
      </c>
      <c r="G42" s="16">
        <f>12/12*C42</f>
        <v>219.47</v>
      </c>
      <c r="H42" s="8"/>
      <c r="I42" s="9"/>
      <c r="J42" s="9"/>
    </row>
    <row r="43" spans="1:10" x14ac:dyDescent="0.25">
      <c r="A43" s="29" t="s">
        <v>74</v>
      </c>
      <c r="B43" s="29"/>
      <c r="C43" s="16">
        <v>49.93</v>
      </c>
      <c r="D43" s="16">
        <v>39.82</v>
      </c>
      <c r="E43" s="16">
        <v>62.84</v>
      </c>
      <c r="F43" s="16">
        <v>65.39</v>
      </c>
      <c r="G43" s="16">
        <f>12/12*C43</f>
        <v>49.93</v>
      </c>
      <c r="H43" s="8"/>
      <c r="I43" s="9"/>
      <c r="J43" s="9"/>
    </row>
    <row r="44" spans="1:10" x14ac:dyDescent="0.25">
      <c r="A44" s="29" t="s">
        <v>75</v>
      </c>
      <c r="B44" s="29"/>
      <c r="C44" s="16">
        <v>253.13</v>
      </c>
      <c r="D44" s="16">
        <v>279.2</v>
      </c>
      <c r="E44" s="16">
        <v>295.08999999999997</v>
      </c>
      <c r="F44" s="16">
        <v>289.06</v>
      </c>
      <c r="G44" s="16">
        <f>12/12*C44</f>
        <v>253.13</v>
      </c>
      <c r="H44" s="8"/>
      <c r="I44" s="9"/>
      <c r="J44" s="9"/>
    </row>
    <row r="45" spans="1:10" x14ac:dyDescent="0.25">
      <c r="A45" s="29" t="s">
        <v>76</v>
      </c>
      <c r="B45" s="29"/>
      <c r="C45" s="16">
        <v>254.13</v>
      </c>
      <c r="D45" s="16">
        <v>257.75</v>
      </c>
      <c r="E45" s="16">
        <v>118.05</v>
      </c>
      <c r="F45" s="16">
        <v>81.41</v>
      </c>
      <c r="G45" s="16">
        <f>12/12*C45</f>
        <v>254.13</v>
      </c>
      <c r="H45" s="8"/>
      <c r="I45" s="9"/>
      <c r="J45" s="9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A48" s="28" t="s">
        <v>60</v>
      </c>
      <c r="B48" s="35"/>
      <c r="C48" s="8"/>
      <c r="D48" s="8"/>
      <c r="E48" s="8"/>
      <c r="F48" s="8"/>
      <c r="G48" s="8"/>
      <c r="H48" s="8"/>
      <c r="I48" s="9"/>
      <c r="J48" s="9"/>
    </row>
    <row r="49" spans="1:10" x14ac:dyDescent="0.25">
      <c r="A49" s="3" t="s">
        <v>77</v>
      </c>
      <c r="B49" s="1" t="s">
        <v>153</v>
      </c>
      <c r="C49" s="8"/>
      <c r="D49" s="8"/>
      <c r="E49" s="8"/>
      <c r="F49" s="8"/>
      <c r="G49" s="8"/>
      <c r="H49" s="8"/>
      <c r="I49" s="9"/>
      <c r="J49" s="9"/>
    </row>
    <row r="50" spans="1:10" x14ac:dyDescent="0.25">
      <c r="A50" s="3" t="s">
        <v>70</v>
      </c>
      <c r="B50" s="1" t="s">
        <v>79</v>
      </c>
      <c r="C50" s="8"/>
      <c r="D50" s="8"/>
      <c r="E50" s="8"/>
      <c r="F50" s="8"/>
      <c r="G50" s="8"/>
      <c r="H50" s="8"/>
      <c r="I50" s="9"/>
      <c r="J50" s="9"/>
    </row>
    <row r="51" spans="1:10" x14ac:dyDescent="0.25">
      <c r="A51" s="3" t="s">
        <v>71</v>
      </c>
      <c r="B51" s="1" t="s">
        <v>80</v>
      </c>
      <c r="C51" s="8"/>
      <c r="D51" s="8"/>
      <c r="E51" s="8"/>
      <c r="F51" s="8"/>
      <c r="G51" s="8"/>
      <c r="H51" s="8"/>
      <c r="I51" s="9"/>
      <c r="J51" s="9"/>
    </row>
    <row r="52" spans="1:10" x14ac:dyDescent="0.25">
      <c r="A52" s="3" t="s">
        <v>72</v>
      </c>
      <c r="B52" s="1" t="s">
        <v>81</v>
      </c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21"/>
      <c r="H57" s="8"/>
      <c r="I57" s="9"/>
      <c r="J57" s="9"/>
    </row>
    <row r="58" spans="1:10" x14ac:dyDescent="0.25">
      <c r="C58" s="8"/>
      <c r="D58" s="8"/>
      <c r="E58" s="8"/>
      <c r="F58" s="8"/>
      <c r="G58" s="21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3:10" x14ac:dyDescent="0.25">
      <c r="C65" s="8"/>
      <c r="D65" s="8"/>
      <c r="E65" s="8"/>
      <c r="F65" s="8"/>
      <c r="G65" s="8"/>
      <c r="H65" s="8"/>
      <c r="I65" s="9"/>
      <c r="J65" s="9"/>
    </row>
    <row r="66" spans="3:10" x14ac:dyDescent="0.25">
      <c r="C66" s="8"/>
      <c r="D66" s="8"/>
      <c r="E66" s="8"/>
      <c r="F66" s="8"/>
      <c r="G66" s="8"/>
      <c r="H66" s="8"/>
      <c r="I66" s="9"/>
      <c r="J66" s="9"/>
    </row>
    <row r="67" spans="3:10" x14ac:dyDescent="0.25">
      <c r="C67" s="8"/>
      <c r="D67" s="8"/>
      <c r="E67" s="8"/>
      <c r="F67" s="8"/>
      <c r="G67" s="8"/>
      <c r="H67" s="8"/>
      <c r="I67" s="9"/>
      <c r="J67" s="9"/>
    </row>
    <row r="68" spans="3:10" x14ac:dyDescent="0.25">
      <c r="C68" s="8"/>
      <c r="D68" s="8"/>
      <c r="E68" s="8"/>
      <c r="F68" s="8"/>
      <c r="G68" s="8"/>
      <c r="H68" s="8"/>
      <c r="I68" s="9"/>
      <c r="J68" s="9"/>
    </row>
    <row r="69" spans="3:10" x14ac:dyDescent="0.25">
      <c r="C69" s="8"/>
      <c r="D69" s="8"/>
      <c r="E69" s="8"/>
      <c r="F69" s="8"/>
      <c r="G69" s="8"/>
      <c r="H69" s="8"/>
      <c r="I69" s="9"/>
      <c r="J69" s="9"/>
    </row>
    <row r="70" spans="3:10" x14ac:dyDescent="0.25">
      <c r="C70" s="8"/>
      <c r="D70" s="8"/>
      <c r="E70" s="8"/>
      <c r="F70" s="8"/>
      <c r="G70" s="8"/>
      <c r="H70" s="8"/>
      <c r="I70" s="9"/>
      <c r="J70" s="9"/>
    </row>
    <row r="71" spans="3:10" x14ac:dyDescent="0.25">
      <c r="C71" s="8"/>
      <c r="D71" s="8"/>
      <c r="E71" s="8"/>
      <c r="F71" s="8"/>
      <c r="G71" s="8"/>
      <c r="H71" s="8"/>
      <c r="I71" s="9"/>
      <c r="J71" s="9"/>
    </row>
    <row r="72" spans="3:10" x14ac:dyDescent="0.25">
      <c r="C72" s="8"/>
      <c r="D72" s="8"/>
      <c r="E72" s="8"/>
      <c r="F72" s="8"/>
      <c r="G72" s="8"/>
      <c r="H72" s="8"/>
      <c r="I72" s="9"/>
      <c r="J72" s="9"/>
    </row>
    <row r="73" spans="3:10" x14ac:dyDescent="0.25">
      <c r="C73" s="8"/>
      <c r="D73" s="8"/>
      <c r="E73" s="8"/>
      <c r="F73" s="8"/>
      <c r="G73" s="8"/>
      <c r="H73" s="8"/>
      <c r="I73" s="9"/>
      <c r="J73" s="9"/>
    </row>
  </sheetData>
  <mergeCells count="19">
    <mergeCell ref="A43:B43"/>
    <mergeCell ref="A44:B44"/>
    <mergeCell ref="A45:B45"/>
    <mergeCell ref="A48:B48"/>
    <mergeCell ref="I36:I37"/>
    <mergeCell ref="J36:J37"/>
    <mergeCell ref="A37:B37"/>
    <mergeCell ref="A41:B41"/>
    <mergeCell ref="A42:B42"/>
    <mergeCell ref="A29:B29"/>
    <mergeCell ref="A30:B30"/>
    <mergeCell ref="A35:B35"/>
    <mergeCell ref="A36:B36"/>
    <mergeCell ref="H36:H37"/>
    <mergeCell ref="C7:G7"/>
    <mergeCell ref="A21:B21"/>
    <mergeCell ref="A22:B22"/>
    <mergeCell ref="A27:B27"/>
    <mergeCell ref="A28:B2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J77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154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1264</v>
      </c>
    </row>
    <row r="7" spans="1:10" x14ac:dyDescent="0.25">
      <c r="C7" s="28" t="s">
        <v>5</v>
      </c>
      <c r="D7" s="29"/>
      <c r="E7" s="29"/>
      <c r="F7" s="29"/>
      <c r="G7" s="29"/>
    </row>
    <row r="8" spans="1:10" x14ac:dyDescent="0.25">
      <c r="A8" s="25" t="s">
        <v>6</v>
      </c>
      <c r="B8" s="25" t="s">
        <v>7</v>
      </c>
      <c r="C8" s="27" t="s">
        <v>8</v>
      </c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23</v>
      </c>
      <c r="F9" s="10"/>
      <c r="G9" s="10">
        <f t="shared" ref="G9:G41" si="0">SUM(C9:F9)</f>
        <v>23</v>
      </c>
      <c r="H9" s="16">
        <f t="shared" ref="H9:H41" si="1">ROUND(G9/1264,2)</f>
        <v>0.02</v>
      </c>
      <c r="I9" s="15">
        <f t="shared" ref="I9:I41" si="2">ROUND(G9/$G$42,3)</f>
        <v>0</v>
      </c>
      <c r="J9" s="15">
        <f>ROUND(G9/65-1,2)</f>
        <v>-0.65</v>
      </c>
    </row>
    <row r="10" spans="1:10" x14ac:dyDescent="0.25">
      <c r="A10" s="1" t="s">
        <v>16</v>
      </c>
      <c r="B10" s="1" t="s">
        <v>19</v>
      </c>
      <c r="C10" s="10">
        <v>39000</v>
      </c>
      <c r="D10" s="10"/>
      <c r="E10" s="10"/>
      <c r="F10" s="10"/>
      <c r="G10" s="10">
        <f t="shared" si="0"/>
        <v>39000</v>
      </c>
      <c r="H10" s="16">
        <f t="shared" si="1"/>
        <v>30.85</v>
      </c>
      <c r="I10" s="15">
        <f t="shared" si="2"/>
        <v>9.5000000000000001E-2</v>
      </c>
      <c r="J10" s="15">
        <f>ROUND(G10/33970-1,2)</f>
        <v>0.15</v>
      </c>
    </row>
    <row r="11" spans="1:10" x14ac:dyDescent="0.25">
      <c r="A11" s="1" t="s">
        <v>16</v>
      </c>
      <c r="B11" s="1" t="s">
        <v>20</v>
      </c>
      <c r="C11" s="10">
        <v>42755</v>
      </c>
      <c r="D11" s="10"/>
      <c r="E11" s="10"/>
      <c r="F11" s="10"/>
      <c r="G11" s="10">
        <f t="shared" si="0"/>
        <v>42755</v>
      </c>
      <c r="H11" s="16">
        <f t="shared" si="1"/>
        <v>33.83</v>
      </c>
      <c r="I11" s="15">
        <f t="shared" si="2"/>
        <v>0.104</v>
      </c>
      <c r="J11" s="15">
        <f>ROUND(G11/43825-1,2)</f>
        <v>-0.02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150</v>
      </c>
      <c r="F12" s="10"/>
      <c r="G12" s="10">
        <f t="shared" si="0"/>
        <v>150</v>
      </c>
      <c r="H12" s="16">
        <f t="shared" si="1"/>
        <v>0.12</v>
      </c>
      <c r="I12" s="15">
        <f t="shared" si="2"/>
        <v>0</v>
      </c>
      <c r="J12" s="15">
        <f>ROUND(G12/105-1,2)</f>
        <v>0.43</v>
      </c>
    </row>
    <row r="13" spans="1:10" x14ac:dyDescent="0.25">
      <c r="A13" s="1" t="s">
        <v>16</v>
      </c>
      <c r="B13" s="1" t="s">
        <v>23</v>
      </c>
      <c r="C13" s="10"/>
      <c r="D13" s="10"/>
      <c r="E13" s="10">
        <v>34160</v>
      </c>
      <c r="F13" s="10"/>
      <c r="G13" s="10">
        <f t="shared" si="0"/>
        <v>34160</v>
      </c>
      <c r="H13" s="16">
        <f t="shared" si="1"/>
        <v>27.03</v>
      </c>
      <c r="I13" s="15">
        <f t="shared" si="2"/>
        <v>8.3000000000000004E-2</v>
      </c>
      <c r="J13" s="15">
        <f>ROUND(G13/42180-1,2)</f>
        <v>-0.19</v>
      </c>
    </row>
    <row r="14" spans="1:10" x14ac:dyDescent="0.25">
      <c r="A14" s="1" t="s">
        <v>16</v>
      </c>
      <c r="B14" s="1" t="s">
        <v>24</v>
      </c>
      <c r="C14" s="10">
        <v>40060</v>
      </c>
      <c r="D14" s="10"/>
      <c r="E14" s="10">
        <v>7210</v>
      </c>
      <c r="F14" s="10"/>
      <c r="G14" s="10">
        <f t="shared" si="0"/>
        <v>47270</v>
      </c>
      <c r="H14" s="16">
        <f t="shared" si="1"/>
        <v>37.4</v>
      </c>
      <c r="I14" s="15">
        <f t="shared" si="2"/>
        <v>0.115</v>
      </c>
      <c r="J14" s="15">
        <f>ROUND(G14/48400-1,2)</f>
        <v>-0.02</v>
      </c>
    </row>
    <row r="15" spans="1:10" x14ac:dyDescent="0.25">
      <c r="A15" s="1" t="s">
        <v>16</v>
      </c>
      <c r="B15" s="1" t="s">
        <v>25</v>
      </c>
      <c r="C15" s="10"/>
      <c r="D15" s="10"/>
      <c r="E15" s="10">
        <v>2675</v>
      </c>
      <c r="F15" s="10"/>
      <c r="G15" s="10">
        <f t="shared" si="0"/>
        <v>2675</v>
      </c>
      <c r="H15" s="16">
        <f t="shared" si="1"/>
        <v>2.12</v>
      </c>
      <c r="I15" s="15">
        <f t="shared" si="2"/>
        <v>7.0000000000000001E-3</v>
      </c>
      <c r="J15" s="15">
        <f>ROUND(G15/2380-1,2)</f>
        <v>0.12</v>
      </c>
    </row>
    <row r="16" spans="1:10" x14ac:dyDescent="0.25">
      <c r="A16" s="1" t="s">
        <v>16</v>
      </c>
      <c r="B16" s="1" t="s">
        <v>26</v>
      </c>
      <c r="C16" s="10">
        <v>44460</v>
      </c>
      <c r="D16" s="10"/>
      <c r="E16" s="10"/>
      <c r="F16" s="10">
        <v>120</v>
      </c>
      <c r="G16" s="10">
        <f t="shared" si="0"/>
        <v>44580</v>
      </c>
      <c r="H16" s="16">
        <f t="shared" si="1"/>
        <v>35.270000000000003</v>
      </c>
      <c r="I16" s="15">
        <f t="shared" si="2"/>
        <v>0.108</v>
      </c>
      <c r="J16" s="15">
        <f>ROUND(G16/42350-1,2)</f>
        <v>0.05</v>
      </c>
    </row>
    <row r="17" spans="1:10" x14ac:dyDescent="0.25">
      <c r="A17" s="1" t="s">
        <v>16</v>
      </c>
      <c r="B17" s="1" t="s">
        <v>27</v>
      </c>
      <c r="C17" s="10"/>
      <c r="D17" s="10"/>
      <c r="E17" s="10">
        <v>867</v>
      </c>
      <c r="F17" s="10"/>
      <c r="G17" s="10">
        <f t="shared" si="0"/>
        <v>867</v>
      </c>
      <c r="H17" s="16">
        <f t="shared" si="1"/>
        <v>0.69</v>
      </c>
      <c r="I17" s="15">
        <f t="shared" si="2"/>
        <v>2E-3</v>
      </c>
      <c r="J17" s="15">
        <f>ROUND(G17/574-1,2)</f>
        <v>0.51</v>
      </c>
    </row>
    <row r="18" spans="1:10" x14ac:dyDescent="0.25">
      <c r="A18" s="1" t="s">
        <v>16</v>
      </c>
      <c r="B18" s="1" t="s">
        <v>28</v>
      </c>
      <c r="C18" s="10"/>
      <c r="D18" s="10"/>
      <c r="E18" s="10">
        <v>239</v>
      </c>
      <c r="F18" s="10"/>
      <c r="G18" s="10">
        <f t="shared" si="0"/>
        <v>239</v>
      </c>
      <c r="H18" s="16">
        <f t="shared" si="1"/>
        <v>0.19</v>
      </c>
      <c r="I18" s="15">
        <f t="shared" si="2"/>
        <v>1E-3</v>
      </c>
      <c r="J18" s="15">
        <f>ROUND(G18/259-1,2)</f>
        <v>-0.08</v>
      </c>
    </row>
    <row r="19" spans="1:10" x14ac:dyDescent="0.25">
      <c r="A19" s="1" t="s">
        <v>16</v>
      </c>
      <c r="B19" s="1" t="s">
        <v>29</v>
      </c>
      <c r="C19" s="10"/>
      <c r="D19" s="10"/>
      <c r="E19" s="10">
        <v>460</v>
      </c>
      <c r="F19" s="10"/>
      <c r="G19" s="10">
        <f t="shared" si="0"/>
        <v>460</v>
      </c>
      <c r="H19" s="16">
        <f t="shared" si="1"/>
        <v>0.36</v>
      </c>
      <c r="I19" s="15">
        <f t="shared" si="2"/>
        <v>1E-3</v>
      </c>
      <c r="J19" s="15">
        <f>ROUND(G19/1679-1,2)</f>
        <v>-0.73</v>
      </c>
    </row>
    <row r="20" spans="1:10" x14ac:dyDescent="0.25">
      <c r="A20" s="1" t="s">
        <v>16</v>
      </c>
      <c r="B20" s="1" t="s">
        <v>30</v>
      </c>
      <c r="C20" s="10"/>
      <c r="D20" s="10"/>
      <c r="E20" s="10">
        <v>500</v>
      </c>
      <c r="F20" s="10"/>
      <c r="G20" s="10">
        <f t="shared" si="0"/>
        <v>500</v>
      </c>
      <c r="H20" s="16">
        <f t="shared" si="1"/>
        <v>0.4</v>
      </c>
      <c r="I20" s="15">
        <f t="shared" si="2"/>
        <v>1E-3</v>
      </c>
      <c r="J20" s="15">
        <f>ROUND(G20/170-1,2)</f>
        <v>1.94</v>
      </c>
    </row>
    <row r="21" spans="1:10" x14ac:dyDescent="0.25">
      <c r="A21" s="1" t="s">
        <v>16</v>
      </c>
      <c r="B21" s="1" t="s">
        <v>31</v>
      </c>
      <c r="C21" s="10"/>
      <c r="D21" s="10"/>
      <c r="E21" s="10">
        <v>740</v>
      </c>
      <c r="F21" s="10"/>
      <c r="G21" s="10">
        <f t="shared" si="0"/>
        <v>740</v>
      </c>
      <c r="H21" s="16">
        <f t="shared" si="1"/>
        <v>0.59</v>
      </c>
      <c r="I21" s="15">
        <f t="shared" si="2"/>
        <v>2E-3</v>
      </c>
      <c r="J21" s="15">
        <f>ROUND(G21/660-1,2)</f>
        <v>0.12</v>
      </c>
    </row>
    <row r="22" spans="1:10" x14ac:dyDescent="0.25">
      <c r="A22" s="1" t="s">
        <v>16</v>
      </c>
      <c r="B22" s="1" t="s">
        <v>32</v>
      </c>
      <c r="C22" s="10"/>
      <c r="D22" s="10"/>
      <c r="E22" s="10">
        <v>800</v>
      </c>
      <c r="F22" s="10"/>
      <c r="G22" s="10">
        <f t="shared" si="0"/>
        <v>800</v>
      </c>
      <c r="H22" s="16">
        <f t="shared" si="1"/>
        <v>0.63</v>
      </c>
      <c r="I22" s="15">
        <f t="shared" si="2"/>
        <v>2E-3</v>
      </c>
      <c r="J22" s="15">
        <f>ROUND(G22/360-1,2)</f>
        <v>1.22</v>
      </c>
    </row>
    <row r="23" spans="1:10" x14ac:dyDescent="0.25">
      <c r="A23" s="1" t="s">
        <v>16</v>
      </c>
      <c r="B23" s="1" t="s">
        <v>33</v>
      </c>
      <c r="C23" s="10"/>
      <c r="D23" s="10"/>
      <c r="E23" s="10">
        <v>89</v>
      </c>
      <c r="F23" s="10"/>
      <c r="G23" s="10">
        <f t="shared" si="0"/>
        <v>89</v>
      </c>
      <c r="H23" s="16">
        <f t="shared" si="1"/>
        <v>7.0000000000000007E-2</v>
      </c>
      <c r="I23" s="15">
        <f t="shared" si="2"/>
        <v>0</v>
      </c>
      <c r="J23" s="15"/>
    </row>
    <row r="24" spans="1:10" x14ac:dyDescent="0.25">
      <c r="A24" s="1" t="s">
        <v>16</v>
      </c>
      <c r="B24" s="1" t="s">
        <v>34</v>
      </c>
      <c r="C24" s="10"/>
      <c r="D24" s="10"/>
      <c r="E24" s="10">
        <v>430</v>
      </c>
      <c r="F24" s="10"/>
      <c r="G24" s="10">
        <f t="shared" si="0"/>
        <v>430</v>
      </c>
      <c r="H24" s="16">
        <f t="shared" si="1"/>
        <v>0.34</v>
      </c>
      <c r="I24" s="15">
        <f t="shared" si="2"/>
        <v>1E-3</v>
      </c>
      <c r="J24" s="15">
        <f>ROUND(G24/654-1,2)</f>
        <v>-0.34</v>
      </c>
    </row>
    <row r="25" spans="1:10" x14ac:dyDescent="0.25">
      <c r="A25" s="1" t="s">
        <v>16</v>
      </c>
      <c r="B25" s="1" t="s">
        <v>37</v>
      </c>
      <c r="C25" s="10"/>
      <c r="D25" s="10"/>
      <c r="E25" s="10">
        <v>1020</v>
      </c>
      <c r="F25" s="10"/>
      <c r="G25" s="10">
        <f t="shared" si="0"/>
        <v>1020</v>
      </c>
      <c r="H25" s="16">
        <f t="shared" si="1"/>
        <v>0.81</v>
      </c>
      <c r="I25" s="15">
        <f t="shared" si="2"/>
        <v>2E-3</v>
      </c>
      <c r="J25" s="15">
        <f>ROUND(G25/3341-1,2)</f>
        <v>-0.69</v>
      </c>
    </row>
    <row r="26" spans="1:10" x14ac:dyDescent="0.25">
      <c r="A26" s="1" t="s">
        <v>16</v>
      </c>
      <c r="B26" s="1" t="s">
        <v>43</v>
      </c>
      <c r="C26" s="10"/>
      <c r="D26" s="10"/>
      <c r="E26" s="10">
        <v>1420</v>
      </c>
      <c r="F26" s="10"/>
      <c r="G26" s="10">
        <f t="shared" si="0"/>
        <v>1420</v>
      </c>
      <c r="H26" s="16">
        <f t="shared" si="1"/>
        <v>1.1200000000000001</v>
      </c>
      <c r="I26" s="15">
        <f t="shared" si="2"/>
        <v>3.0000000000000001E-3</v>
      </c>
      <c r="J26" s="15">
        <f>ROUND(G26/3252-1,2)</f>
        <v>-0.56000000000000005</v>
      </c>
    </row>
    <row r="27" spans="1:10" x14ac:dyDescent="0.25">
      <c r="A27" s="1" t="s">
        <v>16</v>
      </c>
      <c r="B27" s="1" t="s">
        <v>38</v>
      </c>
      <c r="C27" s="10"/>
      <c r="D27" s="10"/>
      <c r="E27" s="10">
        <v>33185</v>
      </c>
      <c r="F27" s="10"/>
      <c r="G27" s="10">
        <f t="shared" si="0"/>
        <v>33185</v>
      </c>
      <c r="H27" s="16">
        <f t="shared" si="1"/>
        <v>26.25</v>
      </c>
      <c r="I27" s="15">
        <f t="shared" si="2"/>
        <v>8.1000000000000003E-2</v>
      </c>
      <c r="J27" s="15">
        <f>ROUND(G27/24785-1,2)</f>
        <v>0.34</v>
      </c>
    </row>
    <row r="28" spans="1:10" x14ac:dyDescent="0.25">
      <c r="A28" s="1" t="s">
        <v>16</v>
      </c>
      <c r="B28" s="1" t="s">
        <v>40</v>
      </c>
      <c r="C28" s="10"/>
      <c r="D28" s="10"/>
      <c r="E28" s="10">
        <v>12200</v>
      </c>
      <c r="F28" s="10"/>
      <c r="G28" s="10">
        <f t="shared" si="0"/>
        <v>12200</v>
      </c>
      <c r="H28" s="16">
        <f t="shared" si="1"/>
        <v>9.65</v>
      </c>
      <c r="I28" s="15">
        <f t="shared" si="2"/>
        <v>0.03</v>
      </c>
      <c r="J28" s="15">
        <f>ROUND(G28/17080-1,2)</f>
        <v>-0.28999999999999998</v>
      </c>
    </row>
    <row r="29" spans="1:10" x14ac:dyDescent="0.25">
      <c r="A29" s="1" t="s">
        <v>16</v>
      </c>
      <c r="B29" s="1" t="s">
        <v>41</v>
      </c>
      <c r="C29" s="10"/>
      <c r="D29" s="10"/>
      <c r="E29" s="10">
        <v>9595</v>
      </c>
      <c r="F29" s="10"/>
      <c r="G29" s="10">
        <f t="shared" si="0"/>
        <v>9595</v>
      </c>
      <c r="H29" s="16">
        <f t="shared" si="1"/>
        <v>7.59</v>
      </c>
      <c r="I29" s="15">
        <f t="shared" si="2"/>
        <v>2.3E-2</v>
      </c>
      <c r="J29" s="15">
        <f>ROUND(G29/12515-1,2)</f>
        <v>-0.23</v>
      </c>
    </row>
    <row r="30" spans="1:10" x14ac:dyDescent="0.25">
      <c r="A30" s="1" t="s">
        <v>16</v>
      </c>
      <c r="B30" s="1" t="s">
        <v>120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/>
    </row>
    <row r="31" spans="1:10" x14ac:dyDescent="0.25">
      <c r="A31" s="1" t="s">
        <v>16</v>
      </c>
      <c r="B31" s="1" t="s">
        <v>36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>
        <f>ROUND(G31/1837-1,2)</f>
        <v>-1</v>
      </c>
    </row>
    <row r="32" spans="1:10" x14ac:dyDescent="0.25">
      <c r="A32" s="1" t="s">
        <v>16</v>
      </c>
      <c r="B32" s="1" t="s">
        <v>35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>
        <f>ROUND(G32/62-1,2)</f>
        <v>-1</v>
      </c>
    </row>
    <row r="33" spans="1:10" x14ac:dyDescent="0.25">
      <c r="A33" s="1" t="s">
        <v>16</v>
      </c>
      <c r="B33" s="1" t="s">
        <v>39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/>
    </row>
    <row r="34" spans="1:10" x14ac:dyDescent="0.25">
      <c r="A34" s="1" t="s">
        <v>16</v>
      </c>
      <c r="B34" s="1" t="s">
        <v>22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/>
    </row>
    <row r="35" spans="1:10" x14ac:dyDescent="0.25">
      <c r="A35" s="1" t="s">
        <v>16</v>
      </c>
      <c r="B35" s="1" t="s">
        <v>155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16</v>
      </c>
      <c r="B36" s="1" t="s">
        <v>42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/>
    </row>
    <row r="37" spans="1:10" x14ac:dyDescent="0.25">
      <c r="A37" s="1" t="s">
        <v>44</v>
      </c>
      <c r="B37" s="1" t="s">
        <v>45</v>
      </c>
      <c r="C37" s="10">
        <v>106480</v>
      </c>
      <c r="D37" s="10"/>
      <c r="E37" s="10"/>
      <c r="F37" s="10">
        <v>360</v>
      </c>
      <c r="G37" s="10">
        <f t="shared" si="0"/>
        <v>106840</v>
      </c>
      <c r="H37" s="16">
        <f t="shared" si="1"/>
        <v>84.53</v>
      </c>
      <c r="I37" s="15">
        <f t="shared" si="2"/>
        <v>0.26</v>
      </c>
      <c r="J37" s="15">
        <f>ROUND(G37/117840-1,2)</f>
        <v>-0.09</v>
      </c>
    </row>
    <row r="38" spans="1:10" x14ac:dyDescent="0.25">
      <c r="A38" s="1" t="s">
        <v>44</v>
      </c>
      <c r="B38" s="1" t="s">
        <v>46</v>
      </c>
      <c r="C38" s="10"/>
      <c r="D38" s="10"/>
      <c r="E38" s="10">
        <v>32400</v>
      </c>
      <c r="F38" s="10"/>
      <c r="G38" s="10">
        <f t="shared" si="0"/>
        <v>32400</v>
      </c>
      <c r="H38" s="16">
        <f t="shared" si="1"/>
        <v>25.63</v>
      </c>
      <c r="I38" s="15">
        <f t="shared" si="2"/>
        <v>7.9000000000000001E-2</v>
      </c>
      <c r="J38" s="15">
        <f>ROUND(G38/33680-1,2)</f>
        <v>-0.04</v>
      </c>
    </row>
    <row r="39" spans="1:10" x14ac:dyDescent="0.25">
      <c r="A39" s="1" t="s">
        <v>44</v>
      </c>
      <c r="B39" s="1" t="s">
        <v>47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>
        <f>ROUND(G39/2650-1,2)</f>
        <v>-1</v>
      </c>
    </row>
    <row r="40" spans="1:10" x14ac:dyDescent="0.25">
      <c r="A40" s="1" t="s">
        <v>48</v>
      </c>
      <c r="B40" s="1" t="s">
        <v>51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/>
    </row>
    <row r="41" spans="1:10" x14ac:dyDescent="0.25">
      <c r="A41" s="1" t="s">
        <v>48</v>
      </c>
      <c r="B41" s="1" t="s">
        <v>49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>
        <f>ROUND(G41/145-1,2)</f>
        <v>-1</v>
      </c>
    </row>
    <row r="42" spans="1:10" x14ac:dyDescent="0.25">
      <c r="A42" s="30" t="s">
        <v>12</v>
      </c>
      <c r="B42" s="30"/>
      <c r="C42" s="11">
        <f t="shared" ref="C42:H42" si="3">SUM(C8:C41)</f>
        <v>272755</v>
      </c>
      <c r="D42" s="11">
        <f t="shared" si="3"/>
        <v>0</v>
      </c>
      <c r="E42" s="11">
        <f t="shared" si="3"/>
        <v>138163</v>
      </c>
      <c r="F42" s="11">
        <f t="shared" si="3"/>
        <v>480</v>
      </c>
      <c r="G42" s="11">
        <f t="shared" si="3"/>
        <v>411398</v>
      </c>
      <c r="H42" s="14">
        <f t="shared" si="3"/>
        <v>325.49</v>
      </c>
      <c r="I42" s="17"/>
      <c r="J42" s="17"/>
    </row>
    <row r="43" spans="1:10" x14ac:dyDescent="0.25">
      <c r="A43" s="30" t="s">
        <v>14</v>
      </c>
      <c r="B43" s="30"/>
      <c r="C43" s="12">
        <f>ROUND(C42/G42,2)</f>
        <v>0.66</v>
      </c>
      <c r="D43" s="12">
        <f>ROUND(D42/G42,2)</f>
        <v>0</v>
      </c>
      <c r="E43" s="12">
        <f>ROUND(E42/G42,2)</f>
        <v>0.34</v>
      </c>
      <c r="F43" s="12">
        <f>ROUND(F42/G42,2)</f>
        <v>0</v>
      </c>
      <c r="G43" s="13"/>
      <c r="H43" s="13"/>
      <c r="I43" s="17"/>
      <c r="J43" s="17"/>
    </row>
    <row r="44" spans="1:10" x14ac:dyDescent="0.25">
      <c r="A44" s="2" t="s">
        <v>52</v>
      </c>
      <c r="B44" s="2"/>
      <c r="C44" s="13"/>
      <c r="D44" s="13"/>
      <c r="E44" s="13"/>
      <c r="F44" s="13"/>
      <c r="G44" s="13"/>
      <c r="H44" s="13"/>
      <c r="I44" s="17"/>
      <c r="J44" s="17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A48" s="30" t="s">
        <v>53</v>
      </c>
      <c r="B48" s="30"/>
      <c r="C48" s="11" t="s">
        <v>8</v>
      </c>
      <c r="D48" s="11" t="s">
        <v>9</v>
      </c>
      <c r="E48" s="11" t="s">
        <v>10</v>
      </c>
      <c r="F48" s="11" t="s">
        <v>11</v>
      </c>
      <c r="G48" s="11" t="s">
        <v>12</v>
      </c>
      <c r="H48" s="14" t="s">
        <v>13</v>
      </c>
      <c r="I48" s="17"/>
      <c r="J48" s="17"/>
    </row>
    <row r="49" spans="1:10" x14ac:dyDescent="0.25">
      <c r="A49" s="29" t="s">
        <v>54</v>
      </c>
      <c r="B49" s="29"/>
      <c r="C49" s="10">
        <v>166275</v>
      </c>
      <c r="D49" s="10">
        <v>0</v>
      </c>
      <c r="E49" s="10">
        <v>105763</v>
      </c>
      <c r="F49" s="10">
        <v>120</v>
      </c>
      <c r="G49" s="10">
        <f>SUM(C49:F49)</f>
        <v>272158</v>
      </c>
      <c r="H49" s="16">
        <f>ROUND(G49/1264,2)</f>
        <v>215.31</v>
      </c>
      <c r="I49" s="9"/>
      <c r="J49" s="9"/>
    </row>
    <row r="50" spans="1:10" x14ac:dyDescent="0.25">
      <c r="A50" s="29" t="s">
        <v>55</v>
      </c>
      <c r="B50" s="29"/>
      <c r="C50" s="10">
        <v>106480</v>
      </c>
      <c r="D50" s="10">
        <v>0</v>
      </c>
      <c r="E50" s="10">
        <v>32400</v>
      </c>
      <c r="F50" s="10">
        <v>360</v>
      </c>
      <c r="G50" s="10">
        <f>SUM(C50:F50)</f>
        <v>139240</v>
      </c>
      <c r="H50" s="16">
        <f>ROUND(G50/1264,2)</f>
        <v>110.16</v>
      </c>
      <c r="I50" s="9"/>
      <c r="J50" s="9"/>
    </row>
    <row r="51" spans="1:10" x14ac:dyDescent="0.25">
      <c r="A51" s="29" t="s">
        <v>56</v>
      </c>
      <c r="B51" s="29"/>
      <c r="C51" s="10">
        <v>0</v>
      </c>
      <c r="D51" s="10">
        <v>0</v>
      </c>
      <c r="E51" s="10">
        <v>0</v>
      </c>
      <c r="F51" s="10">
        <v>0</v>
      </c>
      <c r="G51" s="10">
        <f>SUM(C51:F51)</f>
        <v>0</v>
      </c>
      <c r="H51" s="16">
        <f>ROUND(G51/1264,2)</f>
        <v>0</v>
      </c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A56" s="30" t="s">
        <v>57</v>
      </c>
      <c r="B56" s="30"/>
      <c r="C56" s="14" t="s">
        <v>2</v>
      </c>
      <c r="D56" s="14">
        <v>2023</v>
      </c>
      <c r="E56" s="14" t="s">
        <v>59</v>
      </c>
      <c r="F56" s="13"/>
      <c r="G56" s="14" t="s">
        <v>60</v>
      </c>
      <c r="H56" s="14" t="s">
        <v>2</v>
      </c>
      <c r="I56" s="12" t="s">
        <v>61</v>
      </c>
      <c r="J56" s="12" t="s">
        <v>59</v>
      </c>
    </row>
    <row r="57" spans="1:10" x14ac:dyDescent="0.25">
      <c r="A57" s="29" t="s">
        <v>58</v>
      </c>
      <c r="B57" s="29"/>
      <c r="C57" s="15">
        <f>ROUND(0.7075, 4)</f>
        <v>0.70750000000000002</v>
      </c>
      <c r="D57" s="15">
        <f>ROUND(0.6897, 4)</f>
        <v>0.68969999999999998</v>
      </c>
      <c r="E57" s="15">
        <f>ROUND(0.777, 4)</f>
        <v>0.77700000000000002</v>
      </c>
      <c r="F57" s="8"/>
      <c r="G57" s="20" t="s">
        <v>62</v>
      </c>
      <c r="H57" s="33" t="s">
        <v>63</v>
      </c>
      <c r="I57" s="31" t="s">
        <v>64</v>
      </c>
      <c r="J57" s="31" t="s">
        <v>65</v>
      </c>
    </row>
    <row r="58" spans="1:10" x14ac:dyDescent="0.25">
      <c r="A58" s="29" t="s">
        <v>66</v>
      </c>
      <c r="B58" s="29"/>
      <c r="C58" s="15">
        <f>ROUND(0.6691, 4)</f>
        <v>0.66910000000000003</v>
      </c>
      <c r="D58" s="15">
        <f>ROUND(0.6575, 4)</f>
        <v>0.65749999999999997</v>
      </c>
      <c r="E58" s="15">
        <f>ROUND(0.7608, 4)</f>
        <v>0.76080000000000003</v>
      </c>
      <c r="F58" s="8"/>
      <c r="G58" s="20" t="s">
        <v>67</v>
      </c>
      <c r="H58" s="34"/>
      <c r="I58" s="32"/>
      <c r="J58" s="32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A62" s="30" t="s">
        <v>68</v>
      </c>
      <c r="B62" s="30"/>
      <c r="C62" s="14" t="s">
        <v>2</v>
      </c>
      <c r="D62" s="14" t="s">
        <v>156</v>
      </c>
      <c r="E62" s="14" t="s">
        <v>70</v>
      </c>
      <c r="F62" s="14" t="s">
        <v>71</v>
      </c>
      <c r="G62" s="14" t="s">
        <v>72</v>
      </c>
      <c r="H62" s="13"/>
      <c r="I62" s="17"/>
      <c r="J62" s="17"/>
    </row>
    <row r="63" spans="1:10" x14ac:dyDescent="0.25">
      <c r="A63" s="29" t="s">
        <v>73</v>
      </c>
      <c r="B63" s="29"/>
      <c r="C63" s="16">
        <v>84.53</v>
      </c>
      <c r="D63" s="16">
        <v>75.099999999999994</v>
      </c>
      <c r="E63" s="16">
        <v>93.87</v>
      </c>
      <c r="F63" s="16">
        <v>57.16</v>
      </c>
      <c r="G63" s="16">
        <f>12/12*C63</f>
        <v>84.53</v>
      </c>
      <c r="H63" s="8"/>
      <c r="I63" s="9"/>
      <c r="J63" s="9"/>
    </row>
    <row r="64" spans="1:10" x14ac:dyDescent="0.25">
      <c r="A64" s="29" t="s">
        <v>74</v>
      </c>
      <c r="B64" s="29"/>
      <c r="C64" s="16">
        <v>35.270000000000003</v>
      </c>
      <c r="D64" s="16">
        <v>43.02</v>
      </c>
      <c r="E64" s="16">
        <v>62.84</v>
      </c>
      <c r="F64" s="16">
        <v>65.39</v>
      </c>
      <c r="G64" s="16">
        <f>12/12*C64</f>
        <v>35.270000000000003</v>
      </c>
      <c r="H64" s="8"/>
      <c r="I64" s="9"/>
      <c r="J64" s="9"/>
    </row>
    <row r="65" spans="1:10" x14ac:dyDescent="0.25">
      <c r="A65" s="29" t="s">
        <v>75</v>
      </c>
      <c r="B65" s="29"/>
      <c r="C65" s="16">
        <v>215.31</v>
      </c>
      <c r="D65" s="16">
        <v>232.79</v>
      </c>
      <c r="E65" s="16">
        <v>295.08999999999997</v>
      </c>
      <c r="F65" s="16">
        <v>289.06</v>
      </c>
      <c r="G65" s="16">
        <f>12/12*C65</f>
        <v>215.31</v>
      </c>
      <c r="H65" s="8"/>
      <c r="I65" s="9"/>
      <c r="J65" s="9"/>
    </row>
    <row r="66" spans="1:10" x14ac:dyDescent="0.25">
      <c r="A66" s="29" t="s">
        <v>76</v>
      </c>
      <c r="B66" s="29"/>
      <c r="C66" s="16">
        <v>110.16</v>
      </c>
      <c r="D66" s="16">
        <v>100.13</v>
      </c>
      <c r="E66" s="16">
        <v>118.05</v>
      </c>
      <c r="F66" s="16">
        <v>81.41</v>
      </c>
      <c r="G66" s="16">
        <f>12/12*C66</f>
        <v>110.16</v>
      </c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28" t="s">
        <v>60</v>
      </c>
      <c r="B69" s="35"/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77</v>
      </c>
      <c r="B70" s="1" t="s">
        <v>157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3" t="s">
        <v>70</v>
      </c>
      <c r="B71" s="1" t="s">
        <v>79</v>
      </c>
      <c r="C71" s="8"/>
      <c r="D71" s="8"/>
      <c r="E71" s="8"/>
      <c r="F71" s="8"/>
      <c r="G71" s="8"/>
      <c r="H71" s="8"/>
      <c r="I71" s="9"/>
      <c r="J71" s="9"/>
    </row>
    <row r="72" spans="1:10" x14ac:dyDescent="0.25">
      <c r="A72" s="3" t="s">
        <v>71</v>
      </c>
      <c r="B72" s="1" t="s">
        <v>80</v>
      </c>
      <c r="C72" s="8"/>
      <c r="D72" s="8"/>
      <c r="E72" s="8"/>
      <c r="F72" s="8"/>
      <c r="G72" s="8"/>
      <c r="H72" s="8"/>
      <c r="I72" s="9"/>
      <c r="J72" s="9"/>
    </row>
    <row r="73" spans="1:10" x14ac:dyDescent="0.25">
      <c r="A73" s="3" t="s">
        <v>72</v>
      </c>
      <c r="B73" s="1" t="s">
        <v>81</v>
      </c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  <row r="76" spans="1:10" x14ac:dyDescent="0.25">
      <c r="C76" s="8"/>
      <c r="D76" s="8"/>
      <c r="E76" s="8"/>
      <c r="F76" s="8"/>
      <c r="G76" s="8"/>
      <c r="H76" s="8"/>
      <c r="I76" s="9"/>
      <c r="J76" s="9"/>
    </row>
    <row r="77" spans="1:10" x14ac:dyDescent="0.25">
      <c r="C77" s="8"/>
      <c r="D77" s="8"/>
      <c r="E77" s="8"/>
      <c r="F77" s="8"/>
      <c r="G77" s="8"/>
      <c r="H77" s="8"/>
      <c r="I77" s="9"/>
      <c r="J77" s="9"/>
    </row>
  </sheetData>
  <mergeCells count="19">
    <mergeCell ref="A64:B64"/>
    <mergeCell ref="A65:B65"/>
    <mergeCell ref="A66:B66"/>
    <mergeCell ref="A69:B69"/>
    <mergeCell ref="I57:I58"/>
    <mergeCell ref="J57:J58"/>
    <mergeCell ref="A58:B58"/>
    <mergeCell ref="A62:B62"/>
    <mergeCell ref="A63:B63"/>
    <mergeCell ref="A50:B50"/>
    <mergeCell ref="A51:B51"/>
    <mergeCell ref="A56:B56"/>
    <mergeCell ref="A57:B57"/>
    <mergeCell ref="H57:H58"/>
    <mergeCell ref="C7:G7"/>
    <mergeCell ref="A42:B42"/>
    <mergeCell ref="A43:B43"/>
    <mergeCell ref="A48:B48"/>
    <mergeCell ref="A49:B49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J77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3.57031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158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5993</v>
      </c>
    </row>
    <row r="7" spans="1:10" x14ac:dyDescent="0.25">
      <c r="C7" s="28" t="s">
        <v>5</v>
      </c>
      <c r="D7" s="29"/>
      <c r="E7" s="29"/>
      <c r="F7" s="29"/>
      <c r="G7" s="29"/>
    </row>
    <row r="8" spans="1:10" x14ac:dyDescent="0.25">
      <c r="A8" s="25" t="s">
        <v>6</v>
      </c>
      <c r="B8" s="25" t="s">
        <v>7</v>
      </c>
      <c r="C8" s="27" t="s">
        <v>8</v>
      </c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</row>
    <row r="9" spans="1:10" x14ac:dyDescent="0.25">
      <c r="A9" s="1" t="s">
        <v>48</v>
      </c>
      <c r="B9" s="1" t="s">
        <v>50</v>
      </c>
      <c r="C9" s="10"/>
      <c r="D9" s="10"/>
      <c r="E9" s="10"/>
      <c r="F9" s="10">
        <v>156</v>
      </c>
      <c r="G9" s="10">
        <f t="shared" ref="G9:G45" si="0">SUM(C9:F9)</f>
        <v>156</v>
      </c>
      <c r="H9" s="16">
        <f t="shared" ref="H9:H45" si="1">ROUND(G9/5993,2)</f>
        <v>0.03</v>
      </c>
      <c r="I9" s="15">
        <f t="shared" ref="I9:I45" si="2">ROUND(G9/$G$46,3)</f>
        <v>0</v>
      </c>
      <c r="J9" s="15"/>
    </row>
    <row r="10" spans="1:10" x14ac:dyDescent="0.25">
      <c r="A10" s="1" t="s">
        <v>48</v>
      </c>
      <c r="B10" s="1" t="s">
        <v>51</v>
      </c>
      <c r="C10" s="10"/>
      <c r="D10" s="10"/>
      <c r="E10" s="10"/>
      <c r="F10" s="10"/>
      <c r="G10" s="10">
        <f t="shared" si="0"/>
        <v>0</v>
      </c>
      <c r="H10" s="16">
        <f t="shared" si="1"/>
        <v>0</v>
      </c>
      <c r="I10" s="15">
        <f t="shared" si="2"/>
        <v>0</v>
      </c>
      <c r="J10" s="15"/>
    </row>
    <row r="11" spans="1:10" x14ac:dyDescent="0.25">
      <c r="A11" s="1" t="s">
        <v>48</v>
      </c>
      <c r="B11" s="1" t="s">
        <v>159</v>
      </c>
      <c r="C11" s="10"/>
      <c r="D11" s="10"/>
      <c r="E11" s="10"/>
      <c r="F11" s="10"/>
      <c r="G11" s="10">
        <f t="shared" si="0"/>
        <v>0</v>
      </c>
      <c r="H11" s="16">
        <f t="shared" si="1"/>
        <v>0</v>
      </c>
      <c r="I11" s="15">
        <f t="shared" si="2"/>
        <v>0</v>
      </c>
      <c r="J11" s="15"/>
    </row>
    <row r="12" spans="1:10" x14ac:dyDescent="0.25">
      <c r="A12" s="1" t="s">
        <v>16</v>
      </c>
      <c r="B12" s="1" t="s">
        <v>17</v>
      </c>
      <c r="C12" s="10"/>
      <c r="D12" s="10"/>
      <c r="E12" s="10">
        <v>186</v>
      </c>
      <c r="F12" s="10"/>
      <c r="G12" s="10">
        <f t="shared" si="0"/>
        <v>186</v>
      </c>
      <c r="H12" s="16">
        <f t="shared" si="1"/>
        <v>0.03</v>
      </c>
      <c r="I12" s="15">
        <f t="shared" si="2"/>
        <v>0</v>
      </c>
      <c r="J12" s="15">
        <f>ROUND(G12/154-1,2)</f>
        <v>0.21</v>
      </c>
    </row>
    <row r="13" spans="1:10" x14ac:dyDescent="0.25">
      <c r="A13" s="1" t="s">
        <v>16</v>
      </c>
      <c r="B13" s="1" t="s">
        <v>19</v>
      </c>
      <c r="C13" s="10">
        <v>218600</v>
      </c>
      <c r="D13" s="10"/>
      <c r="E13" s="10">
        <v>3040</v>
      </c>
      <c r="F13" s="10"/>
      <c r="G13" s="10">
        <f t="shared" si="0"/>
        <v>221640</v>
      </c>
      <c r="H13" s="16">
        <f t="shared" si="1"/>
        <v>36.979999999999997</v>
      </c>
      <c r="I13" s="15">
        <f t="shared" si="2"/>
        <v>7.4999999999999997E-2</v>
      </c>
      <c r="J13" s="15">
        <f>ROUND(G13/217940-1,2)</f>
        <v>0.02</v>
      </c>
    </row>
    <row r="14" spans="1:10" x14ac:dyDescent="0.25">
      <c r="A14" s="1" t="s">
        <v>16</v>
      </c>
      <c r="B14" s="1" t="s">
        <v>20</v>
      </c>
      <c r="C14" s="10">
        <v>294400</v>
      </c>
      <c r="D14" s="10"/>
      <c r="E14" s="10"/>
      <c r="F14" s="10"/>
      <c r="G14" s="10">
        <f t="shared" si="0"/>
        <v>294400</v>
      </c>
      <c r="H14" s="16">
        <f t="shared" si="1"/>
        <v>49.12</v>
      </c>
      <c r="I14" s="15">
        <f t="shared" si="2"/>
        <v>0.1</v>
      </c>
      <c r="J14" s="15">
        <f>ROUND(G14/283520-1,2)</f>
        <v>0.04</v>
      </c>
    </row>
    <row r="15" spans="1:10" x14ac:dyDescent="0.25">
      <c r="A15" s="1" t="s">
        <v>16</v>
      </c>
      <c r="B15" s="1" t="s">
        <v>95</v>
      </c>
      <c r="C15" s="10"/>
      <c r="D15" s="10"/>
      <c r="E15" s="10">
        <v>329</v>
      </c>
      <c r="F15" s="10"/>
      <c r="G15" s="10">
        <f t="shared" si="0"/>
        <v>329</v>
      </c>
      <c r="H15" s="16">
        <f t="shared" si="1"/>
        <v>0.05</v>
      </c>
      <c r="I15" s="15">
        <f t="shared" si="2"/>
        <v>0</v>
      </c>
      <c r="J15" s="15">
        <f>ROUND(G15/190-1,2)</f>
        <v>0.73</v>
      </c>
    </row>
    <row r="16" spans="1:10" x14ac:dyDescent="0.25">
      <c r="A16" s="1" t="s">
        <v>16</v>
      </c>
      <c r="B16" s="1" t="s">
        <v>21</v>
      </c>
      <c r="C16" s="10"/>
      <c r="D16" s="10"/>
      <c r="E16" s="10">
        <v>194</v>
      </c>
      <c r="F16" s="10"/>
      <c r="G16" s="10">
        <f t="shared" si="0"/>
        <v>194</v>
      </c>
      <c r="H16" s="16">
        <f t="shared" si="1"/>
        <v>0.03</v>
      </c>
      <c r="I16" s="15">
        <f t="shared" si="2"/>
        <v>0</v>
      </c>
      <c r="J16" s="15">
        <f>ROUND(G16/197-1,2)</f>
        <v>-0.02</v>
      </c>
    </row>
    <row r="17" spans="1:10" x14ac:dyDescent="0.25">
      <c r="A17" s="1" t="s">
        <v>16</v>
      </c>
      <c r="B17" s="1" t="s">
        <v>22</v>
      </c>
      <c r="C17" s="10"/>
      <c r="D17" s="10"/>
      <c r="E17" s="10">
        <v>2600</v>
      </c>
      <c r="F17" s="10"/>
      <c r="G17" s="10">
        <f t="shared" si="0"/>
        <v>2600</v>
      </c>
      <c r="H17" s="16">
        <f t="shared" si="1"/>
        <v>0.43</v>
      </c>
      <c r="I17" s="15">
        <f t="shared" si="2"/>
        <v>1E-3</v>
      </c>
      <c r="J17" s="15">
        <f>ROUND(G17/3760-1,2)</f>
        <v>-0.31</v>
      </c>
    </row>
    <row r="18" spans="1:10" x14ac:dyDescent="0.25">
      <c r="A18" s="1" t="s">
        <v>16</v>
      </c>
      <c r="B18" s="1" t="s">
        <v>98</v>
      </c>
      <c r="C18" s="10"/>
      <c r="D18" s="10"/>
      <c r="E18" s="10"/>
      <c r="F18" s="10">
        <v>117</v>
      </c>
      <c r="G18" s="10">
        <f t="shared" si="0"/>
        <v>117</v>
      </c>
      <c r="H18" s="16">
        <f t="shared" si="1"/>
        <v>0.02</v>
      </c>
      <c r="I18" s="15">
        <f t="shared" si="2"/>
        <v>0</v>
      </c>
      <c r="J18" s="15"/>
    </row>
    <row r="19" spans="1:10" x14ac:dyDescent="0.25">
      <c r="A19" s="1" t="s">
        <v>16</v>
      </c>
      <c r="B19" s="1" t="s">
        <v>23</v>
      </c>
      <c r="C19" s="10"/>
      <c r="D19" s="10"/>
      <c r="E19" s="10">
        <v>60870</v>
      </c>
      <c r="F19" s="10"/>
      <c r="G19" s="10">
        <f t="shared" si="0"/>
        <v>60870</v>
      </c>
      <c r="H19" s="16">
        <f t="shared" si="1"/>
        <v>10.16</v>
      </c>
      <c r="I19" s="15">
        <f t="shared" si="2"/>
        <v>2.1000000000000001E-2</v>
      </c>
      <c r="J19" s="15">
        <f>ROUND(G19/67500-1,2)</f>
        <v>-0.1</v>
      </c>
    </row>
    <row r="20" spans="1:10" x14ac:dyDescent="0.25">
      <c r="A20" s="1" t="s">
        <v>16</v>
      </c>
      <c r="B20" s="1" t="s">
        <v>24</v>
      </c>
      <c r="C20" s="10">
        <v>356060</v>
      </c>
      <c r="D20" s="10"/>
      <c r="E20" s="10">
        <v>34550</v>
      </c>
      <c r="F20" s="10"/>
      <c r="G20" s="10">
        <f t="shared" si="0"/>
        <v>390610</v>
      </c>
      <c r="H20" s="16">
        <f t="shared" si="1"/>
        <v>65.180000000000007</v>
      </c>
      <c r="I20" s="15">
        <f t="shared" si="2"/>
        <v>0.13300000000000001</v>
      </c>
      <c r="J20" s="15">
        <f>ROUND(G20/363240-1,2)</f>
        <v>0.08</v>
      </c>
    </row>
    <row r="21" spans="1:10" x14ac:dyDescent="0.25">
      <c r="A21" s="1" t="s">
        <v>16</v>
      </c>
      <c r="B21" s="1" t="s">
        <v>25</v>
      </c>
      <c r="C21" s="10"/>
      <c r="D21" s="10"/>
      <c r="E21" s="10">
        <v>10505</v>
      </c>
      <c r="F21" s="10"/>
      <c r="G21" s="10">
        <f t="shared" si="0"/>
        <v>10505</v>
      </c>
      <c r="H21" s="16">
        <f t="shared" si="1"/>
        <v>1.75</v>
      </c>
      <c r="I21" s="15">
        <f t="shared" si="2"/>
        <v>4.0000000000000001E-3</v>
      </c>
      <c r="J21" s="15">
        <f>ROUND(G21/9455-1,2)</f>
        <v>0.11</v>
      </c>
    </row>
    <row r="22" spans="1:10" x14ac:dyDescent="0.25">
      <c r="A22" s="1" t="s">
        <v>16</v>
      </c>
      <c r="B22" s="1" t="s">
        <v>26</v>
      </c>
      <c r="C22" s="10">
        <v>417990</v>
      </c>
      <c r="D22" s="10"/>
      <c r="E22" s="10"/>
      <c r="F22" s="10">
        <v>690</v>
      </c>
      <c r="G22" s="10">
        <f t="shared" si="0"/>
        <v>418680</v>
      </c>
      <c r="H22" s="16">
        <f t="shared" si="1"/>
        <v>69.86</v>
      </c>
      <c r="I22" s="15">
        <f t="shared" si="2"/>
        <v>0.14199999999999999</v>
      </c>
      <c r="J22" s="15">
        <f>ROUND(G22/417720-1,2)</f>
        <v>0</v>
      </c>
    </row>
    <row r="23" spans="1:10" x14ac:dyDescent="0.25">
      <c r="A23" s="1" t="s">
        <v>16</v>
      </c>
      <c r="B23" s="1" t="s">
        <v>27</v>
      </c>
      <c r="C23" s="10"/>
      <c r="D23" s="10"/>
      <c r="E23" s="10">
        <v>1469</v>
      </c>
      <c r="F23" s="10"/>
      <c r="G23" s="10">
        <f t="shared" si="0"/>
        <v>1469</v>
      </c>
      <c r="H23" s="16">
        <f t="shared" si="1"/>
        <v>0.25</v>
      </c>
      <c r="I23" s="15">
        <f t="shared" si="2"/>
        <v>0</v>
      </c>
      <c r="J23" s="15">
        <f>ROUND(G23/1329-1,2)</f>
        <v>0.11</v>
      </c>
    </row>
    <row r="24" spans="1:10" x14ac:dyDescent="0.25">
      <c r="A24" s="1" t="s">
        <v>16</v>
      </c>
      <c r="B24" s="1" t="s">
        <v>28</v>
      </c>
      <c r="C24" s="10"/>
      <c r="D24" s="10"/>
      <c r="E24" s="10">
        <v>849</v>
      </c>
      <c r="F24" s="10"/>
      <c r="G24" s="10">
        <f t="shared" si="0"/>
        <v>849</v>
      </c>
      <c r="H24" s="16">
        <f t="shared" si="1"/>
        <v>0.14000000000000001</v>
      </c>
      <c r="I24" s="15">
        <f t="shared" si="2"/>
        <v>0</v>
      </c>
      <c r="J24" s="15">
        <f>ROUND(G24/570-1,2)</f>
        <v>0.49</v>
      </c>
    </row>
    <row r="25" spans="1:10" x14ac:dyDescent="0.25">
      <c r="A25" s="1" t="s">
        <v>16</v>
      </c>
      <c r="B25" s="1" t="s">
        <v>30</v>
      </c>
      <c r="C25" s="10"/>
      <c r="D25" s="10"/>
      <c r="E25" s="10">
        <v>2650</v>
      </c>
      <c r="F25" s="10"/>
      <c r="G25" s="10">
        <f t="shared" si="0"/>
        <v>2650</v>
      </c>
      <c r="H25" s="16">
        <f t="shared" si="1"/>
        <v>0.44</v>
      </c>
      <c r="I25" s="15">
        <f t="shared" si="2"/>
        <v>1E-3</v>
      </c>
      <c r="J25" s="15">
        <f>ROUND(G25/2350-1,2)</f>
        <v>0.13</v>
      </c>
    </row>
    <row r="26" spans="1:10" x14ac:dyDescent="0.25">
      <c r="A26" s="1" t="s">
        <v>16</v>
      </c>
      <c r="B26" s="1" t="s">
        <v>31</v>
      </c>
      <c r="C26" s="10"/>
      <c r="D26" s="10"/>
      <c r="E26" s="10">
        <v>1230</v>
      </c>
      <c r="F26" s="10"/>
      <c r="G26" s="10">
        <f t="shared" si="0"/>
        <v>1230</v>
      </c>
      <c r="H26" s="16">
        <f t="shared" si="1"/>
        <v>0.21</v>
      </c>
      <c r="I26" s="15">
        <f t="shared" si="2"/>
        <v>0</v>
      </c>
      <c r="J26" s="15">
        <f>ROUND(G26/360-1,2)</f>
        <v>2.42</v>
      </c>
    </row>
    <row r="27" spans="1:10" x14ac:dyDescent="0.25">
      <c r="A27" s="1" t="s">
        <v>16</v>
      </c>
      <c r="B27" s="1" t="s">
        <v>32</v>
      </c>
      <c r="C27" s="10"/>
      <c r="D27" s="10"/>
      <c r="E27" s="10">
        <v>4505</v>
      </c>
      <c r="F27" s="10"/>
      <c r="G27" s="10">
        <f t="shared" si="0"/>
        <v>4505</v>
      </c>
      <c r="H27" s="16">
        <f t="shared" si="1"/>
        <v>0.75</v>
      </c>
      <c r="I27" s="15">
        <f t="shared" si="2"/>
        <v>2E-3</v>
      </c>
      <c r="J27" s="15">
        <f>ROUND(G27/2120-1,2)</f>
        <v>1.1299999999999999</v>
      </c>
    </row>
    <row r="28" spans="1:10" x14ac:dyDescent="0.25">
      <c r="A28" s="1" t="s">
        <v>16</v>
      </c>
      <c r="B28" s="1" t="s">
        <v>33</v>
      </c>
      <c r="C28" s="10"/>
      <c r="D28" s="10">
        <v>495</v>
      </c>
      <c r="E28" s="10">
        <v>148</v>
      </c>
      <c r="F28" s="10"/>
      <c r="G28" s="10">
        <f t="shared" si="0"/>
        <v>643</v>
      </c>
      <c r="H28" s="16">
        <f t="shared" si="1"/>
        <v>0.11</v>
      </c>
      <c r="I28" s="15">
        <f t="shared" si="2"/>
        <v>0</v>
      </c>
      <c r="J28" s="15">
        <f>ROUND(G28/621-1,2)</f>
        <v>0.04</v>
      </c>
    </row>
    <row r="29" spans="1:10" x14ac:dyDescent="0.25">
      <c r="A29" s="1" t="s">
        <v>16</v>
      </c>
      <c r="B29" s="1" t="s">
        <v>34</v>
      </c>
      <c r="C29" s="10"/>
      <c r="D29" s="10"/>
      <c r="E29" s="10">
        <v>780</v>
      </c>
      <c r="F29" s="10"/>
      <c r="G29" s="10">
        <f t="shared" si="0"/>
        <v>780</v>
      </c>
      <c r="H29" s="16">
        <f t="shared" si="1"/>
        <v>0.13</v>
      </c>
      <c r="I29" s="15">
        <f t="shared" si="2"/>
        <v>0</v>
      </c>
      <c r="J29" s="15">
        <f>ROUND(G29/680-1,2)</f>
        <v>0.15</v>
      </c>
    </row>
    <row r="30" spans="1:10" x14ac:dyDescent="0.25">
      <c r="A30" s="1" t="s">
        <v>16</v>
      </c>
      <c r="B30" s="1" t="s">
        <v>35</v>
      </c>
      <c r="C30" s="10"/>
      <c r="D30" s="10">
        <v>190</v>
      </c>
      <c r="E30" s="10"/>
      <c r="F30" s="10"/>
      <c r="G30" s="10">
        <f t="shared" si="0"/>
        <v>190</v>
      </c>
      <c r="H30" s="16">
        <f t="shared" si="1"/>
        <v>0.03</v>
      </c>
      <c r="I30" s="15">
        <f t="shared" si="2"/>
        <v>0</v>
      </c>
      <c r="J30" s="15">
        <f>ROUND(G30/1085-1,2)</f>
        <v>-0.82</v>
      </c>
    </row>
    <row r="31" spans="1:10" x14ac:dyDescent="0.25">
      <c r="A31" s="1" t="s">
        <v>16</v>
      </c>
      <c r="B31" s="1" t="s">
        <v>37</v>
      </c>
      <c r="C31" s="10"/>
      <c r="D31" s="10"/>
      <c r="E31" s="10">
        <v>3330</v>
      </c>
      <c r="F31" s="10"/>
      <c r="G31" s="10">
        <f t="shared" si="0"/>
        <v>3330</v>
      </c>
      <c r="H31" s="16">
        <f t="shared" si="1"/>
        <v>0.56000000000000005</v>
      </c>
      <c r="I31" s="15">
        <f t="shared" si="2"/>
        <v>1E-3</v>
      </c>
      <c r="J31" s="15">
        <f>ROUND(G31/7566-1,2)</f>
        <v>-0.56000000000000005</v>
      </c>
    </row>
    <row r="32" spans="1:10" x14ac:dyDescent="0.25">
      <c r="A32" s="1" t="s">
        <v>16</v>
      </c>
      <c r="B32" s="1" t="s">
        <v>43</v>
      </c>
      <c r="C32" s="10"/>
      <c r="D32" s="10"/>
      <c r="E32" s="10">
        <v>6250</v>
      </c>
      <c r="F32" s="10"/>
      <c r="G32" s="10">
        <f t="shared" si="0"/>
        <v>6250</v>
      </c>
      <c r="H32" s="16">
        <f t="shared" si="1"/>
        <v>1.04</v>
      </c>
      <c r="I32" s="15">
        <f t="shared" si="2"/>
        <v>2E-3</v>
      </c>
      <c r="J32" s="15">
        <f>ROUND(G32/10807-1,2)</f>
        <v>-0.42</v>
      </c>
    </row>
    <row r="33" spans="1:10" x14ac:dyDescent="0.25">
      <c r="A33" s="1" t="s">
        <v>16</v>
      </c>
      <c r="B33" s="1" t="s">
        <v>38</v>
      </c>
      <c r="C33" s="10"/>
      <c r="D33" s="10"/>
      <c r="E33" s="10">
        <v>215730</v>
      </c>
      <c r="F33" s="10"/>
      <c r="G33" s="10">
        <f t="shared" si="0"/>
        <v>215730</v>
      </c>
      <c r="H33" s="16">
        <f t="shared" si="1"/>
        <v>36</v>
      </c>
      <c r="I33" s="15">
        <f t="shared" si="2"/>
        <v>7.2999999999999995E-2</v>
      </c>
      <c r="J33" s="15">
        <f>ROUND(G33/162790-1,2)</f>
        <v>0.33</v>
      </c>
    </row>
    <row r="34" spans="1:10" x14ac:dyDescent="0.25">
      <c r="A34" s="1" t="s">
        <v>16</v>
      </c>
      <c r="B34" s="1" t="s">
        <v>39</v>
      </c>
      <c r="C34" s="10"/>
      <c r="D34" s="10"/>
      <c r="E34" s="10">
        <v>3320</v>
      </c>
      <c r="F34" s="10"/>
      <c r="G34" s="10">
        <f t="shared" si="0"/>
        <v>3320</v>
      </c>
      <c r="H34" s="16">
        <f t="shared" si="1"/>
        <v>0.55000000000000004</v>
      </c>
      <c r="I34" s="15">
        <f t="shared" si="2"/>
        <v>1E-3</v>
      </c>
      <c r="J34" s="15">
        <f>ROUND(G34/5560-1,2)</f>
        <v>-0.4</v>
      </c>
    </row>
    <row r="35" spans="1:10" x14ac:dyDescent="0.25">
      <c r="A35" s="1" t="s">
        <v>16</v>
      </c>
      <c r="B35" s="1" t="s">
        <v>40</v>
      </c>
      <c r="C35" s="10"/>
      <c r="D35" s="10"/>
      <c r="E35" s="10">
        <v>36140</v>
      </c>
      <c r="F35" s="10"/>
      <c r="G35" s="10">
        <f t="shared" si="0"/>
        <v>36140</v>
      </c>
      <c r="H35" s="16">
        <f t="shared" si="1"/>
        <v>6.03</v>
      </c>
      <c r="I35" s="15">
        <f t="shared" si="2"/>
        <v>1.2E-2</v>
      </c>
      <c r="J35" s="15">
        <f>ROUND(G35/24710-1,2)</f>
        <v>0.46</v>
      </c>
    </row>
    <row r="36" spans="1:10" x14ac:dyDescent="0.25">
      <c r="A36" s="1" t="s">
        <v>16</v>
      </c>
      <c r="B36" s="1" t="s">
        <v>41</v>
      </c>
      <c r="C36" s="10"/>
      <c r="D36" s="10"/>
      <c r="E36" s="10">
        <v>373480</v>
      </c>
      <c r="F36" s="10">
        <v>3960</v>
      </c>
      <c r="G36" s="10">
        <f t="shared" si="0"/>
        <v>377440</v>
      </c>
      <c r="H36" s="16">
        <f t="shared" si="1"/>
        <v>62.98</v>
      </c>
      <c r="I36" s="15">
        <f t="shared" si="2"/>
        <v>0.128</v>
      </c>
      <c r="J36" s="15">
        <f>ROUND(G36/386840-1,2)</f>
        <v>-0.02</v>
      </c>
    </row>
    <row r="37" spans="1:10" x14ac:dyDescent="0.25">
      <c r="A37" s="1" t="s">
        <v>16</v>
      </c>
      <c r="B37" s="1" t="s">
        <v>42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>
        <f>ROUND(G37/300-1,2)</f>
        <v>-1</v>
      </c>
    </row>
    <row r="38" spans="1:10" x14ac:dyDescent="0.25">
      <c r="A38" s="1" t="s">
        <v>16</v>
      </c>
      <c r="B38" s="1" t="s">
        <v>29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>
        <f>ROUND(G38/6500-1,2)</f>
        <v>-1</v>
      </c>
    </row>
    <row r="39" spans="1:10" x14ac:dyDescent="0.25">
      <c r="A39" s="1" t="s">
        <v>16</v>
      </c>
      <c r="B39" s="1" t="s">
        <v>36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>
        <f>ROUND(G39/3902-1,2)</f>
        <v>-1</v>
      </c>
    </row>
    <row r="40" spans="1:10" x14ac:dyDescent="0.25">
      <c r="A40" s="1" t="s">
        <v>16</v>
      </c>
      <c r="B40" s="1" t="s">
        <v>160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>
        <f>ROUND(G40/350-1,2)</f>
        <v>-1</v>
      </c>
    </row>
    <row r="41" spans="1:10" x14ac:dyDescent="0.25">
      <c r="A41" s="1" t="s">
        <v>16</v>
      </c>
      <c r="B41" s="1" t="s">
        <v>120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/>
    </row>
    <row r="42" spans="1:10" x14ac:dyDescent="0.25">
      <c r="A42" s="1" t="s">
        <v>16</v>
      </c>
      <c r="B42" s="1" t="s">
        <v>161</v>
      </c>
      <c r="C42" s="10"/>
      <c r="D42" s="10"/>
      <c r="E42" s="10"/>
      <c r="F42" s="10"/>
      <c r="G42" s="10">
        <f t="shared" si="0"/>
        <v>0</v>
      </c>
      <c r="H42" s="16">
        <f t="shared" si="1"/>
        <v>0</v>
      </c>
      <c r="I42" s="15">
        <f t="shared" si="2"/>
        <v>0</v>
      </c>
      <c r="J42" s="15"/>
    </row>
    <row r="43" spans="1:10" x14ac:dyDescent="0.25">
      <c r="A43" s="1" t="s">
        <v>44</v>
      </c>
      <c r="B43" s="1" t="s">
        <v>45</v>
      </c>
      <c r="C43" s="10">
        <v>682820</v>
      </c>
      <c r="D43" s="10"/>
      <c r="E43" s="10"/>
      <c r="F43" s="10"/>
      <c r="G43" s="10">
        <f t="shared" si="0"/>
        <v>682820</v>
      </c>
      <c r="H43" s="16">
        <f t="shared" si="1"/>
        <v>113.94</v>
      </c>
      <c r="I43" s="15">
        <f t="shared" si="2"/>
        <v>0.23200000000000001</v>
      </c>
      <c r="J43" s="15">
        <f>ROUND(G43/669750-1,2)</f>
        <v>0.02</v>
      </c>
    </row>
    <row r="44" spans="1:10" x14ac:dyDescent="0.25">
      <c r="A44" s="1" t="s">
        <v>44</v>
      </c>
      <c r="B44" s="1" t="s">
        <v>47</v>
      </c>
      <c r="C44" s="10"/>
      <c r="D44" s="10"/>
      <c r="E44" s="10"/>
      <c r="F44" s="10">
        <v>28020</v>
      </c>
      <c r="G44" s="10">
        <f t="shared" si="0"/>
        <v>28020</v>
      </c>
      <c r="H44" s="16">
        <f t="shared" si="1"/>
        <v>4.68</v>
      </c>
      <c r="I44" s="15">
        <f t="shared" si="2"/>
        <v>0.01</v>
      </c>
      <c r="J44" s="15">
        <f>ROUND(G44/17770-1,2)</f>
        <v>0.57999999999999996</v>
      </c>
    </row>
    <row r="45" spans="1:10" x14ac:dyDescent="0.25">
      <c r="A45" s="1" t="s">
        <v>44</v>
      </c>
      <c r="B45" s="1" t="s">
        <v>46</v>
      </c>
      <c r="C45" s="10"/>
      <c r="D45" s="10"/>
      <c r="E45" s="10">
        <v>173180</v>
      </c>
      <c r="F45" s="10"/>
      <c r="G45" s="10">
        <f t="shared" si="0"/>
        <v>173180</v>
      </c>
      <c r="H45" s="16">
        <f t="shared" si="1"/>
        <v>28.9</v>
      </c>
      <c r="I45" s="15">
        <f t="shared" si="2"/>
        <v>5.8999999999999997E-2</v>
      </c>
      <c r="J45" s="15">
        <f>ROUND(G45/118420-1,2)</f>
        <v>0.46</v>
      </c>
    </row>
    <row r="46" spans="1:10" x14ac:dyDescent="0.25">
      <c r="A46" s="30" t="s">
        <v>12</v>
      </c>
      <c r="B46" s="30"/>
      <c r="C46" s="11">
        <f t="shared" ref="C46:H46" si="3">SUM(C8:C45)</f>
        <v>1969870</v>
      </c>
      <c r="D46" s="11">
        <f t="shared" si="3"/>
        <v>685</v>
      </c>
      <c r="E46" s="11">
        <f t="shared" si="3"/>
        <v>935335</v>
      </c>
      <c r="F46" s="11">
        <f t="shared" si="3"/>
        <v>32943</v>
      </c>
      <c r="G46" s="11">
        <f t="shared" si="3"/>
        <v>2938833</v>
      </c>
      <c r="H46" s="14">
        <f t="shared" si="3"/>
        <v>490.37999999999994</v>
      </c>
      <c r="I46" s="17"/>
      <c r="J46" s="17"/>
    </row>
    <row r="47" spans="1:10" x14ac:dyDescent="0.25">
      <c r="A47" s="30" t="s">
        <v>14</v>
      </c>
      <c r="B47" s="30"/>
      <c r="C47" s="12">
        <f>ROUND(C46/G46,2)</f>
        <v>0.67</v>
      </c>
      <c r="D47" s="12">
        <f>ROUND(D46/G46,2)</f>
        <v>0</v>
      </c>
      <c r="E47" s="12">
        <f>ROUND(E46/G46,2)</f>
        <v>0.32</v>
      </c>
      <c r="F47" s="12">
        <f>ROUND(F46/G46,2)</f>
        <v>0.01</v>
      </c>
      <c r="G47" s="13"/>
      <c r="H47" s="13"/>
      <c r="I47" s="17"/>
      <c r="J47" s="17"/>
    </row>
    <row r="48" spans="1:10" x14ac:dyDescent="0.25">
      <c r="A48" s="2" t="s">
        <v>52</v>
      </c>
      <c r="B48" s="2"/>
      <c r="C48" s="13"/>
      <c r="D48" s="13"/>
      <c r="E48" s="13"/>
      <c r="F48" s="13"/>
      <c r="G48" s="13"/>
      <c r="H48" s="13"/>
      <c r="I48" s="17"/>
      <c r="J48" s="17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A52" s="30" t="s">
        <v>53</v>
      </c>
      <c r="B52" s="30"/>
      <c r="C52" s="11" t="s">
        <v>8</v>
      </c>
      <c r="D52" s="11" t="s">
        <v>9</v>
      </c>
      <c r="E52" s="11" t="s">
        <v>10</v>
      </c>
      <c r="F52" s="11" t="s">
        <v>11</v>
      </c>
      <c r="G52" s="11" t="s">
        <v>12</v>
      </c>
      <c r="H52" s="14" t="s">
        <v>13</v>
      </c>
      <c r="I52" s="17"/>
      <c r="J52" s="17"/>
    </row>
    <row r="53" spans="1:10" x14ac:dyDescent="0.25">
      <c r="A53" s="29" t="s">
        <v>54</v>
      </c>
      <c r="B53" s="29"/>
      <c r="C53" s="10">
        <v>1287050</v>
      </c>
      <c r="D53" s="10">
        <v>685</v>
      </c>
      <c r="E53" s="10">
        <v>762155</v>
      </c>
      <c r="F53" s="10">
        <v>4767</v>
      </c>
      <c r="G53" s="10">
        <f>SUM(C53:F53)</f>
        <v>2054657</v>
      </c>
      <c r="H53" s="16">
        <f>ROUND(G53/5993,2)</f>
        <v>342.84</v>
      </c>
      <c r="I53" s="9"/>
      <c r="J53" s="9"/>
    </row>
    <row r="54" spans="1:10" x14ac:dyDescent="0.25">
      <c r="A54" s="29" t="s">
        <v>55</v>
      </c>
      <c r="B54" s="29"/>
      <c r="C54" s="10">
        <v>682820</v>
      </c>
      <c r="D54" s="10">
        <v>0</v>
      </c>
      <c r="E54" s="10">
        <v>173180</v>
      </c>
      <c r="F54" s="10">
        <v>28020</v>
      </c>
      <c r="G54" s="10">
        <f>SUM(C54:F54)</f>
        <v>884020</v>
      </c>
      <c r="H54" s="16">
        <f>ROUND(G54/5993,2)</f>
        <v>147.51</v>
      </c>
      <c r="I54" s="9"/>
      <c r="J54" s="9"/>
    </row>
    <row r="55" spans="1:10" x14ac:dyDescent="0.25">
      <c r="A55" s="29" t="s">
        <v>56</v>
      </c>
      <c r="B55" s="29"/>
      <c r="C55" s="10">
        <v>0</v>
      </c>
      <c r="D55" s="10">
        <v>0</v>
      </c>
      <c r="E55" s="10">
        <v>0</v>
      </c>
      <c r="F55" s="10">
        <v>156</v>
      </c>
      <c r="G55" s="10">
        <f>SUM(C55:F55)</f>
        <v>156</v>
      </c>
      <c r="H55" s="16">
        <f>ROUND(G55/5993,2)</f>
        <v>0.03</v>
      </c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21"/>
      <c r="H57" s="8"/>
      <c r="I57" s="9"/>
      <c r="J57" s="9"/>
    </row>
    <row r="58" spans="1:10" x14ac:dyDescent="0.25">
      <c r="C58" s="8"/>
      <c r="D58" s="8"/>
      <c r="E58" s="8"/>
      <c r="F58" s="8"/>
      <c r="G58" s="21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A60" s="30" t="s">
        <v>57</v>
      </c>
      <c r="B60" s="30"/>
      <c r="C60" s="14" t="s">
        <v>2</v>
      </c>
      <c r="D60" s="14">
        <v>2023</v>
      </c>
      <c r="E60" s="14" t="s">
        <v>59</v>
      </c>
      <c r="F60" s="13"/>
      <c r="G60" s="14" t="s">
        <v>60</v>
      </c>
      <c r="H60" s="14" t="s">
        <v>2</v>
      </c>
      <c r="I60" s="12" t="s">
        <v>61</v>
      </c>
      <c r="J60" s="12" t="s">
        <v>59</v>
      </c>
    </row>
    <row r="61" spans="1:10" x14ac:dyDescent="0.25">
      <c r="A61" s="29" t="s">
        <v>58</v>
      </c>
      <c r="B61" s="29"/>
      <c r="C61" s="15">
        <f>ROUND(0.7601, 4)</f>
        <v>0.7601</v>
      </c>
      <c r="D61" s="15">
        <f>ROUND(0.7479, 4)</f>
        <v>0.74790000000000001</v>
      </c>
      <c r="E61" s="15">
        <f>ROUND(0.777, 4)</f>
        <v>0.77700000000000002</v>
      </c>
      <c r="F61" s="8"/>
      <c r="G61" s="14" t="s">
        <v>62</v>
      </c>
      <c r="H61" s="33" t="s">
        <v>63</v>
      </c>
      <c r="I61" s="31" t="s">
        <v>64</v>
      </c>
      <c r="J61" s="31" t="s">
        <v>65</v>
      </c>
    </row>
    <row r="62" spans="1:10" x14ac:dyDescent="0.25">
      <c r="A62" s="29" t="s">
        <v>66</v>
      </c>
      <c r="B62" s="29"/>
      <c r="C62" s="7">
        <f>ROUND(0.7502, 4)</f>
        <v>0.75019999999999998</v>
      </c>
      <c r="D62" s="7">
        <f>ROUND(0.7376, 4)</f>
        <v>0.73760000000000003</v>
      </c>
      <c r="E62" s="7">
        <f>ROUND(0.7608, 4)</f>
        <v>0.76080000000000003</v>
      </c>
      <c r="G62" s="3" t="s">
        <v>67</v>
      </c>
      <c r="H62" s="29"/>
      <c r="I62" s="29"/>
      <c r="J62" s="29"/>
    </row>
    <row r="66" spans="1:10" x14ac:dyDescent="0.25">
      <c r="A66" s="30" t="s">
        <v>68</v>
      </c>
      <c r="B66" s="30"/>
      <c r="C66" s="3" t="s">
        <v>2</v>
      </c>
      <c r="D66" s="3" t="s">
        <v>162</v>
      </c>
      <c r="E66" s="3" t="s">
        <v>70</v>
      </c>
      <c r="F66" s="3" t="s">
        <v>71</v>
      </c>
      <c r="G66" s="3" t="s">
        <v>72</v>
      </c>
      <c r="H66" s="2"/>
      <c r="I66" s="2"/>
      <c r="J66" s="2"/>
    </row>
    <row r="67" spans="1:10" x14ac:dyDescent="0.25">
      <c r="A67" s="29" t="s">
        <v>73</v>
      </c>
      <c r="B67" s="29"/>
      <c r="C67" s="1">
        <v>113.94</v>
      </c>
      <c r="D67" s="1">
        <v>105.43</v>
      </c>
      <c r="E67" s="1">
        <v>93.87</v>
      </c>
      <c r="F67" s="1">
        <v>57.16</v>
      </c>
      <c r="G67" s="1">
        <f>12/12*C67</f>
        <v>113.94</v>
      </c>
    </row>
    <row r="68" spans="1:10" x14ac:dyDescent="0.25">
      <c r="A68" s="29" t="s">
        <v>74</v>
      </c>
      <c r="B68" s="29"/>
      <c r="C68" s="1">
        <v>69.86</v>
      </c>
      <c r="D68" s="1">
        <v>69.930000000000007</v>
      </c>
      <c r="E68" s="1">
        <v>62.84</v>
      </c>
      <c r="F68" s="1">
        <v>65.39</v>
      </c>
      <c r="G68" s="1">
        <f>12/12*C68</f>
        <v>69.86</v>
      </c>
    </row>
    <row r="69" spans="1:10" x14ac:dyDescent="0.25">
      <c r="A69" s="29" t="s">
        <v>75</v>
      </c>
      <c r="B69" s="29"/>
      <c r="C69" s="1">
        <v>342.84</v>
      </c>
      <c r="D69" s="1">
        <v>325.64</v>
      </c>
      <c r="E69" s="1">
        <v>295.08999999999997</v>
      </c>
      <c r="F69" s="1">
        <v>289.06</v>
      </c>
      <c r="G69" s="1">
        <f>12/12*C69</f>
        <v>342.84</v>
      </c>
    </row>
    <row r="70" spans="1:10" x14ac:dyDescent="0.25">
      <c r="A70" s="29" t="s">
        <v>76</v>
      </c>
      <c r="B70" s="29"/>
      <c r="C70" s="1">
        <v>147.51</v>
      </c>
      <c r="D70" s="1">
        <v>134.69</v>
      </c>
      <c r="E70" s="1">
        <v>118.05</v>
      </c>
      <c r="F70" s="1">
        <v>81.41</v>
      </c>
      <c r="G70" s="1">
        <f>12/12*C70</f>
        <v>147.51</v>
      </c>
    </row>
    <row r="73" spans="1:10" x14ac:dyDescent="0.25">
      <c r="A73" s="28" t="s">
        <v>60</v>
      </c>
      <c r="B73" s="35"/>
    </row>
    <row r="74" spans="1:10" x14ac:dyDescent="0.25">
      <c r="A74" s="3" t="s">
        <v>77</v>
      </c>
      <c r="B74" s="1" t="s">
        <v>163</v>
      </c>
    </row>
    <row r="75" spans="1:10" x14ac:dyDescent="0.25">
      <c r="A75" s="3" t="s">
        <v>70</v>
      </c>
      <c r="B75" s="1" t="s">
        <v>79</v>
      </c>
    </row>
    <row r="76" spans="1:10" x14ac:dyDescent="0.25">
      <c r="A76" s="3" t="s">
        <v>71</v>
      </c>
      <c r="B76" s="1" t="s">
        <v>80</v>
      </c>
    </row>
    <row r="77" spans="1:10" x14ac:dyDescent="0.25">
      <c r="A77" s="3" t="s">
        <v>72</v>
      </c>
      <c r="B77" s="1" t="s">
        <v>81</v>
      </c>
    </row>
  </sheetData>
  <mergeCells count="19">
    <mergeCell ref="A68:B68"/>
    <mergeCell ref="A69:B69"/>
    <mergeCell ref="A70:B70"/>
    <mergeCell ref="A73:B73"/>
    <mergeCell ref="I61:I62"/>
    <mergeCell ref="J61:J62"/>
    <mergeCell ref="A62:B62"/>
    <mergeCell ref="A66:B66"/>
    <mergeCell ref="A67:B67"/>
    <mergeCell ref="A54:B54"/>
    <mergeCell ref="A55:B55"/>
    <mergeCell ref="A60:B60"/>
    <mergeCell ref="A61:B61"/>
    <mergeCell ref="H61:H62"/>
    <mergeCell ref="C7:G7"/>
    <mergeCell ref="A46:B46"/>
    <mergeCell ref="A47:B47"/>
    <mergeCell ref="A52:B52"/>
    <mergeCell ref="A53:B5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J72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3.425781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164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1086</v>
      </c>
    </row>
    <row r="7" spans="1:10" x14ac:dyDescent="0.25">
      <c r="C7" s="28" t="s">
        <v>5</v>
      </c>
      <c r="D7" s="29"/>
      <c r="E7" s="29"/>
      <c r="F7" s="29"/>
      <c r="G7" s="29"/>
    </row>
    <row r="8" spans="1:10" x14ac:dyDescent="0.25">
      <c r="A8" s="25" t="s">
        <v>6</v>
      </c>
      <c r="B8" s="25" t="s">
        <v>7</v>
      </c>
      <c r="C8" s="27" t="s">
        <v>8</v>
      </c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</row>
    <row r="9" spans="1:10" x14ac:dyDescent="0.25">
      <c r="A9" s="1" t="s">
        <v>48</v>
      </c>
      <c r="B9" s="1" t="s">
        <v>50</v>
      </c>
      <c r="C9" s="10"/>
      <c r="D9" s="10"/>
      <c r="E9" s="10"/>
      <c r="F9" s="10">
        <v>491</v>
      </c>
      <c r="G9" s="10">
        <f t="shared" ref="G9:G29" si="0">SUM(C9:F9)</f>
        <v>491</v>
      </c>
      <c r="H9" s="16">
        <f t="shared" ref="H9:H29" si="1">ROUND(G9/1086,2)</f>
        <v>0.45</v>
      </c>
      <c r="I9" s="15">
        <f t="shared" ref="I9:I29" si="2">ROUND(G9/$G$30,3)</f>
        <v>1E-3</v>
      </c>
      <c r="J9" s="15"/>
    </row>
    <row r="10" spans="1:10" x14ac:dyDescent="0.25">
      <c r="A10" s="1" t="s">
        <v>48</v>
      </c>
      <c r="B10" s="1" t="s">
        <v>51</v>
      </c>
      <c r="C10" s="10"/>
      <c r="D10" s="10"/>
      <c r="E10" s="10"/>
      <c r="F10" s="10"/>
      <c r="G10" s="10">
        <f t="shared" si="0"/>
        <v>0</v>
      </c>
      <c r="H10" s="16">
        <f t="shared" si="1"/>
        <v>0</v>
      </c>
      <c r="I10" s="15">
        <f t="shared" si="2"/>
        <v>0</v>
      </c>
      <c r="J10" s="15">
        <f>ROUND(G10/7-1,2)</f>
        <v>-1</v>
      </c>
    </row>
    <row r="11" spans="1:10" x14ac:dyDescent="0.25">
      <c r="A11" s="1" t="s">
        <v>16</v>
      </c>
      <c r="B11" s="1" t="s">
        <v>19</v>
      </c>
      <c r="C11" s="10">
        <v>36530</v>
      </c>
      <c r="D11" s="10"/>
      <c r="E11" s="10"/>
      <c r="F11" s="10">
        <v>200</v>
      </c>
      <c r="G11" s="10">
        <f t="shared" si="0"/>
        <v>36730</v>
      </c>
      <c r="H11" s="16">
        <f t="shared" si="1"/>
        <v>33.82</v>
      </c>
      <c r="I11" s="15">
        <f t="shared" si="2"/>
        <v>9.8000000000000004E-2</v>
      </c>
      <c r="J11" s="15">
        <f>ROUND(G11/35090-1,2)</f>
        <v>0.05</v>
      </c>
    </row>
    <row r="12" spans="1:10" x14ac:dyDescent="0.25">
      <c r="A12" s="1" t="s">
        <v>16</v>
      </c>
      <c r="B12" s="1" t="s">
        <v>20</v>
      </c>
      <c r="C12" s="10">
        <v>62010</v>
      </c>
      <c r="D12" s="10"/>
      <c r="E12" s="10"/>
      <c r="F12" s="10">
        <v>280</v>
      </c>
      <c r="G12" s="10">
        <f t="shared" si="0"/>
        <v>62290</v>
      </c>
      <c r="H12" s="16">
        <f t="shared" si="1"/>
        <v>57.36</v>
      </c>
      <c r="I12" s="15">
        <f t="shared" si="2"/>
        <v>0.16700000000000001</v>
      </c>
      <c r="J12" s="15">
        <f>ROUND(G12/48820-1,2)</f>
        <v>0.28000000000000003</v>
      </c>
    </row>
    <row r="13" spans="1:10" x14ac:dyDescent="0.25">
      <c r="A13" s="1" t="s">
        <v>16</v>
      </c>
      <c r="B13" s="1" t="s">
        <v>21</v>
      </c>
      <c r="C13" s="10"/>
      <c r="D13" s="10"/>
      <c r="E13" s="10"/>
      <c r="F13" s="10">
        <v>12</v>
      </c>
      <c r="G13" s="10">
        <f t="shared" si="0"/>
        <v>12</v>
      </c>
      <c r="H13" s="16">
        <f t="shared" si="1"/>
        <v>0.01</v>
      </c>
      <c r="I13" s="15">
        <f t="shared" si="2"/>
        <v>0</v>
      </c>
      <c r="J13" s="15">
        <f>ROUND(G13/12-1,2)</f>
        <v>0</v>
      </c>
    </row>
    <row r="14" spans="1:10" x14ac:dyDescent="0.25">
      <c r="A14" s="1" t="s">
        <v>16</v>
      </c>
      <c r="B14" s="1" t="s">
        <v>24</v>
      </c>
      <c r="C14" s="10">
        <v>35450</v>
      </c>
      <c r="D14" s="10"/>
      <c r="E14" s="10"/>
      <c r="F14" s="10">
        <v>270</v>
      </c>
      <c r="G14" s="10">
        <f t="shared" si="0"/>
        <v>35720</v>
      </c>
      <c r="H14" s="16">
        <f t="shared" si="1"/>
        <v>32.89</v>
      </c>
      <c r="I14" s="15">
        <f t="shared" si="2"/>
        <v>9.6000000000000002E-2</v>
      </c>
      <c r="J14" s="15">
        <f>ROUND(G14/41840-1,2)</f>
        <v>-0.15</v>
      </c>
    </row>
    <row r="15" spans="1:10" x14ac:dyDescent="0.25">
      <c r="A15" s="1" t="s">
        <v>16</v>
      </c>
      <c r="B15" s="1" t="s">
        <v>26</v>
      </c>
      <c r="C15" s="10">
        <v>93500</v>
      </c>
      <c r="D15" s="10"/>
      <c r="E15" s="10"/>
      <c r="F15" s="10">
        <v>480</v>
      </c>
      <c r="G15" s="10">
        <f t="shared" si="0"/>
        <v>93980</v>
      </c>
      <c r="H15" s="16">
        <f t="shared" si="1"/>
        <v>86.54</v>
      </c>
      <c r="I15" s="15">
        <f t="shared" si="2"/>
        <v>0.252</v>
      </c>
      <c r="J15" s="15">
        <f>ROUND(G15/112870-1,2)</f>
        <v>-0.17</v>
      </c>
    </row>
    <row r="16" spans="1:10" x14ac:dyDescent="0.25">
      <c r="A16" s="1" t="s">
        <v>16</v>
      </c>
      <c r="B16" s="1" t="s">
        <v>42</v>
      </c>
      <c r="C16" s="10"/>
      <c r="D16" s="10"/>
      <c r="E16" s="10"/>
      <c r="F16" s="10">
        <v>10</v>
      </c>
      <c r="G16" s="10">
        <f t="shared" si="0"/>
        <v>10</v>
      </c>
      <c r="H16" s="16">
        <f t="shared" si="1"/>
        <v>0.01</v>
      </c>
      <c r="I16" s="15">
        <f t="shared" si="2"/>
        <v>0</v>
      </c>
      <c r="J16" s="15">
        <f>ROUND(G16/10-1,2)</f>
        <v>0</v>
      </c>
    </row>
    <row r="17" spans="1:10" x14ac:dyDescent="0.25">
      <c r="A17" s="1" t="s">
        <v>16</v>
      </c>
      <c r="B17" s="1" t="s">
        <v>30</v>
      </c>
      <c r="C17" s="10"/>
      <c r="D17" s="10"/>
      <c r="E17" s="10">
        <v>60</v>
      </c>
      <c r="F17" s="10">
        <v>30</v>
      </c>
      <c r="G17" s="10">
        <f t="shared" si="0"/>
        <v>90</v>
      </c>
      <c r="H17" s="16">
        <f t="shared" si="1"/>
        <v>0.08</v>
      </c>
      <c r="I17" s="15">
        <f t="shared" si="2"/>
        <v>0</v>
      </c>
      <c r="J17" s="15">
        <f>ROUND(G17/140-1,2)</f>
        <v>-0.36</v>
      </c>
    </row>
    <row r="18" spans="1:10" x14ac:dyDescent="0.25">
      <c r="A18" s="1" t="s">
        <v>16</v>
      </c>
      <c r="B18" s="1" t="s">
        <v>31</v>
      </c>
      <c r="C18" s="10"/>
      <c r="D18" s="10"/>
      <c r="E18" s="10"/>
      <c r="F18" s="10">
        <v>20</v>
      </c>
      <c r="G18" s="10">
        <f t="shared" si="0"/>
        <v>20</v>
      </c>
      <c r="H18" s="16">
        <f t="shared" si="1"/>
        <v>0.02</v>
      </c>
      <c r="I18" s="15">
        <f t="shared" si="2"/>
        <v>0</v>
      </c>
      <c r="J18" s="15">
        <f>ROUND(G18/170-1,2)</f>
        <v>-0.88</v>
      </c>
    </row>
    <row r="19" spans="1:10" x14ac:dyDescent="0.25">
      <c r="A19" s="1" t="s">
        <v>16</v>
      </c>
      <c r="B19" s="1" t="s">
        <v>32</v>
      </c>
      <c r="C19" s="10"/>
      <c r="D19" s="10"/>
      <c r="E19" s="10"/>
      <c r="F19" s="10">
        <v>220</v>
      </c>
      <c r="G19" s="10">
        <f t="shared" si="0"/>
        <v>220</v>
      </c>
      <c r="H19" s="16">
        <f t="shared" si="1"/>
        <v>0.2</v>
      </c>
      <c r="I19" s="15">
        <f t="shared" si="2"/>
        <v>1E-3</v>
      </c>
      <c r="J19" s="15">
        <f>ROUND(G19/595-1,2)</f>
        <v>-0.63</v>
      </c>
    </row>
    <row r="20" spans="1:10" x14ac:dyDescent="0.25">
      <c r="A20" s="1" t="s">
        <v>16</v>
      </c>
      <c r="B20" s="1" t="s">
        <v>33</v>
      </c>
      <c r="C20" s="10"/>
      <c r="D20" s="10">
        <v>155</v>
      </c>
      <c r="E20" s="10"/>
      <c r="F20" s="10">
        <v>15</v>
      </c>
      <c r="G20" s="10">
        <f t="shared" si="0"/>
        <v>170</v>
      </c>
      <c r="H20" s="16">
        <f t="shared" si="1"/>
        <v>0.16</v>
      </c>
      <c r="I20" s="15">
        <f t="shared" si="2"/>
        <v>0</v>
      </c>
      <c r="J20" s="15">
        <f>ROUND(G20/113-1,2)</f>
        <v>0.5</v>
      </c>
    </row>
    <row r="21" spans="1:10" x14ac:dyDescent="0.25">
      <c r="A21" s="1" t="s">
        <v>16</v>
      </c>
      <c r="B21" s="1" t="s">
        <v>35</v>
      </c>
      <c r="C21" s="10"/>
      <c r="D21" s="10">
        <v>40</v>
      </c>
      <c r="E21" s="10"/>
      <c r="F21" s="10">
        <v>110</v>
      </c>
      <c r="G21" s="10">
        <f t="shared" si="0"/>
        <v>150</v>
      </c>
      <c r="H21" s="16">
        <f t="shared" si="1"/>
        <v>0.14000000000000001</v>
      </c>
      <c r="I21" s="15">
        <f t="shared" si="2"/>
        <v>0</v>
      </c>
      <c r="J21" s="15">
        <f>ROUND(G21/411-1,2)</f>
        <v>-0.64</v>
      </c>
    </row>
    <row r="22" spans="1:10" x14ac:dyDescent="0.25">
      <c r="A22" s="1" t="s">
        <v>16</v>
      </c>
      <c r="B22" s="1" t="s">
        <v>38</v>
      </c>
      <c r="C22" s="10"/>
      <c r="D22" s="10"/>
      <c r="E22" s="10">
        <v>2910</v>
      </c>
      <c r="F22" s="10">
        <v>2420</v>
      </c>
      <c r="G22" s="10">
        <f t="shared" si="0"/>
        <v>5330</v>
      </c>
      <c r="H22" s="16">
        <f t="shared" si="1"/>
        <v>4.91</v>
      </c>
      <c r="I22" s="15">
        <f t="shared" si="2"/>
        <v>1.4E-2</v>
      </c>
      <c r="J22" s="15">
        <f>ROUND(G22/4460-1,2)</f>
        <v>0.2</v>
      </c>
    </row>
    <row r="23" spans="1:10" x14ac:dyDescent="0.25">
      <c r="A23" s="1" t="s">
        <v>16</v>
      </c>
      <c r="B23" s="1" t="s">
        <v>40</v>
      </c>
      <c r="C23" s="10"/>
      <c r="D23" s="10"/>
      <c r="E23" s="10"/>
      <c r="F23" s="10">
        <v>3140</v>
      </c>
      <c r="G23" s="10">
        <f t="shared" si="0"/>
        <v>3140</v>
      </c>
      <c r="H23" s="16">
        <f t="shared" si="1"/>
        <v>2.89</v>
      </c>
      <c r="I23" s="15">
        <f t="shared" si="2"/>
        <v>8.0000000000000002E-3</v>
      </c>
      <c r="J23" s="15">
        <f>ROUND(G23/3030-1,2)</f>
        <v>0.04</v>
      </c>
    </row>
    <row r="24" spans="1:10" x14ac:dyDescent="0.25">
      <c r="A24" s="1" t="s">
        <v>16</v>
      </c>
      <c r="B24" s="1" t="s">
        <v>41</v>
      </c>
      <c r="C24" s="10"/>
      <c r="D24" s="10"/>
      <c r="E24" s="10"/>
      <c r="F24" s="10">
        <v>31720</v>
      </c>
      <c r="G24" s="10">
        <f t="shared" si="0"/>
        <v>31720</v>
      </c>
      <c r="H24" s="16">
        <f t="shared" si="1"/>
        <v>29.21</v>
      </c>
      <c r="I24" s="15">
        <f t="shared" si="2"/>
        <v>8.5000000000000006E-2</v>
      </c>
      <c r="J24" s="15">
        <f>ROUND(G24/26340-1,2)</f>
        <v>0.2</v>
      </c>
    </row>
    <row r="25" spans="1:10" x14ac:dyDescent="0.25">
      <c r="A25" s="1" t="s">
        <v>16</v>
      </c>
      <c r="B25" s="1" t="s">
        <v>95</v>
      </c>
      <c r="C25" s="10"/>
      <c r="D25" s="10"/>
      <c r="E25" s="10"/>
      <c r="F25" s="10"/>
      <c r="G25" s="10">
        <f t="shared" si="0"/>
        <v>0</v>
      </c>
      <c r="H25" s="16">
        <f t="shared" si="1"/>
        <v>0</v>
      </c>
      <c r="I25" s="15">
        <f t="shared" si="2"/>
        <v>0</v>
      </c>
      <c r="J25" s="15">
        <f>ROUND(G25/11-1,2)</f>
        <v>-1</v>
      </c>
    </row>
    <row r="26" spans="1:10" x14ac:dyDescent="0.25">
      <c r="A26" s="1" t="s">
        <v>16</v>
      </c>
      <c r="B26" s="1" t="s">
        <v>34</v>
      </c>
      <c r="C26" s="10"/>
      <c r="D26" s="10"/>
      <c r="E26" s="10"/>
      <c r="F26" s="10"/>
      <c r="G26" s="10">
        <f t="shared" si="0"/>
        <v>0</v>
      </c>
      <c r="H26" s="16">
        <f t="shared" si="1"/>
        <v>0</v>
      </c>
      <c r="I26" s="15">
        <f t="shared" si="2"/>
        <v>0</v>
      </c>
      <c r="J26" s="15"/>
    </row>
    <row r="27" spans="1:10" x14ac:dyDescent="0.25">
      <c r="A27" s="1" t="s">
        <v>44</v>
      </c>
      <c r="B27" s="1" t="s">
        <v>45</v>
      </c>
      <c r="C27" s="10">
        <v>93200</v>
      </c>
      <c r="D27" s="10"/>
      <c r="E27" s="10"/>
      <c r="F27" s="10"/>
      <c r="G27" s="10">
        <f t="shared" si="0"/>
        <v>93200</v>
      </c>
      <c r="H27" s="16">
        <f t="shared" si="1"/>
        <v>85.82</v>
      </c>
      <c r="I27" s="15">
        <f t="shared" si="2"/>
        <v>0.25</v>
      </c>
      <c r="J27" s="15">
        <f>ROUND(G27/98580-1,2)</f>
        <v>-0.05</v>
      </c>
    </row>
    <row r="28" spans="1:10" x14ac:dyDescent="0.25">
      <c r="A28" s="1" t="s">
        <v>44</v>
      </c>
      <c r="B28" s="1" t="s">
        <v>46</v>
      </c>
      <c r="C28" s="10"/>
      <c r="D28" s="10"/>
      <c r="E28" s="10"/>
      <c r="F28" s="10">
        <v>9760</v>
      </c>
      <c r="G28" s="10">
        <f t="shared" si="0"/>
        <v>9760</v>
      </c>
      <c r="H28" s="16">
        <f t="shared" si="1"/>
        <v>8.99</v>
      </c>
      <c r="I28" s="15">
        <f t="shared" si="2"/>
        <v>2.5999999999999999E-2</v>
      </c>
      <c r="J28" s="15">
        <f>ROUND(G28/11200-1,2)</f>
        <v>-0.13</v>
      </c>
    </row>
    <row r="29" spans="1:10" x14ac:dyDescent="0.25">
      <c r="A29" s="1" t="s">
        <v>44</v>
      </c>
      <c r="B29" s="1" t="s">
        <v>47</v>
      </c>
      <c r="C29" s="10"/>
      <c r="D29" s="10"/>
      <c r="E29" s="10"/>
      <c r="F29" s="10"/>
      <c r="G29" s="10">
        <f t="shared" si="0"/>
        <v>0</v>
      </c>
      <c r="H29" s="16">
        <f t="shared" si="1"/>
        <v>0</v>
      </c>
      <c r="I29" s="15">
        <f t="shared" si="2"/>
        <v>0</v>
      </c>
      <c r="J29" s="15"/>
    </row>
    <row r="30" spans="1:10" x14ac:dyDescent="0.25">
      <c r="A30" s="30" t="s">
        <v>12</v>
      </c>
      <c r="B30" s="30"/>
      <c r="C30" s="11">
        <f t="shared" ref="C30:H30" si="3">SUM(C8:C29)</f>
        <v>320690</v>
      </c>
      <c r="D30" s="11">
        <f t="shared" si="3"/>
        <v>195</v>
      </c>
      <c r="E30" s="11">
        <f t="shared" si="3"/>
        <v>2970</v>
      </c>
      <c r="F30" s="11">
        <f t="shared" si="3"/>
        <v>49178</v>
      </c>
      <c r="G30" s="11">
        <f t="shared" si="3"/>
        <v>373033</v>
      </c>
      <c r="H30" s="14">
        <f t="shared" si="3"/>
        <v>343.5</v>
      </c>
      <c r="I30" s="17"/>
      <c r="J30" s="17"/>
    </row>
    <row r="31" spans="1:10" x14ac:dyDescent="0.25">
      <c r="A31" s="30" t="s">
        <v>14</v>
      </c>
      <c r="B31" s="30"/>
      <c r="C31" s="12">
        <f>ROUND(C30/G30,2)</f>
        <v>0.86</v>
      </c>
      <c r="D31" s="12">
        <f>ROUND(D30/G30,2)</f>
        <v>0</v>
      </c>
      <c r="E31" s="12">
        <f>ROUND(E30/G30,2)</f>
        <v>0.01</v>
      </c>
      <c r="F31" s="12">
        <f>ROUND(F30/G30,2)</f>
        <v>0.13</v>
      </c>
      <c r="G31" s="13"/>
      <c r="H31" s="13"/>
      <c r="I31" s="17"/>
      <c r="J31" s="17"/>
    </row>
    <row r="32" spans="1:10" x14ac:dyDescent="0.25">
      <c r="A32" s="2" t="s">
        <v>52</v>
      </c>
      <c r="B32" s="2"/>
      <c r="C32" s="13"/>
      <c r="D32" s="13"/>
      <c r="E32" s="13"/>
      <c r="F32" s="13"/>
      <c r="G32" s="13"/>
      <c r="H32" s="13"/>
      <c r="I32" s="17"/>
      <c r="J32" s="17"/>
    </row>
    <row r="33" spans="1:10" x14ac:dyDescent="0.25">
      <c r="C33" s="8"/>
      <c r="D33" s="8"/>
      <c r="E33" s="8"/>
      <c r="F33" s="8"/>
      <c r="G33" s="8"/>
      <c r="H33" s="8"/>
      <c r="I33" s="9"/>
      <c r="J33" s="9"/>
    </row>
    <row r="34" spans="1:10" x14ac:dyDescent="0.25">
      <c r="C34" s="8"/>
      <c r="D34" s="8"/>
      <c r="E34" s="8"/>
      <c r="F34" s="8"/>
      <c r="G34" s="8"/>
      <c r="H34" s="8"/>
      <c r="I34" s="9"/>
      <c r="J34" s="9"/>
    </row>
    <row r="35" spans="1:10" x14ac:dyDescent="0.25">
      <c r="C35" s="8"/>
      <c r="D35" s="8"/>
      <c r="E35" s="8"/>
      <c r="F35" s="8"/>
      <c r="G35" s="8"/>
      <c r="H35" s="8"/>
      <c r="I35" s="9"/>
      <c r="J35" s="9"/>
    </row>
    <row r="36" spans="1:10" x14ac:dyDescent="0.25">
      <c r="A36" s="30" t="s">
        <v>53</v>
      </c>
      <c r="B36" s="30"/>
      <c r="C36" s="11" t="s">
        <v>8</v>
      </c>
      <c r="D36" s="11" t="s">
        <v>9</v>
      </c>
      <c r="E36" s="11" t="s">
        <v>10</v>
      </c>
      <c r="F36" s="11" t="s">
        <v>11</v>
      </c>
      <c r="G36" s="11" t="s">
        <v>12</v>
      </c>
      <c r="H36" s="14" t="s">
        <v>13</v>
      </c>
      <c r="I36" s="17"/>
      <c r="J36" s="17"/>
    </row>
    <row r="37" spans="1:10" x14ac:dyDescent="0.25">
      <c r="A37" s="29" t="s">
        <v>54</v>
      </c>
      <c r="B37" s="29"/>
      <c r="C37" s="10">
        <v>227490</v>
      </c>
      <c r="D37" s="10">
        <v>195</v>
      </c>
      <c r="E37" s="10">
        <v>2970</v>
      </c>
      <c r="F37" s="10">
        <v>38927</v>
      </c>
      <c r="G37" s="10">
        <f>SUM(C37:F37)</f>
        <v>269582</v>
      </c>
      <c r="H37" s="16">
        <f>ROUND(G37/1086,2)</f>
        <v>248.23</v>
      </c>
      <c r="I37" s="9"/>
      <c r="J37" s="9"/>
    </row>
    <row r="38" spans="1:10" x14ac:dyDescent="0.25">
      <c r="A38" s="29" t="s">
        <v>55</v>
      </c>
      <c r="B38" s="29"/>
      <c r="C38" s="10">
        <v>93200</v>
      </c>
      <c r="D38" s="10">
        <v>0</v>
      </c>
      <c r="E38" s="10">
        <v>0</v>
      </c>
      <c r="F38" s="10">
        <v>9760</v>
      </c>
      <c r="G38" s="10">
        <f>SUM(C38:F38)</f>
        <v>102960</v>
      </c>
      <c r="H38" s="16">
        <f>ROUND(G38/1086,2)</f>
        <v>94.81</v>
      </c>
      <c r="I38" s="9"/>
      <c r="J38" s="9"/>
    </row>
    <row r="39" spans="1:10" x14ac:dyDescent="0.25">
      <c r="A39" s="29" t="s">
        <v>56</v>
      </c>
      <c r="B39" s="29"/>
      <c r="C39" s="10">
        <v>0</v>
      </c>
      <c r="D39" s="10">
        <v>0</v>
      </c>
      <c r="E39" s="10">
        <v>0</v>
      </c>
      <c r="F39" s="10">
        <v>491</v>
      </c>
      <c r="G39" s="10">
        <f>SUM(C39:F39)</f>
        <v>491</v>
      </c>
      <c r="H39" s="16">
        <f>ROUND(G39/1086,2)</f>
        <v>0.45</v>
      </c>
      <c r="I39" s="9"/>
      <c r="J39" s="9"/>
    </row>
    <row r="40" spans="1:10" x14ac:dyDescent="0.25">
      <c r="C40" s="8"/>
      <c r="D40" s="8"/>
      <c r="E40" s="8"/>
      <c r="F40" s="8"/>
      <c r="G40" s="8"/>
      <c r="H40" s="8"/>
      <c r="I40" s="9"/>
      <c r="J40" s="9"/>
    </row>
    <row r="41" spans="1:10" x14ac:dyDescent="0.25">
      <c r="C41" s="8"/>
      <c r="D41" s="8"/>
      <c r="E41" s="8"/>
      <c r="F41" s="8"/>
      <c r="G41" s="8"/>
      <c r="H41" s="8"/>
      <c r="I41" s="9"/>
      <c r="J41" s="9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A44" s="30" t="s">
        <v>57</v>
      </c>
      <c r="B44" s="30"/>
      <c r="C44" s="14" t="s">
        <v>2</v>
      </c>
      <c r="D44" s="14">
        <v>2023</v>
      </c>
      <c r="E44" s="14" t="s">
        <v>59</v>
      </c>
      <c r="F44" s="13"/>
      <c r="G44" s="14" t="s">
        <v>60</v>
      </c>
      <c r="H44" s="14" t="s">
        <v>2</v>
      </c>
      <c r="I44" s="12" t="s">
        <v>61</v>
      </c>
      <c r="J44" s="12" t="s">
        <v>59</v>
      </c>
    </row>
    <row r="45" spans="1:10" x14ac:dyDescent="0.25">
      <c r="A45" s="29" t="s">
        <v>58</v>
      </c>
      <c r="B45" s="29"/>
      <c r="C45" s="15">
        <f>ROUND(0.7492, 4)</f>
        <v>0.74919999999999998</v>
      </c>
      <c r="D45" s="15">
        <f>ROUND(0.7399, 4)</f>
        <v>0.7399</v>
      </c>
      <c r="E45" s="15">
        <f>ROUND(0.777, 4)</f>
        <v>0.77700000000000002</v>
      </c>
      <c r="F45" s="8"/>
      <c r="G45" s="14" t="s">
        <v>62</v>
      </c>
      <c r="H45" s="33" t="s">
        <v>63</v>
      </c>
      <c r="I45" s="31" t="s">
        <v>64</v>
      </c>
      <c r="J45" s="31" t="s">
        <v>65</v>
      </c>
    </row>
    <row r="46" spans="1:10" x14ac:dyDescent="0.25">
      <c r="A46" s="29" t="s">
        <v>66</v>
      </c>
      <c r="B46" s="29"/>
      <c r="C46" s="15">
        <f>ROUND(0.7365, 4)</f>
        <v>0.73650000000000004</v>
      </c>
      <c r="D46" s="15">
        <f>ROUND(0.7282, 4)</f>
        <v>0.72819999999999996</v>
      </c>
      <c r="E46" s="15">
        <f>ROUND(0.7608, 4)</f>
        <v>0.76080000000000003</v>
      </c>
      <c r="F46" s="8"/>
      <c r="G46" s="14" t="s">
        <v>67</v>
      </c>
      <c r="H46" s="34"/>
      <c r="I46" s="32"/>
      <c r="J46" s="32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A50" s="30" t="s">
        <v>68</v>
      </c>
      <c r="B50" s="30"/>
      <c r="C50" s="14" t="s">
        <v>2</v>
      </c>
      <c r="D50" s="14" t="s">
        <v>165</v>
      </c>
      <c r="E50" s="14" t="s">
        <v>70</v>
      </c>
      <c r="F50" s="14" t="s">
        <v>71</v>
      </c>
      <c r="G50" s="14" t="s">
        <v>72</v>
      </c>
      <c r="H50" s="13"/>
      <c r="I50" s="17"/>
      <c r="J50" s="17"/>
    </row>
    <row r="51" spans="1:10" x14ac:dyDescent="0.25">
      <c r="A51" s="29" t="s">
        <v>73</v>
      </c>
      <c r="B51" s="29"/>
      <c r="C51" s="16">
        <v>85.82</v>
      </c>
      <c r="D51" s="16">
        <v>86.34</v>
      </c>
      <c r="E51" s="16">
        <v>93.87</v>
      </c>
      <c r="F51" s="16">
        <v>57.16</v>
      </c>
      <c r="G51" s="16">
        <f>12/12*C51</f>
        <v>85.82</v>
      </c>
      <c r="H51" s="8"/>
      <c r="I51" s="9"/>
      <c r="J51" s="9"/>
    </row>
    <row r="52" spans="1:10" x14ac:dyDescent="0.25">
      <c r="A52" s="29" t="s">
        <v>74</v>
      </c>
      <c r="B52" s="29"/>
      <c r="C52" s="16">
        <v>86.54</v>
      </c>
      <c r="D52" s="16">
        <v>98.35</v>
      </c>
      <c r="E52" s="16">
        <v>62.84</v>
      </c>
      <c r="F52" s="16">
        <v>65.39</v>
      </c>
      <c r="G52" s="16">
        <f>12/12*C52</f>
        <v>86.54</v>
      </c>
      <c r="H52" s="8"/>
      <c r="I52" s="9"/>
      <c r="J52" s="9"/>
    </row>
    <row r="53" spans="1:10" x14ac:dyDescent="0.25">
      <c r="A53" s="29" t="s">
        <v>75</v>
      </c>
      <c r="B53" s="29"/>
      <c r="C53" s="16">
        <v>248.23</v>
      </c>
      <c r="D53" s="16">
        <v>251.64</v>
      </c>
      <c r="E53" s="16">
        <v>295.08999999999997</v>
      </c>
      <c r="F53" s="16">
        <v>289.06</v>
      </c>
      <c r="G53" s="16">
        <f>12/12*C53</f>
        <v>248.23</v>
      </c>
      <c r="H53" s="8"/>
      <c r="I53" s="9"/>
      <c r="J53" s="9"/>
    </row>
    <row r="54" spans="1:10" x14ac:dyDescent="0.25">
      <c r="A54" s="29" t="s">
        <v>76</v>
      </c>
      <c r="B54" s="29"/>
      <c r="C54" s="16">
        <v>94.81</v>
      </c>
      <c r="D54" s="16">
        <v>97.1</v>
      </c>
      <c r="E54" s="16">
        <v>118.05</v>
      </c>
      <c r="F54" s="16">
        <v>81.41</v>
      </c>
      <c r="G54" s="16">
        <f>12/12*C54</f>
        <v>94.81</v>
      </c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A57" s="28" t="s">
        <v>60</v>
      </c>
      <c r="B57" s="35"/>
      <c r="C57" s="8"/>
      <c r="D57" s="8"/>
      <c r="E57" s="8"/>
      <c r="F57" s="8"/>
      <c r="G57" s="21"/>
      <c r="H57" s="8"/>
      <c r="I57" s="9"/>
      <c r="J57" s="9"/>
    </row>
    <row r="58" spans="1:10" x14ac:dyDescent="0.25">
      <c r="A58" s="3" t="s">
        <v>77</v>
      </c>
      <c r="B58" s="1" t="s">
        <v>166</v>
      </c>
      <c r="C58" s="8"/>
      <c r="D58" s="8"/>
      <c r="E58" s="8"/>
      <c r="F58" s="8"/>
      <c r="G58" s="21"/>
      <c r="H58" s="8"/>
      <c r="I58" s="9"/>
      <c r="J58" s="9"/>
    </row>
    <row r="59" spans="1:10" x14ac:dyDescent="0.25">
      <c r="A59" s="3" t="s">
        <v>70</v>
      </c>
      <c r="B59" s="1" t="s">
        <v>79</v>
      </c>
      <c r="C59" s="8"/>
      <c r="D59" s="8"/>
      <c r="E59" s="8"/>
      <c r="F59" s="8"/>
      <c r="G59" s="8"/>
      <c r="H59" s="8"/>
      <c r="I59" s="9"/>
      <c r="J59" s="9"/>
    </row>
    <row r="60" spans="1:10" x14ac:dyDescent="0.25">
      <c r="A60" s="3" t="s">
        <v>71</v>
      </c>
      <c r="B60" s="1" t="s">
        <v>80</v>
      </c>
      <c r="C60" s="8"/>
      <c r="D60" s="8"/>
      <c r="E60" s="8"/>
      <c r="F60" s="8"/>
      <c r="G60" s="8"/>
      <c r="H60" s="8"/>
      <c r="I60" s="9"/>
      <c r="J60" s="9"/>
    </row>
    <row r="61" spans="1:10" x14ac:dyDescent="0.25">
      <c r="A61" s="3" t="s">
        <v>72</v>
      </c>
      <c r="B61" s="1" t="s">
        <v>81</v>
      </c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3:10" x14ac:dyDescent="0.25">
      <c r="C65" s="8"/>
      <c r="D65" s="8"/>
      <c r="E65" s="8"/>
      <c r="F65" s="8"/>
      <c r="G65" s="8"/>
      <c r="H65" s="8"/>
      <c r="I65" s="9"/>
      <c r="J65" s="9"/>
    </row>
    <row r="66" spans="3:10" x14ac:dyDescent="0.25">
      <c r="C66" s="8"/>
      <c r="D66" s="8"/>
      <c r="E66" s="8"/>
      <c r="F66" s="8"/>
      <c r="G66" s="8"/>
      <c r="H66" s="8"/>
      <c r="I66" s="9"/>
      <c r="J66" s="9"/>
    </row>
    <row r="67" spans="3:10" x14ac:dyDescent="0.25">
      <c r="C67" s="8"/>
      <c r="D67" s="8"/>
      <c r="E67" s="8"/>
      <c r="F67" s="8"/>
      <c r="G67" s="8"/>
      <c r="H67" s="8"/>
      <c r="I67" s="9"/>
      <c r="J67" s="9"/>
    </row>
    <row r="68" spans="3:10" x14ac:dyDescent="0.25">
      <c r="C68" s="8"/>
      <c r="D68" s="8"/>
      <c r="E68" s="8"/>
      <c r="F68" s="8"/>
      <c r="G68" s="8"/>
      <c r="H68" s="8"/>
      <c r="I68" s="9"/>
      <c r="J68" s="9"/>
    </row>
    <row r="69" spans="3:10" x14ac:dyDescent="0.25">
      <c r="C69" s="8"/>
      <c r="D69" s="8"/>
      <c r="E69" s="8"/>
      <c r="F69" s="8"/>
      <c r="G69" s="8"/>
      <c r="H69" s="8"/>
      <c r="I69" s="9"/>
      <c r="J69" s="9"/>
    </row>
    <row r="70" spans="3:10" x14ac:dyDescent="0.25">
      <c r="C70" s="8"/>
      <c r="D70" s="8"/>
      <c r="E70" s="8"/>
      <c r="F70" s="8"/>
      <c r="G70" s="8"/>
      <c r="H70" s="8"/>
      <c r="I70" s="9"/>
      <c r="J70" s="9"/>
    </row>
    <row r="71" spans="3:10" x14ac:dyDescent="0.25">
      <c r="C71" s="8"/>
      <c r="D71" s="8"/>
      <c r="E71" s="8"/>
      <c r="F71" s="8"/>
      <c r="G71" s="8"/>
      <c r="H71" s="8"/>
      <c r="I71" s="9"/>
      <c r="J71" s="9"/>
    </row>
    <row r="72" spans="3:10" x14ac:dyDescent="0.25">
      <c r="C72" s="8"/>
      <c r="D72" s="8"/>
      <c r="E72" s="8"/>
      <c r="F72" s="8"/>
      <c r="G72" s="8"/>
      <c r="H72" s="8"/>
      <c r="I72" s="9"/>
      <c r="J72" s="9"/>
    </row>
  </sheetData>
  <mergeCells count="19">
    <mergeCell ref="A52:B52"/>
    <mergeCell ref="A53:B53"/>
    <mergeCell ref="A54:B54"/>
    <mergeCell ref="A57:B57"/>
    <mergeCell ref="I45:I46"/>
    <mergeCell ref="J45:J46"/>
    <mergeCell ref="A46:B46"/>
    <mergeCell ref="A50:B50"/>
    <mergeCell ref="A51:B51"/>
    <mergeCell ref="A38:B38"/>
    <mergeCell ref="A39:B39"/>
    <mergeCell ref="A44:B44"/>
    <mergeCell ref="A45:B45"/>
    <mergeCell ref="H45:H46"/>
    <mergeCell ref="C7:G7"/>
    <mergeCell ref="A30:B30"/>
    <mergeCell ref="A31:B31"/>
    <mergeCell ref="A36:B36"/>
    <mergeCell ref="A37:B3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J74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33.8554687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167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1689</v>
      </c>
    </row>
    <row r="7" spans="1:10" x14ac:dyDescent="0.25">
      <c r="C7" s="28" t="s">
        <v>5</v>
      </c>
      <c r="D7" s="29"/>
      <c r="E7" s="29"/>
      <c r="F7" s="29"/>
      <c r="G7" s="29"/>
    </row>
    <row r="8" spans="1:10" x14ac:dyDescent="0.25">
      <c r="A8" s="25" t="s">
        <v>6</v>
      </c>
      <c r="B8" s="25" t="s">
        <v>7</v>
      </c>
      <c r="C8" s="27" t="s">
        <v>8</v>
      </c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</row>
    <row r="9" spans="1:10" x14ac:dyDescent="0.25">
      <c r="A9" s="1" t="s">
        <v>48</v>
      </c>
      <c r="B9" s="1" t="s">
        <v>159</v>
      </c>
      <c r="C9" s="10"/>
      <c r="D9" s="10"/>
      <c r="E9" s="10">
        <v>23342</v>
      </c>
      <c r="F9" s="10"/>
      <c r="G9" s="10">
        <f t="shared" ref="G9:G40" si="0">SUM(C9:F9)</f>
        <v>23342</v>
      </c>
      <c r="H9" s="16">
        <f t="shared" ref="H9:H40" si="1">ROUND(G9/1689,2)</f>
        <v>13.82</v>
      </c>
      <c r="I9" s="15">
        <f t="shared" ref="I9:I40" si="2">ROUND(G9/$G$41,3)</f>
        <v>3.5000000000000003E-2</v>
      </c>
      <c r="J9" s="15">
        <f>ROUND(G9/33660-1,2)</f>
        <v>-0.31</v>
      </c>
    </row>
    <row r="10" spans="1:10" x14ac:dyDescent="0.25">
      <c r="A10" s="1" t="s">
        <v>48</v>
      </c>
      <c r="B10" s="1" t="s">
        <v>168</v>
      </c>
      <c r="C10" s="10"/>
      <c r="D10" s="10"/>
      <c r="E10" s="10"/>
      <c r="F10" s="10"/>
      <c r="G10" s="10">
        <f t="shared" si="0"/>
        <v>0</v>
      </c>
      <c r="H10" s="16">
        <f t="shared" si="1"/>
        <v>0</v>
      </c>
      <c r="I10" s="15">
        <f t="shared" si="2"/>
        <v>0</v>
      </c>
      <c r="J10" s="15"/>
    </row>
    <row r="11" spans="1:10" x14ac:dyDescent="0.25">
      <c r="A11" s="1" t="s">
        <v>48</v>
      </c>
      <c r="B11" s="1" t="s">
        <v>51</v>
      </c>
      <c r="C11" s="10"/>
      <c r="D11" s="10"/>
      <c r="E11" s="10"/>
      <c r="F11" s="10"/>
      <c r="G11" s="10">
        <f t="shared" si="0"/>
        <v>0</v>
      </c>
      <c r="H11" s="16">
        <f t="shared" si="1"/>
        <v>0</v>
      </c>
      <c r="I11" s="15">
        <f t="shared" si="2"/>
        <v>0</v>
      </c>
      <c r="J11" s="15"/>
    </row>
    <row r="12" spans="1:10" x14ac:dyDescent="0.25">
      <c r="A12" s="1" t="s">
        <v>16</v>
      </c>
      <c r="B12" s="1" t="s">
        <v>19</v>
      </c>
      <c r="C12" s="10">
        <v>57540</v>
      </c>
      <c r="D12" s="10"/>
      <c r="E12" s="10"/>
      <c r="F12" s="10"/>
      <c r="G12" s="10">
        <f t="shared" si="0"/>
        <v>57540</v>
      </c>
      <c r="H12" s="16">
        <f t="shared" si="1"/>
        <v>34.07</v>
      </c>
      <c r="I12" s="15">
        <f t="shared" si="2"/>
        <v>8.5999999999999993E-2</v>
      </c>
      <c r="J12" s="15">
        <f>ROUND(G12/54540-1,2)</f>
        <v>0.06</v>
      </c>
    </row>
    <row r="13" spans="1:10" x14ac:dyDescent="0.25">
      <c r="A13" s="1" t="s">
        <v>16</v>
      </c>
      <c r="B13" s="1" t="s">
        <v>20</v>
      </c>
      <c r="C13" s="10">
        <v>74330</v>
      </c>
      <c r="D13" s="10"/>
      <c r="E13" s="10"/>
      <c r="F13" s="10"/>
      <c r="G13" s="10">
        <f t="shared" si="0"/>
        <v>74330</v>
      </c>
      <c r="H13" s="16">
        <f t="shared" si="1"/>
        <v>44.01</v>
      </c>
      <c r="I13" s="15">
        <f t="shared" si="2"/>
        <v>0.111</v>
      </c>
      <c r="J13" s="15">
        <f>ROUND(G13/73960-1,2)</f>
        <v>0.01</v>
      </c>
    </row>
    <row r="14" spans="1:10" x14ac:dyDescent="0.25">
      <c r="A14" s="1" t="s">
        <v>16</v>
      </c>
      <c r="B14" s="1" t="s">
        <v>95</v>
      </c>
      <c r="C14" s="10"/>
      <c r="D14" s="10"/>
      <c r="E14" s="10">
        <v>56</v>
      </c>
      <c r="F14" s="10"/>
      <c r="G14" s="10">
        <f t="shared" si="0"/>
        <v>56</v>
      </c>
      <c r="H14" s="16">
        <f t="shared" si="1"/>
        <v>0.03</v>
      </c>
      <c r="I14" s="15">
        <f t="shared" si="2"/>
        <v>0</v>
      </c>
      <c r="J14" s="15">
        <f>ROUND(G14/52-1,2)</f>
        <v>0.08</v>
      </c>
    </row>
    <row r="15" spans="1:10" x14ac:dyDescent="0.25">
      <c r="A15" s="1" t="s">
        <v>16</v>
      </c>
      <c r="B15" s="1" t="s">
        <v>21</v>
      </c>
      <c r="C15" s="10"/>
      <c r="D15" s="10"/>
      <c r="E15" s="10">
        <v>224</v>
      </c>
      <c r="F15" s="10"/>
      <c r="G15" s="10">
        <f t="shared" si="0"/>
        <v>224</v>
      </c>
      <c r="H15" s="16">
        <f t="shared" si="1"/>
        <v>0.13</v>
      </c>
      <c r="I15" s="15">
        <f t="shared" si="2"/>
        <v>0</v>
      </c>
      <c r="J15" s="15">
        <f>ROUND(G15/345-1,2)</f>
        <v>-0.35</v>
      </c>
    </row>
    <row r="16" spans="1:10" x14ac:dyDescent="0.25">
      <c r="A16" s="1" t="s">
        <v>16</v>
      </c>
      <c r="B16" s="1" t="s">
        <v>22</v>
      </c>
      <c r="C16" s="10"/>
      <c r="D16" s="10"/>
      <c r="E16" s="10">
        <v>2400</v>
      </c>
      <c r="F16" s="10"/>
      <c r="G16" s="10">
        <f t="shared" si="0"/>
        <v>2400</v>
      </c>
      <c r="H16" s="16">
        <f t="shared" si="1"/>
        <v>1.42</v>
      </c>
      <c r="I16" s="15">
        <f t="shared" si="2"/>
        <v>4.0000000000000001E-3</v>
      </c>
      <c r="J16" s="15">
        <f>ROUND(G16/1920-1,2)</f>
        <v>0.25</v>
      </c>
    </row>
    <row r="17" spans="1:10" x14ac:dyDescent="0.25">
      <c r="A17" s="1" t="s">
        <v>16</v>
      </c>
      <c r="B17" s="1" t="s">
        <v>24</v>
      </c>
      <c r="C17" s="10">
        <v>67740</v>
      </c>
      <c r="D17" s="10"/>
      <c r="E17" s="10"/>
      <c r="F17" s="10"/>
      <c r="G17" s="10">
        <f t="shared" si="0"/>
        <v>67740</v>
      </c>
      <c r="H17" s="16">
        <f t="shared" si="1"/>
        <v>40.11</v>
      </c>
      <c r="I17" s="15">
        <f t="shared" si="2"/>
        <v>0.10100000000000001</v>
      </c>
      <c r="J17" s="15">
        <f>ROUND(G17/72840-1,2)</f>
        <v>-7.0000000000000007E-2</v>
      </c>
    </row>
    <row r="18" spans="1:10" x14ac:dyDescent="0.25">
      <c r="A18" s="1" t="s">
        <v>16</v>
      </c>
      <c r="B18" s="1" t="s">
        <v>25</v>
      </c>
      <c r="C18" s="10"/>
      <c r="D18" s="10"/>
      <c r="E18" s="10">
        <v>2035</v>
      </c>
      <c r="F18" s="10"/>
      <c r="G18" s="10">
        <f t="shared" si="0"/>
        <v>2035</v>
      </c>
      <c r="H18" s="16">
        <f t="shared" si="1"/>
        <v>1.2</v>
      </c>
      <c r="I18" s="15">
        <f t="shared" si="2"/>
        <v>3.0000000000000001E-3</v>
      </c>
      <c r="J18" s="15">
        <f>ROUND(G18/2410-1,2)</f>
        <v>-0.16</v>
      </c>
    </row>
    <row r="19" spans="1:10" x14ac:dyDescent="0.25">
      <c r="A19" s="1" t="s">
        <v>16</v>
      </c>
      <c r="B19" s="1" t="s">
        <v>26</v>
      </c>
      <c r="C19" s="10">
        <v>128670</v>
      </c>
      <c r="D19" s="10"/>
      <c r="E19" s="10"/>
      <c r="F19" s="10">
        <v>730</v>
      </c>
      <c r="G19" s="10">
        <f t="shared" si="0"/>
        <v>129400</v>
      </c>
      <c r="H19" s="16">
        <f t="shared" si="1"/>
        <v>76.61</v>
      </c>
      <c r="I19" s="15">
        <f t="shared" si="2"/>
        <v>0.193</v>
      </c>
      <c r="J19" s="15">
        <f>ROUND(G19/121060-1,2)</f>
        <v>7.0000000000000007E-2</v>
      </c>
    </row>
    <row r="20" spans="1:10" x14ac:dyDescent="0.25">
      <c r="A20" s="1" t="s">
        <v>16</v>
      </c>
      <c r="B20" s="1" t="s">
        <v>27</v>
      </c>
      <c r="C20" s="10"/>
      <c r="D20" s="10"/>
      <c r="E20" s="10">
        <v>1448</v>
      </c>
      <c r="F20" s="10"/>
      <c r="G20" s="10">
        <f t="shared" si="0"/>
        <v>1448</v>
      </c>
      <c r="H20" s="16">
        <f t="shared" si="1"/>
        <v>0.86</v>
      </c>
      <c r="I20" s="15">
        <f t="shared" si="2"/>
        <v>2E-3</v>
      </c>
      <c r="J20" s="15">
        <f>ROUND(G20/1325-1,2)</f>
        <v>0.09</v>
      </c>
    </row>
    <row r="21" spans="1:10" x14ac:dyDescent="0.25">
      <c r="A21" s="1" t="s">
        <v>16</v>
      </c>
      <c r="B21" s="1" t="s">
        <v>28</v>
      </c>
      <c r="C21" s="10"/>
      <c r="D21" s="10"/>
      <c r="E21" s="10">
        <v>49</v>
      </c>
      <c r="F21" s="10"/>
      <c r="G21" s="10">
        <f t="shared" si="0"/>
        <v>49</v>
      </c>
      <c r="H21" s="16">
        <f t="shared" si="1"/>
        <v>0.03</v>
      </c>
      <c r="I21" s="15">
        <f t="shared" si="2"/>
        <v>0</v>
      </c>
      <c r="J21" s="15"/>
    </row>
    <row r="22" spans="1:10" x14ac:dyDescent="0.25">
      <c r="A22" s="1" t="s">
        <v>16</v>
      </c>
      <c r="B22" s="1" t="s">
        <v>29</v>
      </c>
      <c r="C22" s="10"/>
      <c r="D22" s="10"/>
      <c r="E22" s="10">
        <v>2200</v>
      </c>
      <c r="F22" s="10"/>
      <c r="G22" s="10">
        <f t="shared" si="0"/>
        <v>2200</v>
      </c>
      <c r="H22" s="16">
        <f t="shared" si="1"/>
        <v>1.3</v>
      </c>
      <c r="I22" s="15">
        <f t="shared" si="2"/>
        <v>3.0000000000000001E-3</v>
      </c>
      <c r="J22" s="15">
        <f>ROUND(G22/3949-1,2)</f>
        <v>-0.44</v>
      </c>
    </row>
    <row r="23" spans="1:10" x14ac:dyDescent="0.25">
      <c r="A23" s="1" t="s">
        <v>16</v>
      </c>
      <c r="B23" s="1" t="s">
        <v>30</v>
      </c>
      <c r="C23" s="10"/>
      <c r="D23" s="10"/>
      <c r="E23" s="10">
        <v>620</v>
      </c>
      <c r="F23" s="10"/>
      <c r="G23" s="10">
        <f t="shared" si="0"/>
        <v>620</v>
      </c>
      <c r="H23" s="16">
        <f t="shared" si="1"/>
        <v>0.37</v>
      </c>
      <c r="I23" s="15">
        <f t="shared" si="2"/>
        <v>1E-3</v>
      </c>
      <c r="J23" s="15">
        <f>ROUND(G23/700-1,2)</f>
        <v>-0.11</v>
      </c>
    </row>
    <row r="24" spans="1:10" x14ac:dyDescent="0.25">
      <c r="A24" s="1" t="s">
        <v>16</v>
      </c>
      <c r="B24" s="1" t="s">
        <v>31</v>
      </c>
      <c r="C24" s="10"/>
      <c r="D24" s="10"/>
      <c r="E24" s="10">
        <v>270</v>
      </c>
      <c r="F24" s="10"/>
      <c r="G24" s="10">
        <f t="shared" si="0"/>
        <v>270</v>
      </c>
      <c r="H24" s="16">
        <f t="shared" si="1"/>
        <v>0.16</v>
      </c>
      <c r="I24" s="15">
        <f t="shared" si="2"/>
        <v>0</v>
      </c>
      <c r="J24" s="15"/>
    </row>
    <row r="25" spans="1:10" x14ac:dyDescent="0.25">
      <c r="A25" s="1" t="s">
        <v>16</v>
      </c>
      <c r="B25" s="1" t="s">
        <v>32</v>
      </c>
      <c r="C25" s="10"/>
      <c r="D25" s="10"/>
      <c r="E25" s="10">
        <v>2330</v>
      </c>
      <c r="F25" s="10"/>
      <c r="G25" s="10">
        <f t="shared" si="0"/>
        <v>2330</v>
      </c>
      <c r="H25" s="16">
        <f t="shared" si="1"/>
        <v>1.38</v>
      </c>
      <c r="I25" s="15">
        <f t="shared" si="2"/>
        <v>3.0000000000000001E-3</v>
      </c>
      <c r="J25" s="15">
        <f>ROUND(G25/1160-1,2)</f>
        <v>1.01</v>
      </c>
    </row>
    <row r="26" spans="1:10" x14ac:dyDescent="0.25">
      <c r="A26" s="1" t="s">
        <v>16</v>
      </c>
      <c r="B26" s="1" t="s">
        <v>33</v>
      </c>
      <c r="C26" s="10"/>
      <c r="D26" s="10">
        <v>137</v>
      </c>
      <c r="E26" s="10">
        <v>34</v>
      </c>
      <c r="F26" s="10"/>
      <c r="G26" s="10">
        <f t="shared" si="0"/>
        <v>171</v>
      </c>
      <c r="H26" s="16">
        <f t="shared" si="1"/>
        <v>0.1</v>
      </c>
      <c r="I26" s="15">
        <f t="shared" si="2"/>
        <v>0</v>
      </c>
      <c r="J26" s="15">
        <f>ROUND(G26/198-1,2)</f>
        <v>-0.14000000000000001</v>
      </c>
    </row>
    <row r="27" spans="1:10" x14ac:dyDescent="0.25">
      <c r="A27" s="1" t="s">
        <v>16</v>
      </c>
      <c r="B27" s="1" t="s">
        <v>34</v>
      </c>
      <c r="C27" s="10"/>
      <c r="D27" s="10"/>
      <c r="E27" s="10">
        <v>970</v>
      </c>
      <c r="F27" s="10"/>
      <c r="G27" s="10">
        <f t="shared" si="0"/>
        <v>970</v>
      </c>
      <c r="H27" s="16">
        <f t="shared" si="1"/>
        <v>0.56999999999999995</v>
      </c>
      <c r="I27" s="15">
        <f t="shared" si="2"/>
        <v>1E-3</v>
      </c>
      <c r="J27" s="15">
        <f>ROUND(G27/935-1,2)</f>
        <v>0.04</v>
      </c>
    </row>
    <row r="28" spans="1:10" x14ac:dyDescent="0.25">
      <c r="A28" s="1" t="s">
        <v>16</v>
      </c>
      <c r="B28" s="1" t="s">
        <v>35</v>
      </c>
      <c r="C28" s="10"/>
      <c r="D28" s="10">
        <v>40</v>
      </c>
      <c r="E28" s="10"/>
      <c r="F28" s="10"/>
      <c r="G28" s="10">
        <f t="shared" si="0"/>
        <v>40</v>
      </c>
      <c r="H28" s="16">
        <f t="shared" si="1"/>
        <v>0.02</v>
      </c>
      <c r="I28" s="15">
        <f t="shared" si="2"/>
        <v>0</v>
      </c>
      <c r="J28" s="15">
        <f>ROUND(G28/330-1,2)</f>
        <v>-0.88</v>
      </c>
    </row>
    <row r="29" spans="1:10" x14ac:dyDescent="0.25">
      <c r="A29" s="1" t="s">
        <v>16</v>
      </c>
      <c r="B29" s="1" t="s">
        <v>37</v>
      </c>
      <c r="C29" s="10"/>
      <c r="D29" s="10"/>
      <c r="E29" s="10">
        <v>3530</v>
      </c>
      <c r="F29" s="10"/>
      <c r="G29" s="10">
        <f t="shared" si="0"/>
        <v>3530</v>
      </c>
      <c r="H29" s="16">
        <f t="shared" si="1"/>
        <v>2.09</v>
      </c>
      <c r="I29" s="15">
        <f t="shared" si="2"/>
        <v>5.0000000000000001E-3</v>
      </c>
      <c r="J29" s="15">
        <f>ROUND(G29/4110-1,2)</f>
        <v>-0.14000000000000001</v>
      </c>
    </row>
    <row r="30" spans="1:10" x14ac:dyDescent="0.25">
      <c r="A30" s="1" t="s">
        <v>16</v>
      </c>
      <c r="B30" s="1" t="s">
        <v>43</v>
      </c>
      <c r="C30" s="10"/>
      <c r="D30" s="10"/>
      <c r="E30" s="10">
        <v>2560</v>
      </c>
      <c r="F30" s="10"/>
      <c r="G30" s="10">
        <f t="shared" si="0"/>
        <v>2560</v>
      </c>
      <c r="H30" s="16">
        <f t="shared" si="1"/>
        <v>1.52</v>
      </c>
      <c r="I30" s="15">
        <f t="shared" si="2"/>
        <v>4.0000000000000001E-3</v>
      </c>
      <c r="J30" s="15">
        <f>ROUND(G30/4954-1,2)</f>
        <v>-0.48</v>
      </c>
    </row>
    <row r="31" spans="1:10" x14ac:dyDescent="0.25">
      <c r="A31" s="1" t="s">
        <v>16</v>
      </c>
      <c r="B31" s="1" t="s">
        <v>38</v>
      </c>
      <c r="C31" s="10"/>
      <c r="D31" s="10"/>
      <c r="E31" s="10">
        <v>66360</v>
      </c>
      <c r="F31" s="10"/>
      <c r="G31" s="10">
        <f t="shared" si="0"/>
        <v>66360</v>
      </c>
      <c r="H31" s="16">
        <f t="shared" si="1"/>
        <v>39.29</v>
      </c>
      <c r="I31" s="15">
        <f t="shared" si="2"/>
        <v>9.9000000000000005E-2</v>
      </c>
      <c r="J31" s="15">
        <f>ROUND(G31/46050-1,2)</f>
        <v>0.44</v>
      </c>
    </row>
    <row r="32" spans="1:10" x14ac:dyDescent="0.25">
      <c r="A32" s="1" t="s">
        <v>16</v>
      </c>
      <c r="B32" s="1" t="s">
        <v>40</v>
      </c>
      <c r="C32" s="10"/>
      <c r="D32" s="10"/>
      <c r="E32" s="10">
        <v>20710</v>
      </c>
      <c r="F32" s="10"/>
      <c r="G32" s="10">
        <f t="shared" si="0"/>
        <v>20710</v>
      </c>
      <c r="H32" s="16">
        <f t="shared" si="1"/>
        <v>12.26</v>
      </c>
      <c r="I32" s="15">
        <f t="shared" si="2"/>
        <v>3.1E-2</v>
      </c>
      <c r="J32" s="15">
        <f>ROUND(G32/16700-1,2)</f>
        <v>0.24</v>
      </c>
    </row>
    <row r="33" spans="1:10" x14ac:dyDescent="0.25">
      <c r="A33" s="1" t="s">
        <v>16</v>
      </c>
      <c r="B33" s="1" t="s">
        <v>41</v>
      </c>
      <c r="C33" s="10"/>
      <c r="D33" s="10"/>
      <c r="E33" s="10">
        <v>33680</v>
      </c>
      <c r="F33" s="10"/>
      <c r="G33" s="10">
        <f t="shared" si="0"/>
        <v>33680</v>
      </c>
      <c r="H33" s="16">
        <f t="shared" si="1"/>
        <v>19.940000000000001</v>
      </c>
      <c r="I33" s="15">
        <f t="shared" si="2"/>
        <v>0.05</v>
      </c>
      <c r="J33" s="15">
        <f>ROUND(G33/21040-1,2)</f>
        <v>0.6</v>
      </c>
    </row>
    <row r="34" spans="1:10" x14ac:dyDescent="0.25">
      <c r="A34" s="1" t="s">
        <v>16</v>
      </c>
      <c r="B34" s="1" t="s">
        <v>90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/>
    </row>
    <row r="35" spans="1:10" x14ac:dyDescent="0.25">
      <c r="A35" s="1" t="s">
        <v>16</v>
      </c>
      <c r="B35" s="1" t="s">
        <v>133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16</v>
      </c>
      <c r="B36" s="1" t="s">
        <v>36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>
        <f>ROUND(G36/2420-1,2)</f>
        <v>-1</v>
      </c>
    </row>
    <row r="37" spans="1:10" x14ac:dyDescent="0.25">
      <c r="A37" s="1" t="s">
        <v>16</v>
      </c>
      <c r="B37" s="1" t="s">
        <v>42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1" t="s">
        <v>44</v>
      </c>
      <c r="B38" s="1" t="s">
        <v>45</v>
      </c>
      <c r="C38" s="10">
        <v>135940</v>
      </c>
      <c r="D38" s="10"/>
      <c r="E38" s="10"/>
      <c r="F38" s="10"/>
      <c r="G38" s="10">
        <f t="shared" si="0"/>
        <v>135940</v>
      </c>
      <c r="H38" s="16">
        <f t="shared" si="1"/>
        <v>80.489999999999995</v>
      </c>
      <c r="I38" s="15">
        <f t="shared" si="2"/>
        <v>0.20300000000000001</v>
      </c>
      <c r="J38" s="15">
        <f>ROUND(G38/133690-1,2)</f>
        <v>0.02</v>
      </c>
    </row>
    <row r="39" spans="1:10" x14ac:dyDescent="0.25">
      <c r="A39" s="1" t="s">
        <v>44</v>
      </c>
      <c r="B39" s="1" t="s">
        <v>46</v>
      </c>
      <c r="C39" s="10"/>
      <c r="D39" s="10"/>
      <c r="E39" s="10">
        <v>43070</v>
      </c>
      <c r="F39" s="10"/>
      <c r="G39" s="10">
        <f t="shared" si="0"/>
        <v>43070</v>
      </c>
      <c r="H39" s="16">
        <f t="shared" si="1"/>
        <v>25.5</v>
      </c>
      <c r="I39" s="15">
        <f t="shared" si="2"/>
        <v>6.4000000000000001E-2</v>
      </c>
      <c r="J39" s="15">
        <f>ROUND(G39/38140-1,2)</f>
        <v>0.13</v>
      </c>
    </row>
    <row r="40" spans="1:10" x14ac:dyDescent="0.25">
      <c r="A40" s="1" t="s">
        <v>44</v>
      </c>
      <c r="B40" s="1" t="s">
        <v>47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/>
    </row>
    <row r="41" spans="1:10" x14ac:dyDescent="0.25">
      <c r="A41" s="30" t="s">
        <v>12</v>
      </c>
      <c r="B41" s="30"/>
      <c r="C41" s="11">
        <f t="shared" ref="C41:H41" si="3">SUM(C8:C40)</f>
        <v>464220</v>
      </c>
      <c r="D41" s="11">
        <f t="shared" si="3"/>
        <v>177</v>
      </c>
      <c r="E41" s="11">
        <f t="shared" si="3"/>
        <v>205888</v>
      </c>
      <c r="F41" s="11">
        <f t="shared" si="3"/>
        <v>730</v>
      </c>
      <c r="G41" s="11">
        <f t="shared" si="3"/>
        <v>671015</v>
      </c>
      <c r="H41" s="14">
        <f t="shared" si="3"/>
        <v>397.28000000000003</v>
      </c>
      <c r="I41" s="17"/>
      <c r="J41" s="17"/>
    </row>
    <row r="42" spans="1:10" x14ac:dyDescent="0.25">
      <c r="A42" s="30" t="s">
        <v>14</v>
      </c>
      <c r="B42" s="30"/>
      <c r="C42" s="12">
        <f>ROUND(C41/G41,2)</f>
        <v>0.69</v>
      </c>
      <c r="D42" s="12">
        <f>ROUND(D41/G41,2)</f>
        <v>0</v>
      </c>
      <c r="E42" s="12">
        <f>ROUND(E41/G41,2)</f>
        <v>0.31</v>
      </c>
      <c r="F42" s="12">
        <f>ROUND(F41/G41,2)</f>
        <v>0</v>
      </c>
      <c r="G42" s="13"/>
      <c r="H42" s="13"/>
      <c r="I42" s="17"/>
      <c r="J42" s="17"/>
    </row>
    <row r="43" spans="1:10" x14ac:dyDescent="0.25">
      <c r="A43" s="2" t="s">
        <v>52</v>
      </c>
      <c r="B43" s="2"/>
      <c r="C43" s="13"/>
      <c r="D43" s="13"/>
      <c r="E43" s="13"/>
      <c r="F43" s="13"/>
      <c r="G43" s="13"/>
      <c r="H43" s="13"/>
      <c r="I43" s="17"/>
      <c r="J43" s="17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A47" s="30" t="s">
        <v>53</v>
      </c>
      <c r="B47" s="30"/>
      <c r="C47" s="11" t="s">
        <v>8</v>
      </c>
      <c r="D47" s="11" t="s">
        <v>9</v>
      </c>
      <c r="E47" s="11" t="s">
        <v>10</v>
      </c>
      <c r="F47" s="11" t="s">
        <v>11</v>
      </c>
      <c r="G47" s="11" t="s">
        <v>12</v>
      </c>
      <c r="H47" s="14" t="s">
        <v>13</v>
      </c>
      <c r="I47" s="17"/>
      <c r="J47" s="17"/>
    </row>
    <row r="48" spans="1:10" x14ac:dyDescent="0.25">
      <c r="A48" s="29" t="s">
        <v>54</v>
      </c>
      <c r="B48" s="29"/>
      <c r="C48" s="10">
        <v>328280</v>
      </c>
      <c r="D48" s="10">
        <v>177</v>
      </c>
      <c r="E48" s="10">
        <v>139476</v>
      </c>
      <c r="F48" s="10">
        <v>730</v>
      </c>
      <c r="G48" s="10">
        <f>SUM(C48:F48)</f>
        <v>468663</v>
      </c>
      <c r="H48" s="16">
        <f>ROUND(G48/1689,2)</f>
        <v>277.48</v>
      </c>
      <c r="I48" s="9"/>
      <c r="J48" s="9"/>
    </row>
    <row r="49" spans="1:10" x14ac:dyDescent="0.25">
      <c r="A49" s="29" t="s">
        <v>55</v>
      </c>
      <c r="B49" s="29"/>
      <c r="C49" s="10">
        <v>135940</v>
      </c>
      <c r="D49" s="10">
        <v>0</v>
      </c>
      <c r="E49" s="10">
        <v>43070</v>
      </c>
      <c r="F49" s="10">
        <v>0</v>
      </c>
      <c r="G49" s="10">
        <f>SUM(C49:F49)</f>
        <v>179010</v>
      </c>
      <c r="H49" s="16">
        <f>ROUND(G49/1689,2)</f>
        <v>105.99</v>
      </c>
      <c r="I49" s="9"/>
      <c r="J49" s="9"/>
    </row>
    <row r="50" spans="1:10" x14ac:dyDescent="0.25">
      <c r="A50" s="29" t="s">
        <v>56</v>
      </c>
      <c r="B50" s="29"/>
      <c r="C50" s="10">
        <v>0</v>
      </c>
      <c r="D50" s="10">
        <v>0</v>
      </c>
      <c r="E50" s="10">
        <v>23342</v>
      </c>
      <c r="F50" s="10">
        <v>0</v>
      </c>
      <c r="G50" s="10">
        <f>SUM(C50:F50)</f>
        <v>23342</v>
      </c>
      <c r="H50" s="16">
        <f>ROUND(G50/1689,2)</f>
        <v>13.82</v>
      </c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A55" s="30" t="s">
        <v>57</v>
      </c>
      <c r="B55" s="30"/>
      <c r="C55" s="14" t="s">
        <v>2</v>
      </c>
      <c r="D55" s="14">
        <v>2023</v>
      </c>
      <c r="E55" s="14" t="s">
        <v>59</v>
      </c>
      <c r="F55" s="13"/>
      <c r="G55" s="14" t="s">
        <v>60</v>
      </c>
      <c r="H55" s="14" t="s">
        <v>2</v>
      </c>
      <c r="I55" s="12" t="s">
        <v>61</v>
      </c>
      <c r="J55" s="12" t="s">
        <v>59</v>
      </c>
    </row>
    <row r="56" spans="1:10" x14ac:dyDescent="0.25">
      <c r="A56" s="29" t="s">
        <v>58</v>
      </c>
      <c r="B56" s="29"/>
      <c r="C56" s="15">
        <f>ROUND(0.7881, 4)</f>
        <v>0.78810000000000002</v>
      </c>
      <c r="D56" s="15">
        <f>ROUND(0.771, 4)</f>
        <v>0.77100000000000002</v>
      </c>
      <c r="E56" s="15">
        <f>ROUND(0.777, 4)</f>
        <v>0.77700000000000002</v>
      </c>
      <c r="F56" s="8"/>
      <c r="G56" s="14" t="s">
        <v>62</v>
      </c>
      <c r="H56" s="33" t="s">
        <v>63</v>
      </c>
      <c r="I56" s="31" t="s">
        <v>64</v>
      </c>
      <c r="J56" s="31" t="s">
        <v>65</v>
      </c>
    </row>
    <row r="57" spans="1:10" x14ac:dyDescent="0.25">
      <c r="A57" s="29" t="s">
        <v>66</v>
      </c>
      <c r="B57" s="29"/>
      <c r="C57" s="15">
        <f>ROUND(0.7766, 4)</f>
        <v>0.77659999999999996</v>
      </c>
      <c r="D57" s="15">
        <f>ROUND(0.7593, 4)</f>
        <v>0.75929999999999997</v>
      </c>
      <c r="E57" s="15">
        <f>ROUND(0.7608, 4)</f>
        <v>0.76080000000000003</v>
      </c>
      <c r="F57" s="8"/>
      <c r="G57" s="20" t="s">
        <v>67</v>
      </c>
      <c r="H57" s="34"/>
      <c r="I57" s="32"/>
      <c r="J57" s="32"/>
    </row>
    <row r="58" spans="1:10" x14ac:dyDescent="0.25">
      <c r="C58" s="8"/>
      <c r="D58" s="8"/>
      <c r="E58" s="8"/>
      <c r="F58" s="8"/>
      <c r="G58" s="21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A61" s="30" t="s">
        <v>68</v>
      </c>
      <c r="B61" s="30"/>
      <c r="C61" s="14" t="s">
        <v>2</v>
      </c>
      <c r="D61" s="14" t="s">
        <v>169</v>
      </c>
      <c r="E61" s="14" t="s">
        <v>70</v>
      </c>
      <c r="F61" s="14" t="s">
        <v>71</v>
      </c>
      <c r="G61" s="14" t="s">
        <v>72</v>
      </c>
      <c r="H61" s="13"/>
      <c r="I61" s="17"/>
      <c r="J61" s="17"/>
    </row>
    <row r="62" spans="1:10" x14ac:dyDescent="0.25">
      <c r="A62" s="29" t="s">
        <v>73</v>
      </c>
      <c r="B62" s="29"/>
      <c r="C62" s="16">
        <v>80.489999999999995</v>
      </c>
      <c r="D62" s="16">
        <v>73.87</v>
      </c>
      <c r="E62" s="16">
        <v>93.87</v>
      </c>
      <c r="F62" s="16">
        <v>57.16</v>
      </c>
      <c r="G62" s="16">
        <f>12/12*C62</f>
        <v>80.489999999999995</v>
      </c>
      <c r="H62" s="8"/>
      <c r="I62" s="9"/>
      <c r="J62" s="9"/>
    </row>
    <row r="63" spans="1:10" x14ac:dyDescent="0.25">
      <c r="A63" s="29" t="s">
        <v>74</v>
      </c>
      <c r="B63" s="29"/>
      <c r="C63" s="16">
        <v>76.61</v>
      </c>
      <c r="D63" s="16">
        <v>75.22</v>
      </c>
      <c r="E63" s="16">
        <v>62.84</v>
      </c>
      <c r="F63" s="16">
        <v>65.39</v>
      </c>
      <c r="G63" s="16">
        <f>12/12*C63</f>
        <v>76.61</v>
      </c>
      <c r="H63" s="8"/>
      <c r="I63" s="9"/>
      <c r="J63" s="9"/>
    </row>
    <row r="64" spans="1:10" x14ac:dyDescent="0.25">
      <c r="A64" s="29" t="s">
        <v>75</v>
      </c>
      <c r="B64" s="29"/>
      <c r="C64" s="16">
        <v>277.48</v>
      </c>
      <c r="D64" s="16">
        <v>273.07</v>
      </c>
      <c r="E64" s="16">
        <v>295.08999999999997</v>
      </c>
      <c r="F64" s="16">
        <v>289.06</v>
      </c>
      <c r="G64" s="16">
        <f>12/12*C64</f>
        <v>277.48</v>
      </c>
      <c r="H64" s="8"/>
      <c r="I64" s="9"/>
      <c r="J64" s="9"/>
    </row>
    <row r="65" spans="1:10" x14ac:dyDescent="0.25">
      <c r="A65" s="29" t="s">
        <v>76</v>
      </c>
      <c r="B65" s="29"/>
      <c r="C65" s="16">
        <v>105.99</v>
      </c>
      <c r="D65" s="16">
        <v>97.89</v>
      </c>
      <c r="E65" s="16">
        <v>118.05</v>
      </c>
      <c r="F65" s="16">
        <v>81.41</v>
      </c>
      <c r="G65" s="16">
        <f>12/12*C65</f>
        <v>105.99</v>
      </c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28" t="s">
        <v>60</v>
      </c>
      <c r="B68" s="35"/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77</v>
      </c>
      <c r="B69" s="1" t="s">
        <v>170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70</v>
      </c>
      <c r="B70" s="1" t="s">
        <v>79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3" t="s">
        <v>71</v>
      </c>
      <c r="B71" s="1" t="s">
        <v>80</v>
      </c>
      <c r="C71" s="8"/>
      <c r="D71" s="8"/>
      <c r="E71" s="8"/>
      <c r="F71" s="8"/>
      <c r="G71" s="8"/>
      <c r="H71" s="8"/>
      <c r="I71" s="9"/>
      <c r="J71" s="9"/>
    </row>
    <row r="72" spans="1:10" x14ac:dyDescent="0.25">
      <c r="A72" s="3" t="s">
        <v>72</v>
      </c>
      <c r="B72" s="1" t="s">
        <v>81</v>
      </c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</sheetData>
  <mergeCells count="19">
    <mergeCell ref="A63:B63"/>
    <mergeCell ref="A64:B64"/>
    <mergeCell ref="A65:B65"/>
    <mergeCell ref="A68:B68"/>
    <mergeCell ref="I56:I57"/>
    <mergeCell ref="J56:J57"/>
    <mergeCell ref="A57:B57"/>
    <mergeCell ref="A61:B61"/>
    <mergeCell ref="A62:B62"/>
    <mergeCell ref="A49:B49"/>
    <mergeCell ref="A50:B50"/>
    <mergeCell ref="A55:B55"/>
    <mergeCell ref="A56:B56"/>
    <mergeCell ref="H56:H57"/>
    <mergeCell ref="C7:G7"/>
    <mergeCell ref="A41:B41"/>
    <mergeCell ref="A42:B42"/>
    <mergeCell ref="A47:B47"/>
    <mergeCell ref="A48:B4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J74"/>
  <sheetViews>
    <sheetView workbookViewId="0"/>
  </sheetViews>
  <sheetFormatPr defaultRowHeight="15" x14ac:dyDescent="0.25"/>
  <cols>
    <col min="1" max="1" width="28.42578125" bestFit="1" customWidth="1"/>
    <col min="2" max="2" width="72" bestFit="1" customWidth="1"/>
    <col min="3" max="3" width="12.7109375" bestFit="1" customWidth="1"/>
    <col min="4" max="4" width="28.1406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171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501</v>
      </c>
    </row>
    <row r="7" spans="1:10" x14ac:dyDescent="0.25">
      <c r="C7" s="28" t="s">
        <v>5</v>
      </c>
      <c r="D7" s="29"/>
      <c r="E7" s="29"/>
      <c r="F7" s="29"/>
      <c r="G7" s="29"/>
    </row>
    <row r="8" spans="1:10" x14ac:dyDescent="0.25">
      <c r="A8" s="25" t="s">
        <v>6</v>
      </c>
      <c r="B8" s="25" t="s">
        <v>7</v>
      </c>
      <c r="C8" s="27" t="s">
        <v>8</v>
      </c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11</v>
      </c>
      <c r="F9" s="10"/>
      <c r="G9" s="10">
        <f t="shared" ref="G9:G42" si="0">SUM(C9:F9)</f>
        <v>11</v>
      </c>
      <c r="H9" s="16">
        <f t="shared" ref="H9:H42" si="1">ROUND(G9/501,2)</f>
        <v>0.02</v>
      </c>
      <c r="I9" s="15">
        <f t="shared" ref="I9:I42" si="2">ROUND(G9/$G$43,3)</f>
        <v>0</v>
      </c>
      <c r="J9" s="15"/>
    </row>
    <row r="10" spans="1:10" x14ac:dyDescent="0.25">
      <c r="A10" s="1" t="s">
        <v>16</v>
      </c>
      <c r="B10" s="1" t="s">
        <v>19</v>
      </c>
      <c r="C10" s="10">
        <v>24560</v>
      </c>
      <c r="D10" s="10"/>
      <c r="E10" s="10">
        <v>1443</v>
      </c>
      <c r="F10" s="10">
        <v>80</v>
      </c>
      <c r="G10" s="10">
        <f t="shared" si="0"/>
        <v>26083</v>
      </c>
      <c r="H10" s="16">
        <f t="shared" si="1"/>
        <v>52.06</v>
      </c>
      <c r="I10" s="15">
        <f t="shared" si="2"/>
        <v>9.4E-2</v>
      </c>
      <c r="J10" s="15">
        <f>ROUND(G10/26809.15-1,2)</f>
        <v>-0.03</v>
      </c>
    </row>
    <row r="11" spans="1:10" x14ac:dyDescent="0.25">
      <c r="A11" s="1" t="s">
        <v>16</v>
      </c>
      <c r="B11" s="1" t="s">
        <v>20</v>
      </c>
      <c r="C11" s="10">
        <v>41740</v>
      </c>
      <c r="D11" s="10"/>
      <c r="E11" s="10"/>
      <c r="F11" s="10"/>
      <c r="G11" s="10">
        <f t="shared" si="0"/>
        <v>41740</v>
      </c>
      <c r="H11" s="16">
        <f t="shared" si="1"/>
        <v>83.31</v>
      </c>
      <c r="I11" s="15">
        <f t="shared" si="2"/>
        <v>0.151</v>
      </c>
      <c r="J11" s="15">
        <f>ROUND(G11/37270-1,2)</f>
        <v>0.12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53</v>
      </c>
      <c r="F12" s="10"/>
      <c r="G12" s="10">
        <f t="shared" si="0"/>
        <v>53</v>
      </c>
      <c r="H12" s="16">
        <f t="shared" si="1"/>
        <v>0.11</v>
      </c>
      <c r="I12" s="15">
        <f t="shared" si="2"/>
        <v>0</v>
      </c>
      <c r="J12" s="15"/>
    </row>
    <row r="13" spans="1:10" x14ac:dyDescent="0.25">
      <c r="A13" s="1" t="s">
        <v>16</v>
      </c>
      <c r="B13" s="1" t="s">
        <v>22</v>
      </c>
      <c r="C13" s="10"/>
      <c r="D13" s="10"/>
      <c r="E13" s="10">
        <v>612</v>
      </c>
      <c r="F13" s="10">
        <v>1400</v>
      </c>
      <c r="G13" s="10">
        <f t="shared" si="0"/>
        <v>2012</v>
      </c>
      <c r="H13" s="16">
        <f t="shared" si="1"/>
        <v>4.0199999999999996</v>
      </c>
      <c r="I13" s="15">
        <f t="shared" si="2"/>
        <v>7.0000000000000001E-3</v>
      </c>
      <c r="J13" s="15"/>
    </row>
    <row r="14" spans="1:10" x14ac:dyDescent="0.25">
      <c r="A14" s="1" t="s">
        <v>16</v>
      </c>
      <c r="B14" s="1" t="s">
        <v>23</v>
      </c>
      <c r="C14" s="10"/>
      <c r="D14" s="10"/>
      <c r="E14" s="10">
        <v>29873</v>
      </c>
      <c r="F14" s="10"/>
      <c r="G14" s="10">
        <f t="shared" si="0"/>
        <v>29873</v>
      </c>
      <c r="H14" s="16">
        <f t="shared" si="1"/>
        <v>59.63</v>
      </c>
      <c r="I14" s="15">
        <f t="shared" si="2"/>
        <v>0.108</v>
      </c>
      <c r="J14" s="15">
        <f>ROUND(G14/3249.33-1,2)</f>
        <v>8.19</v>
      </c>
    </row>
    <row r="15" spans="1:10" x14ac:dyDescent="0.25">
      <c r="A15" s="1" t="s">
        <v>16</v>
      </c>
      <c r="B15" s="1" t="s">
        <v>24</v>
      </c>
      <c r="C15" s="10">
        <v>31170</v>
      </c>
      <c r="D15" s="10"/>
      <c r="E15" s="10">
        <v>4758</v>
      </c>
      <c r="F15" s="10">
        <v>100</v>
      </c>
      <c r="G15" s="10">
        <f t="shared" si="0"/>
        <v>36028</v>
      </c>
      <c r="H15" s="16">
        <f t="shared" si="1"/>
        <v>71.91</v>
      </c>
      <c r="I15" s="15">
        <f t="shared" si="2"/>
        <v>0.13</v>
      </c>
      <c r="J15" s="15">
        <f>ROUND(G15/36276.22-1,2)</f>
        <v>-0.01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901</v>
      </c>
      <c r="F16" s="10"/>
      <c r="G16" s="10">
        <f t="shared" si="0"/>
        <v>901</v>
      </c>
      <c r="H16" s="16">
        <f t="shared" si="1"/>
        <v>1.8</v>
      </c>
      <c r="I16" s="15">
        <f t="shared" si="2"/>
        <v>3.0000000000000001E-3</v>
      </c>
      <c r="J16" s="15"/>
    </row>
    <row r="17" spans="1:10" x14ac:dyDescent="0.25">
      <c r="A17" s="1" t="s">
        <v>16</v>
      </c>
      <c r="B17" s="1" t="s">
        <v>26</v>
      </c>
      <c r="C17" s="10">
        <v>36300</v>
      </c>
      <c r="D17" s="10"/>
      <c r="E17" s="10"/>
      <c r="F17" s="10">
        <v>40</v>
      </c>
      <c r="G17" s="10">
        <f t="shared" si="0"/>
        <v>36340</v>
      </c>
      <c r="H17" s="16">
        <f t="shared" si="1"/>
        <v>72.53</v>
      </c>
      <c r="I17" s="15">
        <f t="shared" si="2"/>
        <v>0.13100000000000001</v>
      </c>
      <c r="J17" s="15">
        <f>ROUND(G17/34550-1,2)</f>
        <v>0.05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290</v>
      </c>
      <c r="F18" s="10"/>
      <c r="G18" s="10">
        <f t="shared" si="0"/>
        <v>290</v>
      </c>
      <c r="H18" s="16">
        <f t="shared" si="1"/>
        <v>0.57999999999999996</v>
      </c>
      <c r="I18" s="15">
        <f t="shared" si="2"/>
        <v>1E-3</v>
      </c>
      <c r="J18" s="15"/>
    </row>
    <row r="19" spans="1:10" x14ac:dyDescent="0.25">
      <c r="A19" s="1" t="s">
        <v>16</v>
      </c>
      <c r="B19" s="1" t="s">
        <v>28</v>
      </c>
      <c r="C19" s="10"/>
      <c r="D19" s="10"/>
      <c r="E19" s="10">
        <v>155</v>
      </c>
      <c r="F19" s="10"/>
      <c r="G19" s="10">
        <f t="shared" si="0"/>
        <v>155</v>
      </c>
      <c r="H19" s="16">
        <f t="shared" si="1"/>
        <v>0.31</v>
      </c>
      <c r="I19" s="15">
        <f t="shared" si="2"/>
        <v>1E-3</v>
      </c>
      <c r="J19" s="15"/>
    </row>
    <row r="20" spans="1:10" x14ac:dyDescent="0.25">
      <c r="A20" s="1" t="s">
        <v>16</v>
      </c>
      <c r="B20" s="1" t="s">
        <v>29</v>
      </c>
      <c r="C20" s="10"/>
      <c r="D20" s="10"/>
      <c r="E20" s="10">
        <v>518</v>
      </c>
      <c r="F20" s="10"/>
      <c r="G20" s="10">
        <f t="shared" si="0"/>
        <v>518</v>
      </c>
      <c r="H20" s="16">
        <f t="shared" si="1"/>
        <v>1.03</v>
      </c>
      <c r="I20" s="15">
        <f t="shared" si="2"/>
        <v>2E-3</v>
      </c>
      <c r="J20" s="15">
        <f>ROUND(G20/354.44-1,2)</f>
        <v>0.46</v>
      </c>
    </row>
    <row r="21" spans="1:10" x14ac:dyDescent="0.25">
      <c r="A21" s="1" t="s">
        <v>16</v>
      </c>
      <c r="B21" s="1" t="s">
        <v>30</v>
      </c>
      <c r="C21" s="10"/>
      <c r="D21" s="10"/>
      <c r="E21" s="10">
        <v>254</v>
      </c>
      <c r="F21" s="10"/>
      <c r="G21" s="10">
        <f t="shared" si="0"/>
        <v>254</v>
      </c>
      <c r="H21" s="16">
        <f t="shared" si="1"/>
        <v>0.51</v>
      </c>
      <c r="I21" s="15">
        <f t="shared" si="2"/>
        <v>1E-3</v>
      </c>
      <c r="J21" s="15">
        <f>ROUND(G21/156.01-1,2)</f>
        <v>0.63</v>
      </c>
    </row>
    <row r="22" spans="1:10" x14ac:dyDescent="0.25">
      <c r="A22" s="1" t="s">
        <v>16</v>
      </c>
      <c r="B22" s="1" t="s">
        <v>32</v>
      </c>
      <c r="C22" s="10"/>
      <c r="D22" s="10"/>
      <c r="E22" s="10">
        <v>548</v>
      </c>
      <c r="F22" s="10"/>
      <c r="G22" s="10">
        <f t="shared" si="0"/>
        <v>548</v>
      </c>
      <c r="H22" s="16">
        <f t="shared" si="1"/>
        <v>1.0900000000000001</v>
      </c>
      <c r="I22" s="15">
        <f t="shared" si="2"/>
        <v>2E-3</v>
      </c>
      <c r="J22" s="15"/>
    </row>
    <row r="23" spans="1:10" x14ac:dyDescent="0.25">
      <c r="A23" s="1" t="s">
        <v>16</v>
      </c>
      <c r="B23" s="1" t="s">
        <v>33</v>
      </c>
      <c r="C23" s="10"/>
      <c r="D23" s="10"/>
      <c r="E23" s="10">
        <v>67</v>
      </c>
      <c r="F23" s="10"/>
      <c r="G23" s="10">
        <f t="shared" si="0"/>
        <v>67</v>
      </c>
      <c r="H23" s="16">
        <f t="shared" si="1"/>
        <v>0.13</v>
      </c>
      <c r="I23" s="15">
        <f t="shared" si="2"/>
        <v>0</v>
      </c>
      <c r="J23" s="15"/>
    </row>
    <row r="24" spans="1:10" x14ac:dyDescent="0.25">
      <c r="A24" s="1" t="s">
        <v>16</v>
      </c>
      <c r="B24" s="1" t="s">
        <v>34</v>
      </c>
      <c r="C24" s="10"/>
      <c r="D24" s="10"/>
      <c r="E24" s="10">
        <v>73</v>
      </c>
      <c r="F24" s="10"/>
      <c r="G24" s="10">
        <f t="shared" si="0"/>
        <v>73</v>
      </c>
      <c r="H24" s="16">
        <f t="shared" si="1"/>
        <v>0.15</v>
      </c>
      <c r="I24" s="15">
        <f t="shared" si="2"/>
        <v>0</v>
      </c>
      <c r="J24" s="15"/>
    </row>
    <row r="25" spans="1:10" x14ac:dyDescent="0.25">
      <c r="A25" s="1" t="s">
        <v>16</v>
      </c>
      <c r="B25" s="1" t="s">
        <v>37</v>
      </c>
      <c r="C25" s="10"/>
      <c r="D25" s="10"/>
      <c r="E25" s="10">
        <v>794</v>
      </c>
      <c r="F25" s="10"/>
      <c r="G25" s="10">
        <f t="shared" si="0"/>
        <v>794</v>
      </c>
      <c r="H25" s="16">
        <f t="shared" si="1"/>
        <v>1.58</v>
      </c>
      <c r="I25" s="15">
        <f t="shared" si="2"/>
        <v>3.0000000000000001E-3</v>
      </c>
      <c r="J25" s="15">
        <f>ROUND(G25/233.19-1,2)</f>
        <v>2.4</v>
      </c>
    </row>
    <row r="26" spans="1:10" x14ac:dyDescent="0.25">
      <c r="A26" s="1" t="s">
        <v>16</v>
      </c>
      <c r="B26" s="1" t="s">
        <v>43</v>
      </c>
      <c r="C26" s="10"/>
      <c r="D26" s="10"/>
      <c r="E26" s="10">
        <v>663</v>
      </c>
      <c r="F26" s="10"/>
      <c r="G26" s="10">
        <f t="shared" si="0"/>
        <v>663</v>
      </c>
      <c r="H26" s="16">
        <f t="shared" si="1"/>
        <v>1.32</v>
      </c>
      <c r="I26" s="15">
        <f t="shared" si="2"/>
        <v>2E-3</v>
      </c>
      <c r="J26" s="15"/>
    </row>
    <row r="27" spans="1:10" x14ac:dyDescent="0.25">
      <c r="A27" s="1" t="s">
        <v>16</v>
      </c>
      <c r="B27" s="1" t="s">
        <v>38</v>
      </c>
      <c r="C27" s="10"/>
      <c r="D27" s="10"/>
      <c r="E27" s="10">
        <v>18026</v>
      </c>
      <c r="F27" s="10"/>
      <c r="G27" s="10">
        <f t="shared" si="0"/>
        <v>18026</v>
      </c>
      <c r="H27" s="16">
        <f t="shared" si="1"/>
        <v>35.979999999999997</v>
      </c>
      <c r="I27" s="15">
        <f t="shared" si="2"/>
        <v>6.5000000000000002E-2</v>
      </c>
      <c r="J27" s="15">
        <f>ROUND(G27/2184.09-1,2)</f>
        <v>7.25</v>
      </c>
    </row>
    <row r="28" spans="1:10" x14ac:dyDescent="0.25">
      <c r="A28" s="1" t="s">
        <v>16</v>
      </c>
      <c r="B28" s="1" t="s">
        <v>40</v>
      </c>
      <c r="C28" s="10"/>
      <c r="D28" s="10"/>
      <c r="E28" s="10">
        <v>6649</v>
      </c>
      <c r="F28" s="10"/>
      <c r="G28" s="10">
        <f t="shared" si="0"/>
        <v>6649</v>
      </c>
      <c r="H28" s="16">
        <f t="shared" si="1"/>
        <v>13.27</v>
      </c>
      <c r="I28" s="15">
        <f t="shared" si="2"/>
        <v>2.4E-2</v>
      </c>
      <c r="J28" s="15">
        <f>ROUND(G28/1081.93-1,2)</f>
        <v>5.15</v>
      </c>
    </row>
    <row r="29" spans="1:10" x14ac:dyDescent="0.25">
      <c r="A29" s="1" t="s">
        <v>16</v>
      </c>
      <c r="B29" s="1" t="s">
        <v>41</v>
      </c>
      <c r="C29" s="10"/>
      <c r="D29" s="10"/>
      <c r="E29" s="10">
        <v>2900</v>
      </c>
      <c r="F29" s="10"/>
      <c r="G29" s="10">
        <f t="shared" si="0"/>
        <v>2900</v>
      </c>
      <c r="H29" s="16">
        <f t="shared" si="1"/>
        <v>5.79</v>
      </c>
      <c r="I29" s="15">
        <f t="shared" si="2"/>
        <v>0.01</v>
      </c>
      <c r="J29" s="15">
        <f>ROUND(G29/95.73-1,2)</f>
        <v>29.29</v>
      </c>
    </row>
    <row r="30" spans="1:10" x14ac:dyDescent="0.25">
      <c r="A30" s="1" t="s">
        <v>16</v>
      </c>
      <c r="B30" s="1" t="s">
        <v>36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>
        <f>ROUND(G30/393.54-1,2)</f>
        <v>-1</v>
      </c>
    </row>
    <row r="31" spans="1:10" x14ac:dyDescent="0.25">
      <c r="A31" s="1" t="s">
        <v>16</v>
      </c>
      <c r="B31" s="1" t="s">
        <v>172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/>
    </row>
    <row r="32" spans="1:10" x14ac:dyDescent="0.25">
      <c r="A32" s="1" t="s">
        <v>16</v>
      </c>
      <c r="B32" s="1" t="s">
        <v>173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>
        <f>ROUND(G32/217-1,2)</f>
        <v>-1</v>
      </c>
    </row>
    <row r="33" spans="1:10" x14ac:dyDescent="0.25">
      <c r="A33" s="1" t="s">
        <v>16</v>
      </c>
      <c r="B33" s="1" t="s">
        <v>35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/>
    </row>
    <row r="34" spans="1:10" x14ac:dyDescent="0.25">
      <c r="A34" s="1" t="s">
        <v>16</v>
      </c>
      <c r="B34" s="1" t="s">
        <v>42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/>
    </row>
    <row r="35" spans="1:10" x14ac:dyDescent="0.25">
      <c r="A35" s="1" t="s">
        <v>16</v>
      </c>
      <c r="B35" s="1" t="s">
        <v>120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16</v>
      </c>
      <c r="B36" s="1" t="s">
        <v>174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/>
    </row>
    <row r="37" spans="1:10" x14ac:dyDescent="0.25">
      <c r="A37" s="1" t="s">
        <v>16</v>
      </c>
      <c r="B37" s="1" t="s">
        <v>31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1" t="s">
        <v>16</v>
      </c>
      <c r="B38" s="1" t="s">
        <v>39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1" t="s">
        <v>44</v>
      </c>
      <c r="B39" s="1" t="s">
        <v>45</v>
      </c>
      <c r="C39" s="10">
        <v>62680</v>
      </c>
      <c r="D39" s="10"/>
      <c r="E39" s="10"/>
      <c r="F39" s="10">
        <v>600</v>
      </c>
      <c r="G39" s="10">
        <f t="shared" si="0"/>
        <v>63280</v>
      </c>
      <c r="H39" s="16">
        <f t="shared" si="1"/>
        <v>126.31</v>
      </c>
      <c r="I39" s="15">
        <f t="shared" si="2"/>
        <v>0.22800000000000001</v>
      </c>
      <c r="J39" s="15">
        <f>ROUND(G39/85800-1,2)</f>
        <v>-0.26</v>
      </c>
    </row>
    <row r="40" spans="1:10" x14ac:dyDescent="0.25">
      <c r="A40" s="1" t="s">
        <v>44</v>
      </c>
      <c r="B40" s="1" t="s">
        <v>46</v>
      </c>
      <c r="C40" s="10"/>
      <c r="D40" s="10"/>
      <c r="E40" s="10">
        <v>9888</v>
      </c>
      <c r="F40" s="10"/>
      <c r="G40" s="10">
        <f t="shared" si="0"/>
        <v>9888</v>
      </c>
      <c r="H40" s="16">
        <f t="shared" si="1"/>
        <v>19.739999999999998</v>
      </c>
      <c r="I40" s="15">
        <f t="shared" si="2"/>
        <v>3.5999999999999997E-2</v>
      </c>
      <c r="J40" s="15">
        <f>ROUND(G40/1604.15-1,2)</f>
        <v>5.16</v>
      </c>
    </row>
    <row r="41" spans="1:10" x14ac:dyDescent="0.25">
      <c r="A41" s="1" t="s">
        <v>44</v>
      </c>
      <c r="B41" s="1" t="s">
        <v>47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/>
    </row>
    <row r="42" spans="1:10" x14ac:dyDescent="0.25">
      <c r="A42" s="1" t="s">
        <v>48</v>
      </c>
      <c r="B42" s="1" t="s">
        <v>51</v>
      </c>
      <c r="C42" s="10"/>
      <c r="D42" s="10"/>
      <c r="E42" s="10"/>
      <c r="F42" s="10"/>
      <c r="G42" s="10">
        <f t="shared" si="0"/>
        <v>0</v>
      </c>
      <c r="H42" s="16">
        <f t="shared" si="1"/>
        <v>0</v>
      </c>
      <c r="I42" s="15">
        <f t="shared" si="2"/>
        <v>0</v>
      </c>
      <c r="J42" s="15">
        <f>ROUND(G42/11-1,2)</f>
        <v>-1</v>
      </c>
    </row>
    <row r="43" spans="1:10" x14ac:dyDescent="0.25">
      <c r="A43" s="30" t="s">
        <v>12</v>
      </c>
      <c r="B43" s="30"/>
      <c r="C43" s="11">
        <f t="shared" ref="C43:H43" si="3">SUM(C8:C42)</f>
        <v>196450</v>
      </c>
      <c r="D43" s="11">
        <f t="shared" si="3"/>
        <v>0</v>
      </c>
      <c r="E43" s="11">
        <f t="shared" si="3"/>
        <v>78476</v>
      </c>
      <c r="F43" s="11">
        <f t="shared" si="3"/>
        <v>2220</v>
      </c>
      <c r="G43" s="11">
        <f t="shared" si="3"/>
        <v>277146</v>
      </c>
      <c r="H43" s="14">
        <f t="shared" si="3"/>
        <v>553.18000000000006</v>
      </c>
      <c r="I43" s="17"/>
      <c r="J43" s="17"/>
    </row>
    <row r="44" spans="1:10" x14ac:dyDescent="0.25">
      <c r="A44" s="30" t="s">
        <v>14</v>
      </c>
      <c r="B44" s="30"/>
      <c r="C44" s="12">
        <f>ROUND(C43/G43,2)</f>
        <v>0.71</v>
      </c>
      <c r="D44" s="12">
        <f>ROUND(D43/G43,2)</f>
        <v>0</v>
      </c>
      <c r="E44" s="12">
        <f>ROUND(E43/G43,2)</f>
        <v>0.28000000000000003</v>
      </c>
      <c r="F44" s="12">
        <f>ROUND(F43/G43,2)</f>
        <v>0.01</v>
      </c>
      <c r="G44" s="13"/>
      <c r="H44" s="13"/>
      <c r="I44" s="17"/>
      <c r="J44" s="17"/>
    </row>
    <row r="45" spans="1:10" x14ac:dyDescent="0.25">
      <c r="A45" s="2" t="s">
        <v>52</v>
      </c>
      <c r="B45" s="2"/>
      <c r="C45" s="13"/>
      <c r="D45" s="13"/>
      <c r="E45" s="13"/>
      <c r="F45" s="13"/>
      <c r="G45" s="13"/>
      <c r="H45" s="13"/>
      <c r="I45" s="17"/>
      <c r="J45" s="17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A49" s="30" t="s">
        <v>53</v>
      </c>
      <c r="B49" s="30"/>
      <c r="C49" s="11" t="s">
        <v>8</v>
      </c>
      <c r="D49" s="11" t="s">
        <v>9</v>
      </c>
      <c r="E49" s="11" t="s">
        <v>10</v>
      </c>
      <c r="F49" s="11" t="s">
        <v>11</v>
      </c>
      <c r="G49" s="11" t="s">
        <v>12</v>
      </c>
      <c r="H49" s="14" t="s">
        <v>13</v>
      </c>
      <c r="I49" s="17"/>
      <c r="J49" s="17"/>
    </row>
    <row r="50" spans="1:10" x14ac:dyDescent="0.25">
      <c r="A50" s="29" t="s">
        <v>54</v>
      </c>
      <c r="B50" s="29"/>
      <c r="C50" s="10">
        <v>133770</v>
      </c>
      <c r="D50" s="10">
        <v>0</v>
      </c>
      <c r="E50" s="10">
        <v>68588</v>
      </c>
      <c r="F50" s="10">
        <v>1620</v>
      </c>
      <c r="G50" s="10">
        <f>SUM(C50:F50)</f>
        <v>203978</v>
      </c>
      <c r="H50" s="16">
        <f>ROUND(G50/501,2)</f>
        <v>407.14</v>
      </c>
      <c r="I50" s="9"/>
      <c r="J50" s="9"/>
    </row>
    <row r="51" spans="1:10" x14ac:dyDescent="0.25">
      <c r="A51" s="29" t="s">
        <v>55</v>
      </c>
      <c r="B51" s="29"/>
      <c r="C51" s="10">
        <v>62680</v>
      </c>
      <c r="D51" s="10">
        <v>0</v>
      </c>
      <c r="E51" s="10">
        <v>9888</v>
      </c>
      <c r="F51" s="10">
        <v>600</v>
      </c>
      <c r="G51" s="10">
        <f>SUM(C51:F51)</f>
        <v>73168</v>
      </c>
      <c r="H51" s="16">
        <f>ROUND(G51/501,2)</f>
        <v>146.04</v>
      </c>
      <c r="I51" s="9"/>
      <c r="J51" s="9"/>
    </row>
    <row r="52" spans="1:10" x14ac:dyDescent="0.25">
      <c r="A52" s="29" t="s">
        <v>56</v>
      </c>
      <c r="B52" s="29"/>
      <c r="C52" s="10">
        <v>0</v>
      </c>
      <c r="D52" s="10">
        <v>0</v>
      </c>
      <c r="E52" s="10">
        <v>0</v>
      </c>
      <c r="F52" s="10">
        <v>0</v>
      </c>
      <c r="G52" s="10">
        <f>SUM(C52:F52)</f>
        <v>0</v>
      </c>
      <c r="H52" s="16">
        <f>ROUND(G52/501,2)</f>
        <v>0</v>
      </c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A57" s="30" t="s">
        <v>57</v>
      </c>
      <c r="B57" s="30"/>
      <c r="C57" s="14" t="s">
        <v>2</v>
      </c>
      <c r="D57" s="14">
        <v>2023</v>
      </c>
      <c r="E57" s="14" t="s">
        <v>59</v>
      </c>
      <c r="F57" s="13"/>
      <c r="G57" s="20" t="s">
        <v>60</v>
      </c>
      <c r="H57" s="14" t="s">
        <v>2</v>
      </c>
      <c r="I57" s="12" t="s">
        <v>61</v>
      </c>
      <c r="J57" s="12" t="s">
        <v>59</v>
      </c>
    </row>
    <row r="58" spans="1:10" x14ac:dyDescent="0.25">
      <c r="A58" s="29" t="s">
        <v>58</v>
      </c>
      <c r="B58" s="29"/>
      <c r="C58" s="15">
        <f>ROUND(0.7412, 4)</f>
        <v>0.74119999999999997</v>
      </c>
      <c r="D58" s="15">
        <f>ROUND(0.6214, 4)</f>
        <v>0.62139999999999995</v>
      </c>
      <c r="E58" s="15">
        <f>ROUND(0.777, 4)</f>
        <v>0.77700000000000002</v>
      </c>
      <c r="F58" s="8"/>
      <c r="G58" s="20" t="s">
        <v>62</v>
      </c>
      <c r="H58" s="33" t="s">
        <v>63</v>
      </c>
      <c r="I58" s="31" t="s">
        <v>64</v>
      </c>
      <c r="J58" s="31" t="s">
        <v>65</v>
      </c>
    </row>
    <row r="59" spans="1:10" x14ac:dyDescent="0.25">
      <c r="A59" s="29" t="s">
        <v>66</v>
      </c>
      <c r="B59" s="29"/>
      <c r="C59" s="15">
        <f>ROUND(0.7016, 4)</f>
        <v>0.7016</v>
      </c>
      <c r="D59" s="15">
        <f>ROUND(0.5774, 4)</f>
        <v>0.57740000000000002</v>
      </c>
      <c r="E59" s="15">
        <f>ROUND(0.7608, 4)</f>
        <v>0.76080000000000003</v>
      </c>
      <c r="F59" s="8"/>
      <c r="G59" s="14" t="s">
        <v>67</v>
      </c>
      <c r="H59" s="34"/>
      <c r="I59" s="32"/>
      <c r="J59" s="32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A63" s="30" t="s">
        <v>68</v>
      </c>
      <c r="B63" s="30"/>
      <c r="C63" s="14" t="s">
        <v>2</v>
      </c>
      <c r="D63" s="14" t="s">
        <v>175</v>
      </c>
      <c r="E63" s="14" t="s">
        <v>70</v>
      </c>
      <c r="F63" s="14" t="s">
        <v>71</v>
      </c>
      <c r="G63" s="14" t="s">
        <v>72</v>
      </c>
      <c r="H63" s="13"/>
      <c r="I63" s="17"/>
      <c r="J63" s="17"/>
    </row>
    <row r="64" spans="1:10" x14ac:dyDescent="0.25">
      <c r="A64" s="29" t="s">
        <v>73</v>
      </c>
      <c r="B64" s="29"/>
      <c r="C64" s="16">
        <v>126.31</v>
      </c>
      <c r="D64" s="16">
        <v>137.28</v>
      </c>
      <c r="E64" s="16">
        <v>93.87</v>
      </c>
      <c r="F64" s="16">
        <v>57.16</v>
      </c>
      <c r="G64" s="16">
        <f>12/12*C64</f>
        <v>126.31</v>
      </c>
      <c r="H64" s="8"/>
      <c r="I64" s="9"/>
      <c r="J64" s="9"/>
    </row>
    <row r="65" spans="1:10" x14ac:dyDescent="0.25">
      <c r="A65" s="29" t="s">
        <v>74</v>
      </c>
      <c r="B65" s="29"/>
      <c r="C65" s="16">
        <v>72.53</v>
      </c>
      <c r="D65" s="16">
        <v>70.39</v>
      </c>
      <c r="E65" s="16">
        <v>62.84</v>
      </c>
      <c r="F65" s="16">
        <v>65.39</v>
      </c>
      <c r="G65" s="16">
        <f>12/12*C65</f>
        <v>72.53</v>
      </c>
      <c r="H65" s="8"/>
      <c r="I65" s="9"/>
      <c r="J65" s="9"/>
    </row>
    <row r="66" spans="1:10" x14ac:dyDescent="0.25">
      <c r="A66" s="29" t="s">
        <v>75</v>
      </c>
      <c r="B66" s="29"/>
      <c r="C66" s="16">
        <v>407.14</v>
      </c>
      <c r="D66" s="16">
        <v>301.57</v>
      </c>
      <c r="E66" s="16">
        <v>295.08999999999997</v>
      </c>
      <c r="F66" s="16">
        <v>289.06</v>
      </c>
      <c r="G66" s="16">
        <f>12/12*C66</f>
        <v>407.14</v>
      </c>
      <c r="H66" s="8"/>
      <c r="I66" s="9"/>
      <c r="J66" s="9"/>
    </row>
    <row r="67" spans="1:10" x14ac:dyDescent="0.25">
      <c r="A67" s="29" t="s">
        <v>76</v>
      </c>
      <c r="B67" s="29"/>
      <c r="C67" s="16">
        <v>146.04</v>
      </c>
      <c r="D67" s="16">
        <v>145.04</v>
      </c>
      <c r="E67" s="16">
        <v>118.05</v>
      </c>
      <c r="F67" s="16">
        <v>81.41</v>
      </c>
      <c r="G67" s="16">
        <f>12/12*C67</f>
        <v>146.04</v>
      </c>
      <c r="H67" s="8"/>
      <c r="I67" s="9"/>
      <c r="J67" s="9"/>
    </row>
    <row r="68" spans="1:10" x14ac:dyDescent="0.25">
      <c r="C68" s="8"/>
      <c r="D68" s="8"/>
      <c r="E68" s="8"/>
      <c r="F68" s="8"/>
      <c r="G68" s="8"/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28" t="s">
        <v>60</v>
      </c>
      <c r="B70" s="35"/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3" t="s">
        <v>77</v>
      </c>
      <c r="B71" s="1" t="s">
        <v>176</v>
      </c>
    </row>
    <row r="72" spans="1:10" x14ac:dyDescent="0.25">
      <c r="A72" s="3" t="s">
        <v>70</v>
      </c>
      <c r="B72" s="1" t="s">
        <v>79</v>
      </c>
    </row>
    <row r="73" spans="1:10" x14ac:dyDescent="0.25">
      <c r="A73" s="3" t="s">
        <v>71</v>
      </c>
      <c r="B73" s="1" t="s">
        <v>80</v>
      </c>
    </row>
    <row r="74" spans="1:10" x14ac:dyDescent="0.25">
      <c r="A74" s="3" t="s">
        <v>72</v>
      </c>
      <c r="B74" s="1" t="s">
        <v>81</v>
      </c>
    </row>
  </sheetData>
  <mergeCells count="19">
    <mergeCell ref="A65:B65"/>
    <mergeCell ref="A66:B66"/>
    <mergeCell ref="A67:B67"/>
    <mergeCell ref="A70:B70"/>
    <mergeCell ref="I58:I59"/>
    <mergeCell ref="J58:J59"/>
    <mergeCell ref="A59:B59"/>
    <mergeCell ref="A63:B63"/>
    <mergeCell ref="A64:B64"/>
    <mergeCell ref="A51:B51"/>
    <mergeCell ref="A52:B52"/>
    <mergeCell ref="A57:B57"/>
    <mergeCell ref="A58:B58"/>
    <mergeCell ref="H58:H59"/>
    <mergeCell ref="C7:G7"/>
    <mergeCell ref="A43:B43"/>
    <mergeCell ref="A44:B44"/>
    <mergeCell ref="A49:B49"/>
    <mergeCell ref="A50:B50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J70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8.8554687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177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914</v>
      </c>
    </row>
    <row r="7" spans="1:10" x14ac:dyDescent="0.25">
      <c r="C7" s="28" t="s">
        <v>5</v>
      </c>
      <c r="D7" s="29"/>
      <c r="E7" s="29"/>
      <c r="F7" s="29"/>
      <c r="G7" s="29"/>
    </row>
    <row r="8" spans="1:10" x14ac:dyDescent="0.25">
      <c r="A8" s="25" t="s">
        <v>6</v>
      </c>
      <c r="B8" s="25" t="s">
        <v>7</v>
      </c>
      <c r="C8" s="27" t="s">
        <v>8</v>
      </c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34</v>
      </c>
      <c r="F9" s="10"/>
      <c r="G9" s="10">
        <f t="shared" ref="G9:G38" si="0">SUM(C9:F9)</f>
        <v>34</v>
      </c>
      <c r="H9" s="16">
        <f t="shared" ref="H9:H38" si="1">ROUND(G9/914,2)</f>
        <v>0.04</v>
      </c>
      <c r="I9" s="15">
        <f t="shared" ref="I9:I38" si="2">ROUND(G9/$G$39,3)</f>
        <v>0</v>
      </c>
      <c r="J9" s="15">
        <f>ROUND(G9/30-1,2)</f>
        <v>0.13</v>
      </c>
    </row>
    <row r="10" spans="1:10" x14ac:dyDescent="0.25">
      <c r="A10" s="1" t="s">
        <v>16</v>
      </c>
      <c r="B10" s="1" t="s">
        <v>19</v>
      </c>
      <c r="C10" s="10">
        <v>53870</v>
      </c>
      <c r="D10" s="10"/>
      <c r="E10" s="10">
        <v>4925</v>
      </c>
      <c r="F10" s="10"/>
      <c r="G10" s="10">
        <f t="shared" si="0"/>
        <v>58795</v>
      </c>
      <c r="H10" s="16">
        <f t="shared" si="1"/>
        <v>64.33</v>
      </c>
      <c r="I10" s="15">
        <f t="shared" si="2"/>
        <v>9.6000000000000002E-2</v>
      </c>
      <c r="J10" s="15">
        <f>ROUND(G10/55181.55-1,2)</f>
        <v>7.0000000000000007E-2</v>
      </c>
    </row>
    <row r="11" spans="1:10" x14ac:dyDescent="0.25">
      <c r="A11" s="1" t="s">
        <v>16</v>
      </c>
      <c r="B11" s="1" t="s">
        <v>20</v>
      </c>
      <c r="C11" s="10">
        <v>73340</v>
      </c>
      <c r="D11" s="10"/>
      <c r="E11" s="10">
        <v>1431</v>
      </c>
      <c r="F11" s="10"/>
      <c r="G11" s="10">
        <f t="shared" si="0"/>
        <v>74771</v>
      </c>
      <c r="H11" s="16">
        <f t="shared" si="1"/>
        <v>81.81</v>
      </c>
      <c r="I11" s="15">
        <f t="shared" si="2"/>
        <v>0.122</v>
      </c>
      <c r="J11" s="15">
        <f>ROUND(G11/82651.32-1,2)</f>
        <v>-0.1</v>
      </c>
    </row>
    <row r="12" spans="1:10" x14ac:dyDescent="0.25">
      <c r="A12" s="1" t="s">
        <v>16</v>
      </c>
      <c r="B12" s="1" t="s">
        <v>22</v>
      </c>
      <c r="C12" s="10"/>
      <c r="D12" s="10"/>
      <c r="E12" s="10">
        <v>1013</v>
      </c>
      <c r="F12" s="10"/>
      <c r="G12" s="10">
        <f t="shared" si="0"/>
        <v>1013</v>
      </c>
      <c r="H12" s="16">
        <f t="shared" si="1"/>
        <v>1.1100000000000001</v>
      </c>
      <c r="I12" s="15">
        <f t="shared" si="2"/>
        <v>2E-3</v>
      </c>
      <c r="J12" s="15">
        <f>ROUND(G12/2120-1,2)</f>
        <v>-0.52</v>
      </c>
    </row>
    <row r="13" spans="1:10" x14ac:dyDescent="0.25">
      <c r="A13" s="1" t="s">
        <v>16</v>
      </c>
      <c r="B13" s="1" t="s">
        <v>23</v>
      </c>
      <c r="C13" s="10"/>
      <c r="D13" s="10"/>
      <c r="E13" s="10">
        <v>60647</v>
      </c>
      <c r="F13" s="10"/>
      <c r="G13" s="10">
        <f t="shared" si="0"/>
        <v>60647</v>
      </c>
      <c r="H13" s="16">
        <f t="shared" si="1"/>
        <v>66.349999999999994</v>
      </c>
      <c r="I13" s="15">
        <f t="shared" si="2"/>
        <v>9.9000000000000005E-2</v>
      </c>
      <c r="J13" s="15">
        <f>ROUND(G13/103710.73-1,2)</f>
        <v>-0.42</v>
      </c>
    </row>
    <row r="14" spans="1:10" x14ac:dyDescent="0.25">
      <c r="A14" s="1" t="s">
        <v>16</v>
      </c>
      <c r="B14" s="1" t="s">
        <v>24</v>
      </c>
      <c r="C14" s="10">
        <v>58830</v>
      </c>
      <c r="D14" s="10"/>
      <c r="E14" s="10">
        <v>16775</v>
      </c>
      <c r="F14" s="10"/>
      <c r="G14" s="10">
        <f t="shared" si="0"/>
        <v>75605</v>
      </c>
      <c r="H14" s="16">
        <f t="shared" si="1"/>
        <v>82.72</v>
      </c>
      <c r="I14" s="15">
        <f t="shared" si="2"/>
        <v>0.123</v>
      </c>
      <c r="J14" s="15">
        <f>ROUND(G14/74932.43-1,2)</f>
        <v>0.01</v>
      </c>
    </row>
    <row r="15" spans="1:10" x14ac:dyDescent="0.25">
      <c r="A15" s="1" t="s">
        <v>16</v>
      </c>
      <c r="B15" s="1" t="s">
        <v>25</v>
      </c>
      <c r="C15" s="10"/>
      <c r="D15" s="10"/>
      <c r="E15" s="10">
        <v>2652</v>
      </c>
      <c r="F15" s="10"/>
      <c r="G15" s="10">
        <f t="shared" si="0"/>
        <v>2652</v>
      </c>
      <c r="H15" s="16">
        <f t="shared" si="1"/>
        <v>2.9</v>
      </c>
      <c r="I15" s="15">
        <f t="shared" si="2"/>
        <v>4.0000000000000001E-3</v>
      </c>
      <c r="J15" s="15">
        <f>ROUND(G15/4420-1,2)</f>
        <v>-0.4</v>
      </c>
    </row>
    <row r="16" spans="1:10" x14ac:dyDescent="0.25">
      <c r="A16" s="1" t="s">
        <v>16</v>
      </c>
      <c r="B16" s="1" t="s">
        <v>26</v>
      </c>
      <c r="C16" s="10">
        <v>73570</v>
      </c>
      <c r="D16" s="10"/>
      <c r="E16" s="10"/>
      <c r="F16" s="10"/>
      <c r="G16" s="10">
        <f t="shared" si="0"/>
        <v>73570</v>
      </c>
      <c r="H16" s="16">
        <f t="shared" si="1"/>
        <v>80.489999999999995</v>
      </c>
      <c r="I16" s="15">
        <f t="shared" si="2"/>
        <v>0.12</v>
      </c>
      <c r="J16" s="15">
        <f>ROUND(G16/63040-1,2)</f>
        <v>0.17</v>
      </c>
    </row>
    <row r="17" spans="1:10" x14ac:dyDescent="0.25">
      <c r="A17" s="1" t="s">
        <v>16</v>
      </c>
      <c r="B17" s="1" t="s">
        <v>27</v>
      </c>
      <c r="C17" s="10"/>
      <c r="D17" s="10"/>
      <c r="E17" s="10">
        <v>791</v>
      </c>
      <c r="F17" s="10"/>
      <c r="G17" s="10">
        <f t="shared" si="0"/>
        <v>791</v>
      </c>
      <c r="H17" s="16">
        <f t="shared" si="1"/>
        <v>0.87</v>
      </c>
      <c r="I17" s="15">
        <f t="shared" si="2"/>
        <v>1E-3</v>
      </c>
      <c r="J17" s="15">
        <f>ROUND(G17/778-1,2)</f>
        <v>0.02</v>
      </c>
    </row>
    <row r="18" spans="1:10" x14ac:dyDescent="0.25">
      <c r="A18" s="1" t="s">
        <v>16</v>
      </c>
      <c r="B18" s="1" t="s">
        <v>28</v>
      </c>
      <c r="C18" s="10"/>
      <c r="D18" s="10"/>
      <c r="E18" s="10">
        <v>271</v>
      </c>
      <c r="F18" s="10"/>
      <c r="G18" s="10">
        <f t="shared" si="0"/>
        <v>271</v>
      </c>
      <c r="H18" s="16">
        <f t="shared" si="1"/>
        <v>0.3</v>
      </c>
      <c r="I18" s="15">
        <f t="shared" si="2"/>
        <v>0</v>
      </c>
      <c r="J18" s="15">
        <f>ROUND(G18/502-1,2)</f>
        <v>-0.46</v>
      </c>
    </row>
    <row r="19" spans="1:10" x14ac:dyDescent="0.25">
      <c r="A19" s="1" t="s">
        <v>16</v>
      </c>
      <c r="B19" s="1" t="s">
        <v>42</v>
      </c>
      <c r="C19" s="10"/>
      <c r="D19" s="10"/>
      <c r="E19" s="10">
        <v>85</v>
      </c>
      <c r="F19" s="10"/>
      <c r="G19" s="10">
        <f t="shared" si="0"/>
        <v>85</v>
      </c>
      <c r="H19" s="16">
        <f t="shared" si="1"/>
        <v>0.09</v>
      </c>
      <c r="I19" s="15">
        <f t="shared" si="2"/>
        <v>0</v>
      </c>
      <c r="J19" s="15"/>
    </row>
    <row r="20" spans="1:10" x14ac:dyDescent="0.25">
      <c r="A20" s="1" t="s">
        <v>16</v>
      </c>
      <c r="B20" s="1" t="s">
        <v>29</v>
      </c>
      <c r="C20" s="10"/>
      <c r="D20" s="10"/>
      <c r="E20" s="10">
        <v>1304</v>
      </c>
      <c r="F20" s="10"/>
      <c r="G20" s="10">
        <f t="shared" si="0"/>
        <v>1304</v>
      </c>
      <c r="H20" s="16">
        <f t="shared" si="1"/>
        <v>1.43</v>
      </c>
      <c r="I20" s="15">
        <f t="shared" si="2"/>
        <v>2E-3</v>
      </c>
      <c r="J20" s="15">
        <f>ROUND(G20/4070-1,2)</f>
        <v>-0.68</v>
      </c>
    </row>
    <row r="21" spans="1:10" x14ac:dyDescent="0.25">
      <c r="A21" s="1" t="s">
        <v>16</v>
      </c>
      <c r="B21" s="1" t="s">
        <v>30</v>
      </c>
      <c r="C21" s="10"/>
      <c r="D21" s="10"/>
      <c r="E21" s="10">
        <v>488</v>
      </c>
      <c r="F21" s="10"/>
      <c r="G21" s="10">
        <f t="shared" si="0"/>
        <v>488</v>
      </c>
      <c r="H21" s="16">
        <f t="shared" si="1"/>
        <v>0.53</v>
      </c>
      <c r="I21" s="15">
        <f t="shared" si="2"/>
        <v>1E-3</v>
      </c>
      <c r="J21" s="15">
        <f>ROUND(G21/380-1,2)</f>
        <v>0.28000000000000003</v>
      </c>
    </row>
    <row r="22" spans="1:10" x14ac:dyDescent="0.25">
      <c r="A22" s="1" t="s">
        <v>16</v>
      </c>
      <c r="B22" s="1" t="s">
        <v>32</v>
      </c>
      <c r="C22" s="10"/>
      <c r="D22" s="10"/>
      <c r="E22" s="10">
        <v>494</v>
      </c>
      <c r="F22" s="10"/>
      <c r="G22" s="10">
        <f t="shared" si="0"/>
        <v>494</v>
      </c>
      <c r="H22" s="16">
        <f t="shared" si="1"/>
        <v>0.54</v>
      </c>
      <c r="I22" s="15">
        <f t="shared" si="2"/>
        <v>1E-3</v>
      </c>
      <c r="J22" s="15">
        <f>ROUND(G22/1260-1,2)</f>
        <v>-0.61</v>
      </c>
    </row>
    <row r="23" spans="1:10" x14ac:dyDescent="0.25">
      <c r="A23" s="1" t="s">
        <v>16</v>
      </c>
      <c r="B23" s="1" t="s">
        <v>33</v>
      </c>
      <c r="C23" s="10"/>
      <c r="D23" s="10"/>
      <c r="E23" s="10">
        <v>101</v>
      </c>
      <c r="F23" s="10"/>
      <c r="G23" s="10">
        <f t="shared" si="0"/>
        <v>101</v>
      </c>
      <c r="H23" s="16">
        <f t="shared" si="1"/>
        <v>0.11</v>
      </c>
      <c r="I23" s="15">
        <f t="shared" si="2"/>
        <v>0</v>
      </c>
      <c r="J23" s="15">
        <f>ROUND(G23/80-1,2)</f>
        <v>0.26</v>
      </c>
    </row>
    <row r="24" spans="1:10" x14ac:dyDescent="0.25">
      <c r="A24" s="1" t="s">
        <v>16</v>
      </c>
      <c r="B24" s="1" t="s">
        <v>37</v>
      </c>
      <c r="C24" s="10"/>
      <c r="D24" s="10"/>
      <c r="E24" s="10">
        <v>3158</v>
      </c>
      <c r="F24" s="10"/>
      <c r="G24" s="10">
        <f t="shared" si="0"/>
        <v>3158</v>
      </c>
      <c r="H24" s="16">
        <f t="shared" si="1"/>
        <v>3.46</v>
      </c>
      <c r="I24" s="15">
        <f t="shared" si="2"/>
        <v>5.0000000000000001E-3</v>
      </c>
      <c r="J24" s="15">
        <f>ROUND(G24/4250-1,2)</f>
        <v>-0.26</v>
      </c>
    </row>
    <row r="25" spans="1:10" x14ac:dyDescent="0.25">
      <c r="A25" s="1" t="s">
        <v>16</v>
      </c>
      <c r="B25" s="1" t="s">
        <v>38</v>
      </c>
      <c r="C25" s="10"/>
      <c r="D25" s="10"/>
      <c r="E25" s="10">
        <v>32956</v>
      </c>
      <c r="F25" s="10"/>
      <c r="G25" s="10">
        <f t="shared" si="0"/>
        <v>32956</v>
      </c>
      <c r="H25" s="16">
        <f t="shared" si="1"/>
        <v>36.06</v>
      </c>
      <c r="I25" s="15">
        <f t="shared" si="2"/>
        <v>5.3999999999999999E-2</v>
      </c>
      <c r="J25" s="15">
        <f>ROUND(G25/58445.84-1,2)</f>
        <v>-0.44</v>
      </c>
    </row>
    <row r="26" spans="1:10" x14ac:dyDescent="0.25">
      <c r="A26" s="1" t="s">
        <v>16</v>
      </c>
      <c r="B26" s="1" t="s">
        <v>40</v>
      </c>
      <c r="C26" s="10"/>
      <c r="D26" s="10"/>
      <c r="E26" s="10">
        <v>12020</v>
      </c>
      <c r="F26" s="10"/>
      <c r="G26" s="10">
        <f t="shared" si="0"/>
        <v>12020</v>
      </c>
      <c r="H26" s="16">
        <f t="shared" si="1"/>
        <v>13.15</v>
      </c>
      <c r="I26" s="15">
        <f t="shared" si="2"/>
        <v>0.02</v>
      </c>
      <c r="J26" s="15">
        <f>ROUND(G26/21389.54-1,2)</f>
        <v>-0.44</v>
      </c>
    </row>
    <row r="27" spans="1:10" x14ac:dyDescent="0.25">
      <c r="A27" s="1" t="s">
        <v>16</v>
      </c>
      <c r="B27" s="1" t="s">
        <v>41</v>
      </c>
      <c r="C27" s="10"/>
      <c r="D27" s="10"/>
      <c r="E27" s="10">
        <v>7864</v>
      </c>
      <c r="F27" s="10"/>
      <c r="G27" s="10">
        <f t="shared" si="0"/>
        <v>7864</v>
      </c>
      <c r="H27" s="16">
        <f t="shared" si="1"/>
        <v>8.6</v>
      </c>
      <c r="I27" s="15">
        <f t="shared" si="2"/>
        <v>1.2999999999999999E-2</v>
      </c>
      <c r="J27" s="15">
        <f>ROUND(G27/10218.91-1,2)</f>
        <v>-0.23</v>
      </c>
    </row>
    <row r="28" spans="1:10" x14ac:dyDescent="0.25">
      <c r="A28" s="1" t="s">
        <v>16</v>
      </c>
      <c r="B28" s="1" t="s">
        <v>34</v>
      </c>
      <c r="C28" s="10"/>
      <c r="D28" s="10"/>
      <c r="E28" s="10"/>
      <c r="F28" s="10"/>
      <c r="G28" s="10">
        <f t="shared" si="0"/>
        <v>0</v>
      </c>
      <c r="H28" s="16">
        <f t="shared" si="1"/>
        <v>0</v>
      </c>
      <c r="I28" s="15">
        <f t="shared" si="2"/>
        <v>0</v>
      </c>
      <c r="J28" s="15">
        <f>ROUND(G28/921-1,2)</f>
        <v>-1</v>
      </c>
    </row>
    <row r="29" spans="1:10" x14ac:dyDescent="0.25">
      <c r="A29" s="1" t="s">
        <v>16</v>
      </c>
      <c r="B29" s="1" t="s">
        <v>43</v>
      </c>
      <c r="C29" s="10"/>
      <c r="D29" s="10"/>
      <c r="E29" s="10"/>
      <c r="F29" s="10"/>
      <c r="G29" s="10">
        <f t="shared" si="0"/>
        <v>0</v>
      </c>
      <c r="H29" s="16">
        <f t="shared" si="1"/>
        <v>0</v>
      </c>
      <c r="I29" s="15">
        <f t="shared" si="2"/>
        <v>0</v>
      </c>
      <c r="J29" s="15">
        <f>ROUND(G29/11180-1,2)</f>
        <v>-1</v>
      </c>
    </row>
    <row r="30" spans="1:10" x14ac:dyDescent="0.25">
      <c r="A30" s="1" t="s">
        <v>16</v>
      </c>
      <c r="B30" s="1" t="s">
        <v>36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>
        <f>ROUND(G30/2778.89-1,2)</f>
        <v>-1</v>
      </c>
    </row>
    <row r="31" spans="1:10" x14ac:dyDescent="0.25">
      <c r="A31" s="1" t="s">
        <v>16</v>
      </c>
      <c r="B31" s="1" t="s">
        <v>35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>
        <f>ROUND(G31/240-1,2)</f>
        <v>-1</v>
      </c>
    </row>
    <row r="32" spans="1:10" x14ac:dyDescent="0.25">
      <c r="A32" s="1" t="s">
        <v>16</v>
      </c>
      <c r="B32" s="1" t="s">
        <v>21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/>
    </row>
    <row r="33" spans="1:10" x14ac:dyDescent="0.25">
      <c r="A33" s="1" t="s">
        <v>16</v>
      </c>
      <c r="B33" s="1" t="s">
        <v>31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/>
    </row>
    <row r="34" spans="1:10" x14ac:dyDescent="0.25">
      <c r="A34" s="1" t="s">
        <v>16</v>
      </c>
      <c r="B34" s="1" t="s">
        <v>39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/>
    </row>
    <row r="35" spans="1:10" x14ac:dyDescent="0.25">
      <c r="A35" s="1" t="s">
        <v>44</v>
      </c>
      <c r="B35" s="1" t="s">
        <v>45</v>
      </c>
      <c r="C35" s="10">
        <v>173140</v>
      </c>
      <c r="D35" s="10"/>
      <c r="E35" s="10"/>
      <c r="F35" s="10"/>
      <c r="G35" s="10">
        <f t="shared" si="0"/>
        <v>173140</v>
      </c>
      <c r="H35" s="16">
        <f t="shared" si="1"/>
        <v>189.43</v>
      </c>
      <c r="I35" s="15">
        <f t="shared" si="2"/>
        <v>0.28199999999999997</v>
      </c>
      <c r="J35" s="15">
        <f>ROUND(G35/185760-1,2)</f>
        <v>-7.0000000000000007E-2</v>
      </c>
    </row>
    <row r="36" spans="1:10" x14ac:dyDescent="0.25">
      <c r="A36" s="1" t="s">
        <v>44</v>
      </c>
      <c r="B36" s="1" t="s">
        <v>46</v>
      </c>
      <c r="C36" s="10"/>
      <c r="D36" s="10"/>
      <c r="E36" s="10">
        <v>34585</v>
      </c>
      <c r="F36" s="10"/>
      <c r="G36" s="10">
        <f t="shared" si="0"/>
        <v>34585</v>
      </c>
      <c r="H36" s="16">
        <f t="shared" si="1"/>
        <v>37.840000000000003</v>
      </c>
      <c r="I36" s="15">
        <f t="shared" si="2"/>
        <v>5.6000000000000001E-2</v>
      </c>
      <c r="J36" s="15">
        <f>ROUND(G36/49482.48-1,2)</f>
        <v>-0.3</v>
      </c>
    </row>
    <row r="37" spans="1:10" x14ac:dyDescent="0.25">
      <c r="A37" s="1" t="s">
        <v>44</v>
      </c>
      <c r="B37" s="1" t="s">
        <v>47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1" t="s">
        <v>48</v>
      </c>
      <c r="B38" s="1" t="s">
        <v>51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30" t="s">
        <v>12</v>
      </c>
      <c r="B39" s="30"/>
      <c r="C39" s="11">
        <f t="shared" ref="C39:H39" si="3">SUM(C8:C38)</f>
        <v>432750</v>
      </c>
      <c r="D39" s="11">
        <f t="shared" si="3"/>
        <v>0</v>
      </c>
      <c r="E39" s="11">
        <f t="shared" si="3"/>
        <v>181594</v>
      </c>
      <c r="F39" s="11">
        <f t="shared" si="3"/>
        <v>0</v>
      </c>
      <c r="G39" s="11">
        <f t="shared" si="3"/>
        <v>614344</v>
      </c>
      <c r="H39" s="14">
        <f t="shared" si="3"/>
        <v>672.16</v>
      </c>
      <c r="I39" s="17"/>
      <c r="J39" s="17"/>
    </row>
    <row r="40" spans="1:10" x14ac:dyDescent="0.25">
      <c r="A40" s="30" t="s">
        <v>14</v>
      </c>
      <c r="B40" s="30"/>
      <c r="C40" s="12">
        <f>ROUND(C39/G39,2)</f>
        <v>0.7</v>
      </c>
      <c r="D40" s="12">
        <f>ROUND(D39/G39,2)</f>
        <v>0</v>
      </c>
      <c r="E40" s="12">
        <f>ROUND(E39/G39,2)</f>
        <v>0.3</v>
      </c>
      <c r="F40" s="12">
        <f>ROUND(F39/G39,2)</f>
        <v>0</v>
      </c>
      <c r="G40" s="13"/>
      <c r="H40" s="13"/>
      <c r="I40" s="17"/>
      <c r="J40" s="17"/>
    </row>
    <row r="41" spans="1:10" x14ac:dyDescent="0.25">
      <c r="A41" s="2" t="s">
        <v>52</v>
      </c>
      <c r="B41" s="2"/>
      <c r="C41" s="13"/>
      <c r="D41" s="13"/>
      <c r="E41" s="13"/>
      <c r="F41" s="13"/>
      <c r="G41" s="13"/>
      <c r="H41" s="13"/>
      <c r="I41" s="17"/>
      <c r="J41" s="17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A45" s="30" t="s">
        <v>53</v>
      </c>
      <c r="B45" s="30"/>
      <c r="C45" s="11" t="s">
        <v>8</v>
      </c>
      <c r="D45" s="11" t="s">
        <v>9</v>
      </c>
      <c r="E45" s="11" t="s">
        <v>10</v>
      </c>
      <c r="F45" s="11" t="s">
        <v>11</v>
      </c>
      <c r="G45" s="11" t="s">
        <v>12</v>
      </c>
      <c r="H45" s="14" t="s">
        <v>13</v>
      </c>
      <c r="I45" s="17"/>
      <c r="J45" s="17"/>
    </row>
    <row r="46" spans="1:10" x14ac:dyDescent="0.25">
      <c r="A46" s="29" t="s">
        <v>54</v>
      </c>
      <c r="B46" s="29"/>
      <c r="C46" s="10">
        <v>259610</v>
      </c>
      <c r="D46" s="10">
        <v>0</v>
      </c>
      <c r="E46" s="10">
        <v>147009</v>
      </c>
      <c r="F46" s="10">
        <v>0</v>
      </c>
      <c r="G46" s="10">
        <f>SUM(C46:F46)</f>
        <v>406619</v>
      </c>
      <c r="H46" s="16">
        <f>ROUND(G46/914,2)</f>
        <v>444.88</v>
      </c>
      <c r="I46" s="9"/>
      <c r="J46" s="9"/>
    </row>
    <row r="47" spans="1:10" x14ac:dyDescent="0.25">
      <c r="A47" s="29" t="s">
        <v>55</v>
      </c>
      <c r="B47" s="29"/>
      <c r="C47" s="10">
        <v>173140</v>
      </c>
      <c r="D47" s="10">
        <v>0</v>
      </c>
      <c r="E47" s="10">
        <v>34585</v>
      </c>
      <c r="F47" s="10">
        <v>0</v>
      </c>
      <c r="G47" s="10">
        <f>SUM(C47:F47)</f>
        <v>207725</v>
      </c>
      <c r="H47" s="16">
        <f>ROUND(G47/914,2)</f>
        <v>227.27</v>
      </c>
      <c r="I47" s="9"/>
      <c r="J47" s="9"/>
    </row>
    <row r="48" spans="1:10" x14ac:dyDescent="0.25">
      <c r="A48" s="29" t="s">
        <v>56</v>
      </c>
      <c r="B48" s="29"/>
      <c r="C48" s="10">
        <v>0</v>
      </c>
      <c r="D48" s="10">
        <v>0</v>
      </c>
      <c r="E48" s="10">
        <v>0</v>
      </c>
      <c r="F48" s="10">
        <v>0</v>
      </c>
      <c r="G48" s="10">
        <f>SUM(C48:F48)</f>
        <v>0</v>
      </c>
      <c r="H48" s="16">
        <f>ROUND(G48/914,2)</f>
        <v>0</v>
      </c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A53" s="30" t="s">
        <v>57</v>
      </c>
      <c r="B53" s="30"/>
      <c r="C53" s="14" t="s">
        <v>2</v>
      </c>
      <c r="D53" s="14">
        <v>2023</v>
      </c>
      <c r="E53" s="14" t="s">
        <v>59</v>
      </c>
      <c r="F53" s="13"/>
      <c r="G53" s="14" t="s">
        <v>60</v>
      </c>
      <c r="H53" s="14" t="s">
        <v>2</v>
      </c>
      <c r="I53" s="12" t="s">
        <v>61</v>
      </c>
      <c r="J53" s="12" t="s">
        <v>59</v>
      </c>
    </row>
    <row r="54" spans="1:10" x14ac:dyDescent="0.25">
      <c r="A54" s="29" t="s">
        <v>58</v>
      </c>
      <c r="B54" s="29"/>
      <c r="C54" s="15">
        <f>ROUND(0.6804, 4)</f>
        <v>0.6804</v>
      </c>
      <c r="D54" s="15">
        <f>ROUND(0.6978, 4)</f>
        <v>0.69779999999999998</v>
      </c>
      <c r="E54" s="15">
        <f>ROUND(0.777, 4)</f>
        <v>0.77700000000000002</v>
      </c>
      <c r="F54" s="8"/>
      <c r="G54" s="14" t="s">
        <v>62</v>
      </c>
      <c r="H54" s="33" t="s">
        <v>63</v>
      </c>
      <c r="I54" s="31" t="s">
        <v>64</v>
      </c>
      <c r="J54" s="31" t="s">
        <v>65</v>
      </c>
    </row>
    <row r="55" spans="1:10" x14ac:dyDescent="0.25">
      <c r="A55" s="29" t="s">
        <v>66</v>
      </c>
      <c r="B55" s="29"/>
      <c r="C55" s="15">
        <f>ROUND(0.6408, 4)</f>
        <v>0.64080000000000004</v>
      </c>
      <c r="D55" s="15">
        <f>ROUND(0.6651, 4)</f>
        <v>0.66510000000000002</v>
      </c>
      <c r="E55" s="15">
        <f>ROUND(0.7608, 4)</f>
        <v>0.76080000000000003</v>
      </c>
      <c r="F55" s="8"/>
      <c r="G55" s="14" t="s">
        <v>67</v>
      </c>
      <c r="H55" s="34"/>
      <c r="I55" s="32"/>
      <c r="J55" s="32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21"/>
      <c r="H57" s="8"/>
      <c r="I57" s="9"/>
      <c r="J57" s="9"/>
    </row>
    <row r="58" spans="1:10" x14ac:dyDescent="0.25">
      <c r="C58" s="8"/>
      <c r="D58" s="8"/>
      <c r="E58" s="8"/>
      <c r="F58" s="8"/>
      <c r="G58" s="21"/>
      <c r="H58" s="8"/>
      <c r="I58" s="9"/>
      <c r="J58" s="9"/>
    </row>
    <row r="59" spans="1:10" x14ac:dyDescent="0.25">
      <c r="A59" s="30" t="s">
        <v>68</v>
      </c>
      <c r="B59" s="30"/>
      <c r="C59" s="14" t="s">
        <v>2</v>
      </c>
      <c r="D59" s="14" t="s">
        <v>178</v>
      </c>
      <c r="E59" s="14" t="s">
        <v>70</v>
      </c>
      <c r="F59" s="14" t="s">
        <v>71</v>
      </c>
      <c r="G59" s="14" t="s">
        <v>72</v>
      </c>
      <c r="H59" s="13"/>
      <c r="I59" s="17"/>
      <c r="J59" s="17"/>
    </row>
    <row r="60" spans="1:10" x14ac:dyDescent="0.25">
      <c r="A60" s="29" t="s">
        <v>73</v>
      </c>
      <c r="B60" s="29"/>
      <c r="C60" s="16">
        <v>189.43</v>
      </c>
      <c r="D60" s="16">
        <v>166.41</v>
      </c>
      <c r="E60" s="16">
        <v>93.87</v>
      </c>
      <c r="F60" s="16">
        <v>57.16</v>
      </c>
      <c r="G60" s="16">
        <f>12/12*C60</f>
        <v>189.43</v>
      </c>
      <c r="H60" s="8"/>
      <c r="I60" s="9"/>
      <c r="J60" s="9"/>
    </row>
    <row r="61" spans="1:10" x14ac:dyDescent="0.25">
      <c r="A61" s="29" t="s">
        <v>74</v>
      </c>
      <c r="B61" s="29"/>
      <c r="C61" s="16">
        <v>80.489999999999995</v>
      </c>
      <c r="D61" s="16">
        <v>82.34</v>
      </c>
      <c r="E61" s="16">
        <v>62.84</v>
      </c>
      <c r="F61" s="16">
        <v>65.39</v>
      </c>
      <c r="G61" s="16">
        <f>12/12*C61</f>
        <v>80.489999999999995</v>
      </c>
      <c r="H61" s="8"/>
      <c r="I61" s="9"/>
      <c r="J61" s="9"/>
    </row>
    <row r="62" spans="1:10" x14ac:dyDescent="0.25">
      <c r="A62" s="29" t="s">
        <v>75</v>
      </c>
      <c r="B62" s="29"/>
      <c r="C62" s="16">
        <v>444.88</v>
      </c>
      <c r="D62" s="16">
        <v>511.5</v>
      </c>
      <c r="E62" s="16">
        <v>295.08999999999997</v>
      </c>
      <c r="F62" s="16">
        <v>289.06</v>
      </c>
      <c r="G62" s="16">
        <f>12/12*C62</f>
        <v>444.88</v>
      </c>
      <c r="H62" s="8"/>
      <c r="I62" s="9"/>
      <c r="J62" s="9"/>
    </row>
    <row r="63" spans="1:10" x14ac:dyDescent="0.25">
      <c r="A63" s="29" t="s">
        <v>76</v>
      </c>
      <c r="B63" s="29"/>
      <c r="C63" s="16">
        <v>227.27</v>
      </c>
      <c r="D63" s="16">
        <v>229.02</v>
      </c>
      <c r="E63" s="16">
        <v>118.05</v>
      </c>
      <c r="F63" s="16">
        <v>81.41</v>
      </c>
      <c r="G63" s="16">
        <f>12/12*C63</f>
        <v>227.27</v>
      </c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28" t="s">
        <v>60</v>
      </c>
      <c r="B66" s="35"/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77</v>
      </c>
      <c r="B67" s="1" t="s">
        <v>179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70</v>
      </c>
      <c r="B68" s="1" t="s">
        <v>79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71</v>
      </c>
      <c r="B69" s="1" t="s">
        <v>80</v>
      </c>
    </row>
    <row r="70" spans="1:10" x14ac:dyDescent="0.25">
      <c r="A70" s="3" t="s">
        <v>72</v>
      </c>
      <c r="B70" s="1" t="s">
        <v>81</v>
      </c>
    </row>
  </sheetData>
  <mergeCells count="19">
    <mergeCell ref="A61:B61"/>
    <mergeCell ref="A62:B62"/>
    <mergeCell ref="A63:B63"/>
    <mergeCell ref="A66:B66"/>
    <mergeCell ref="I54:I55"/>
    <mergeCell ref="J54:J55"/>
    <mergeCell ref="A55:B55"/>
    <mergeCell ref="A59:B59"/>
    <mergeCell ref="A60:B60"/>
    <mergeCell ref="A47:B47"/>
    <mergeCell ref="A48:B48"/>
    <mergeCell ref="A53:B53"/>
    <mergeCell ref="A54:B54"/>
    <mergeCell ref="H54:H55"/>
    <mergeCell ref="C7:G7"/>
    <mergeCell ref="A39:B39"/>
    <mergeCell ref="A40:B40"/>
    <mergeCell ref="A45:B45"/>
    <mergeCell ref="A46:B4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J79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8.710937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180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530</v>
      </c>
    </row>
    <row r="7" spans="1:10" x14ac:dyDescent="0.25">
      <c r="C7" s="28" t="s">
        <v>5</v>
      </c>
      <c r="D7" s="29"/>
      <c r="E7" s="29"/>
      <c r="F7" s="29"/>
      <c r="G7" s="29"/>
    </row>
    <row r="8" spans="1:10" x14ac:dyDescent="0.25">
      <c r="A8" s="25" t="s">
        <v>6</v>
      </c>
      <c r="B8" s="25" t="s">
        <v>7</v>
      </c>
      <c r="C8" s="27" t="s">
        <v>8</v>
      </c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19</v>
      </c>
      <c r="F9" s="10"/>
      <c r="G9" s="10">
        <f t="shared" ref="G9:G36" si="0">SUM(C9:F9)</f>
        <v>19</v>
      </c>
      <c r="H9" s="16">
        <f t="shared" ref="H9:H36" si="1">ROUND(G9/530,2)</f>
        <v>0.04</v>
      </c>
      <c r="I9" s="15">
        <f t="shared" ref="I9:I36" si="2">ROUND(G9/$G$37,3)</f>
        <v>0</v>
      </c>
      <c r="J9" s="15"/>
    </row>
    <row r="10" spans="1:10" x14ac:dyDescent="0.25">
      <c r="A10" s="1" t="s">
        <v>16</v>
      </c>
      <c r="B10" s="1" t="s">
        <v>19</v>
      </c>
      <c r="C10" s="10">
        <v>17980</v>
      </c>
      <c r="D10" s="10"/>
      <c r="E10" s="10">
        <v>2855</v>
      </c>
      <c r="F10" s="10"/>
      <c r="G10" s="10">
        <f t="shared" si="0"/>
        <v>20835</v>
      </c>
      <c r="H10" s="16">
        <f t="shared" si="1"/>
        <v>39.31</v>
      </c>
      <c r="I10" s="15">
        <f t="shared" si="2"/>
        <v>7.2999999999999995E-2</v>
      </c>
      <c r="J10" s="15">
        <f>ROUND(G10/22378.45-1,2)</f>
        <v>-7.0000000000000007E-2</v>
      </c>
    </row>
    <row r="11" spans="1:10" x14ac:dyDescent="0.25">
      <c r="A11" s="1" t="s">
        <v>16</v>
      </c>
      <c r="B11" s="1" t="s">
        <v>20</v>
      </c>
      <c r="C11" s="10">
        <v>23130</v>
      </c>
      <c r="D11" s="10"/>
      <c r="E11" s="10">
        <v>1709</v>
      </c>
      <c r="F11" s="10"/>
      <c r="G11" s="10">
        <f t="shared" si="0"/>
        <v>24839</v>
      </c>
      <c r="H11" s="16">
        <f t="shared" si="1"/>
        <v>46.87</v>
      </c>
      <c r="I11" s="15">
        <f t="shared" si="2"/>
        <v>8.6999999999999994E-2</v>
      </c>
      <c r="J11" s="15">
        <f>ROUND(G11/23033.68-1,2)</f>
        <v>0.08</v>
      </c>
    </row>
    <row r="12" spans="1:10" x14ac:dyDescent="0.25">
      <c r="A12" s="1" t="s">
        <v>16</v>
      </c>
      <c r="B12" s="1" t="s">
        <v>22</v>
      </c>
      <c r="C12" s="10"/>
      <c r="D12" s="10"/>
      <c r="E12" s="10">
        <v>587</v>
      </c>
      <c r="F12" s="10"/>
      <c r="G12" s="10">
        <f t="shared" si="0"/>
        <v>587</v>
      </c>
      <c r="H12" s="16">
        <f t="shared" si="1"/>
        <v>1.1100000000000001</v>
      </c>
      <c r="I12" s="15">
        <f t="shared" si="2"/>
        <v>2E-3</v>
      </c>
      <c r="J12" s="15"/>
    </row>
    <row r="13" spans="1:10" x14ac:dyDescent="0.25">
      <c r="A13" s="1" t="s">
        <v>16</v>
      </c>
      <c r="B13" s="1" t="s">
        <v>23</v>
      </c>
      <c r="C13" s="10"/>
      <c r="D13" s="10"/>
      <c r="E13" s="10">
        <v>35163</v>
      </c>
      <c r="F13" s="10"/>
      <c r="G13" s="10">
        <f t="shared" si="0"/>
        <v>35163</v>
      </c>
      <c r="H13" s="16">
        <f t="shared" si="1"/>
        <v>66.349999999999994</v>
      </c>
      <c r="I13" s="15">
        <f t="shared" si="2"/>
        <v>0.123</v>
      </c>
      <c r="J13" s="15">
        <f>ROUND(G13/6869.27-1,2)</f>
        <v>4.12</v>
      </c>
    </row>
    <row r="14" spans="1:10" x14ac:dyDescent="0.25">
      <c r="A14" s="1" t="s">
        <v>16</v>
      </c>
      <c r="B14" s="1" t="s">
        <v>24</v>
      </c>
      <c r="C14" s="10">
        <v>27070</v>
      </c>
      <c r="D14" s="10"/>
      <c r="E14" s="10">
        <v>9725</v>
      </c>
      <c r="F14" s="10"/>
      <c r="G14" s="10">
        <f t="shared" si="0"/>
        <v>36795</v>
      </c>
      <c r="H14" s="16">
        <f t="shared" si="1"/>
        <v>69.42</v>
      </c>
      <c r="I14" s="15">
        <f t="shared" si="2"/>
        <v>0.129</v>
      </c>
      <c r="J14" s="15">
        <f>ROUND(G14/29957.57-1,2)</f>
        <v>0.23</v>
      </c>
    </row>
    <row r="15" spans="1:10" x14ac:dyDescent="0.25">
      <c r="A15" s="1" t="s">
        <v>16</v>
      </c>
      <c r="B15" s="1" t="s">
        <v>25</v>
      </c>
      <c r="C15" s="10"/>
      <c r="D15" s="10"/>
      <c r="E15" s="10">
        <v>1538</v>
      </c>
      <c r="F15" s="10"/>
      <c r="G15" s="10">
        <f t="shared" si="0"/>
        <v>1538</v>
      </c>
      <c r="H15" s="16">
        <f t="shared" si="1"/>
        <v>2.9</v>
      </c>
      <c r="I15" s="15">
        <f t="shared" si="2"/>
        <v>5.0000000000000001E-3</v>
      </c>
      <c r="J15" s="15"/>
    </row>
    <row r="16" spans="1:10" x14ac:dyDescent="0.25">
      <c r="A16" s="1" t="s">
        <v>16</v>
      </c>
      <c r="B16" s="1" t="s">
        <v>26</v>
      </c>
      <c r="C16" s="10">
        <v>25930</v>
      </c>
      <c r="D16" s="10"/>
      <c r="E16" s="10"/>
      <c r="F16" s="10"/>
      <c r="G16" s="10">
        <f t="shared" si="0"/>
        <v>25930</v>
      </c>
      <c r="H16" s="16">
        <f t="shared" si="1"/>
        <v>48.92</v>
      </c>
      <c r="I16" s="15">
        <f t="shared" si="2"/>
        <v>9.0999999999999998E-2</v>
      </c>
      <c r="J16" s="15">
        <f>ROUND(G16/22730-1,2)</f>
        <v>0.14000000000000001</v>
      </c>
    </row>
    <row r="17" spans="1:10" x14ac:dyDescent="0.25">
      <c r="A17" s="1" t="s">
        <v>16</v>
      </c>
      <c r="B17" s="1" t="s">
        <v>27</v>
      </c>
      <c r="C17" s="10"/>
      <c r="D17" s="10"/>
      <c r="E17" s="10">
        <v>457</v>
      </c>
      <c r="F17" s="10"/>
      <c r="G17" s="10">
        <f t="shared" si="0"/>
        <v>457</v>
      </c>
      <c r="H17" s="16">
        <f t="shared" si="1"/>
        <v>0.86</v>
      </c>
      <c r="I17" s="15">
        <f t="shared" si="2"/>
        <v>2E-3</v>
      </c>
      <c r="J17" s="15"/>
    </row>
    <row r="18" spans="1:10" x14ac:dyDescent="0.25">
      <c r="A18" s="1" t="s">
        <v>16</v>
      </c>
      <c r="B18" s="1" t="s">
        <v>28</v>
      </c>
      <c r="C18" s="10"/>
      <c r="D18" s="10"/>
      <c r="E18" s="10">
        <v>155</v>
      </c>
      <c r="F18" s="10"/>
      <c r="G18" s="10">
        <f t="shared" si="0"/>
        <v>155</v>
      </c>
      <c r="H18" s="16">
        <f t="shared" si="1"/>
        <v>0.28999999999999998</v>
      </c>
      <c r="I18" s="15">
        <f t="shared" si="2"/>
        <v>1E-3</v>
      </c>
      <c r="J18" s="15"/>
    </row>
    <row r="19" spans="1:10" x14ac:dyDescent="0.25">
      <c r="A19" s="1" t="s">
        <v>16</v>
      </c>
      <c r="B19" s="1" t="s">
        <v>42</v>
      </c>
      <c r="C19" s="10"/>
      <c r="D19" s="10"/>
      <c r="E19" s="10">
        <v>50</v>
      </c>
      <c r="F19" s="10"/>
      <c r="G19" s="10">
        <f t="shared" si="0"/>
        <v>50</v>
      </c>
      <c r="H19" s="16">
        <f t="shared" si="1"/>
        <v>0.09</v>
      </c>
      <c r="I19" s="15">
        <f t="shared" si="2"/>
        <v>0</v>
      </c>
      <c r="J19" s="15"/>
    </row>
    <row r="20" spans="1:10" x14ac:dyDescent="0.25">
      <c r="A20" s="1" t="s">
        <v>16</v>
      </c>
      <c r="B20" s="1" t="s">
        <v>29</v>
      </c>
      <c r="C20" s="10"/>
      <c r="D20" s="10"/>
      <c r="E20" s="10">
        <v>755</v>
      </c>
      <c r="F20" s="10"/>
      <c r="G20" s="10">
        <f t="shared" si="0"/>
        <v>755</v>
      </c>
      <c r="H20" s="16">
        <f t="shared" si="1"/>
        <v>1.42</v>
      </c>
      <c r="I20" s="15">
        <f t="shared" si="2"/>
        <v>3.0000000000000001E-3</v>
      </c>
      <c r="J20" s="15"/>
    </row>
    <row r="21" spans="1:10" x14ac:dyDescent="0.25">
      <c r="A21" s="1" t="s">
        <v>16</v>
      </c>
      <c r="B21" s="1" t="s">
        <v>30</v>
      </c>
      <c r="C21" s="10"/>
      <c r="D21" s="10"/>
      <c r="E21" s="10">
        <v>282</v>
      </c>
      <c r="F21" s="10"/>
      <c r="G21" s="10">
        <f t="shared" si="0"/>
        <v>282</v>
      </c>
      <c r="H21" s="16">
        <f t="shared" si="1"/>
        <v>0.53</v>
      </c>
      <c r="I21" s="15">
        <f t="shared" si="2"/>
        <v>1E-3</v>
      </c>
      <c r="J21" s="15"/>
    </row>
    <row r="22" spans="1:10" x14ac:dyDescent="0.25">
      <c r="A22" s="1" t="s">
        <v>16</v>
      </c>
      <c r="B22" s="1" t="s">
        <v>32</v>
      </c>
      <c r="C22" s="10"/>
      <c r="D22" s="10"/>
      <c r="E22" s="10">
        <v>286</v>
      </c>
      <c r="F22" s="10"/>
      <c r="G22" s="10">
        <f t="shared" si="0"/>
        <v>286</v>
      </c>
      <c r="H22" s="16">
        <f t="shared" si="1"/>
        <v>0.54</v>
      </c>
      <c r="I22" s="15">
        <f t="shared" si="2"/>
        <v>1E-3</v>
      </c>
      <c r="J22" s="15"/>
    </row>
    <row r="23" spans="1:10" x14ac:dyDescent="0.25">
      <c r="A23" s="1" t="s">
        <v>16</v>
      </c>
      <c r="B23" s="1" t="s">
        <v>33</v>
      </c>
      <c r="C23" s="10"/>
      <c r="D23" s="10"/>
      <c r="E23" s="10">
        <v>59</v>
      </c>
      <c r="F23" s="10"/>
      <c r="G23" s="10">
        <f t="shared" si="0"/>
        <v>59</v>
      </c>
      <c r="H23" s="16">
        <f t="shared" si="1"/>
        <v>0.11</v>
      </c>
      <c r="I23" s="15">
        <f t="shared" si="2"/>
        <v>0</v>
      </c>
      <c r="J23" s="15"/>
    </row>
    <row r="24" spans="1:10" x14ac:dyDescent="0.25">
      <c r="A24" s="1" t="s">
        <v>16</v>
      </c>
      <c r="B24" s="1" t="s">
        <v>37</v>
      </c>
      <c r="C24" s="10"/>
      <c r="D24" s="10"/>
      <c r="E24" s="10">
        <v>1832</v>
      </c>
      <c r="F24" s="10"/>
      <c r="G24" s="10">
        <f t="shared" si="0"/>
        <v>1832</v>
      </c>
      <c r="H24" s="16">
        <f t="shared" si="1"/>
        <v>3.46</v>
      </c>
      <c r="I24" s="15">
        <f t="shared" si="2"/>
        <v>6.0000000000000001E-3</v>
      </c>
      <c r="J24" s="15"/>
    </row>
    <row r="25" spans="1:10" x14ac:dyDescent="0.25">
      <c r="A25" s="1" t="s">
        <v>16</v>
      </c>
      <c r="B25" s="1" t="s">
        <v>38</v>
      </c>
      <c r="C25" s="10"/>
      <c r="D25" s="10"/>
      <c r="E25" s="10">
        <v>19109</v>
      </c>
      <c r="F25" s="10"/>
      <c r="G25" s="10">
        <f t="shared" si="0"/>
        <v>19109</v>
      </c>
      <c r="H25" s="16">
        <f t="shared" si="1"/>
        <v>36.049999999999997</v>
      </c>
      <c r="I25" s="15">
        <f t="shared" si="2"/>
        <v>6.7000000000000004E-2</v>
      </c>
      <c r="J25" s="15">
        <f>ROUND(G25/4149.16-1,2)</f>
        <v>3.61</v>
      </c>
    </row>
    <row r="26" spans="1:10" x14ac:dyDescent="0.25">
      <c r="A26" s="1" t="s">
        <v>16</v>
      </c>
      <c r="B26" s="1" t="s">
        <v>40</v>
      </c>
      <c r="C26" s="10"/>
      <c r="D26" s="10"/>
      <c r="E26" s="10">
        <v>6970</v>
      </c>
      <c r="F26" s="10"/>
      <c r="G26" s="10">
        <f t="shared" si="0"/>
        <v>6970</v>
      </c>
      <c r="H26" s="16">
        <f t="shared" si="1"/>
        <v>13.15</v>
      </c>
      <c r="I26" s="15">
        <f t="shared" si="2"/>
        <v>2.4E-2</v>
      </c>
      <c r="J26" s="15">
        <f>ROUND(G26/1500.46-1,2)</f>
        <v>3.65</v>
      </c>
    </row>
    <row r="27" spans="1:10" x14ac:dyDescent="0.25">
      <c r="A27" s="1" t="s">
        <v>16</v>
      </c>
      <c r="B27" s="1" t="s">
        <v>41</v>
      </c>
      <c r="C27" s="10"/>
      <c r="D27" s="10"/>
      <c r="E27" s="10">
        <v>13059</v>
      </c>
      <c r="F27" s="10"/>
      <c r="G27" s="10">
        <f t="shared" si="0"/>
        <v>13059</v>
      </c>
      <c r="H27" s="16">
        <f t="shared" si="1"/>
        <v>24.64</v>
      </c>
      <c r="I27" s="15">
        <f t="shared" si="2"/>
        <v>4.5999999999999999E-2</v>
      </c>
      <c r="J27" s="15">
        <f>ROUND(G27/1896.09-1,2)</f>
        <v>5.89</v>
      </c>
    </row>
    <row r="28" spans="1:10" x14ac:dyDescent="0.25">
      <c r="A28" s="1" t="s">
        <v>16</v>
      </c>
      <c r="B28" s="1" t="s">
        <v>36</v>
      </c>
      <c r="C28" s="10"/>
      <c r="D28" s="10"/>
      <c r="E28" s="10"/>
      <c r="F28" s="10"/>
      <c r="G28" s="10">
        <f t="shared" si="0"/>
        <v>0</v>
      </c>
      <c r="H28" s="16">
        <f t="shared" si="1"/>
        <v>0</v>
      </c>
      <c r="I28" s="15">
        <f t="shared" si="2"/>
        <v>0</v>
      </c>
      <c r="J28" s="15">
        <f>ROUND(G28/621.11-1,2)</f>
        <v>-1</v>
      </c>
    </row>
    <row r="29" spans="1:10" x14ac:dyDescent="0.25">
      <c r="A29" s="1" t="s">
        <v>16</v>
      </c>
      <c r="B29" s="1" t="s">
        <v>21</v>
      </c>
      <c r="C29" s="10"/>
      <c r="D29" s="10"/>
      <c r="E29" s="10"/>
      <c r="F29" s="10"/>
      <c r="G29" s="10">
        <f t="shared" si="0"/>
        <v>0</v>
      </c>
      <c r="H29" s="16">
        <f t="shared" si="1"/>
        <v>0</v>
      </c>
      <c r="I29" s="15">
        <f t="shared" si="2"/>
        <v>0</v>
      </c>
      <c r="J29" s="15"/>
    </row>
    <row r="30" spans="1:10" x14ac:dyDescent="0.25">
      <c r="A30" s="1" t="s">
        <v>16</v>
      </c>
      <c r="B30" s="1" t="s">
        <v>31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/>
    </row>
    <row r="31" spans="1:10" x14ac:dyDescent="0.25">
      <c r="A31" s="1" t="s">
        <v>16</v>
      </c>
      <c r="B31" s="1" t="s">
        <v>35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/>
    </row>
    <row r="32" spans="1:10" x14ac:dyDescent="0.25">
      <c r="A32" s="1" t="s">
        <v>16</v>
      </c>
      <c r="B32" s="1" t="s">
        <v>39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/>
    </row>
    <row r="33" spans="1:10" x14ac:dyDescent="0.25">
      <c r="A33" s="1" t="s">
        <v>44</v>
      </c>
      <c r="B33" s="1" t="s">
        <v>45</v>
      </c>
      <c r="C33" s="10">
        <v>69640</v>
      </c>
      <c r="D33" s="10"/>
      <c r="E33" s="10"/>
      <c r="F33" s="10"/>
      <c r="G33" s="10">
        <f t="shared" si="0"/>
        <v>69640</v>
      </c>
      <c r="H33" s="16">
        <f t="shared" si="1"/>
        <v>131.4</v>
      </c>
      <c r="I33" s="15">
        <f t="shared" si="2"/>
        <v>0.24399999999999999</v>
      </c>
      <c r="J33" s="15">
        <f>ROUND(G33/77390-1,2)</f>
        <v>-0.1</v>
      </c>
    </row>
    <row r="34" spans="1:10" x14ac:dyDescent="0.25">
      <c r="A34" s="1" t="s">
        <v>44</v>
      </c>
      <c r="B34" s="1" t="s">
        <v>47</v>
      </c>
      <c r="C34" s="10"/>
      <c r="D34" s="10"/>
      <c r="E34" s="10"/>
      <c r="F34" s="10">
        <v>7300</v>
      </c>
      <c r="G34" s="10">
        <f t="shared" si="0"/>
        <v>7300</v>
      </c>
      <c r="H34" s="16">
        <f t="shared" si="1"/>
        <v>13.77</v>
      </c>
      <c r="I34" s="15">
        <f t="shared" si="2"/>
        <v>2.5999999999999999E-2</v>
      </c>
      <c r="J34" s="15">
        <f>ROUND(G34/6765-1,2)</f>
        <v>0.08</v>
      </c>
    </row>
    <row r="35" spans="1:10" x14ac:dyDescent="0.25">
      <c r="A35" s="1" t="s">
        <v>44</v>
      </c>
      <c r="B35" s="1" t="s">
        <v>46</v>
      </c>
      <c r="C35" s="10"/>
      <c r="D35" s="10"/>
      <c r="E35" s="10">
        <v>20055</v>
      </c>
      <c r="F35" s="10"/>
      <c r="G35" s="10">
        <f t="shared" si="0"/>
        <v>20055</v>
      </c>
      <c r="H35" s="16">
        <f t="shared" si="1"/>
        <v>37.840000000000003</v>
      </c>
      <c r="I35" s="15">
        <f t="shared" si="2"/>
        <v>7.0000000000000007E-2</v>
      </c>
      <c r="J35" s="15">
        <f>ROUND(G35/4137.52-1,2)</f>
        <v>3.85</v>
      </c>
    </row>
    <row r="36" spans="1:10" x14ac:dyDescent="0.25">
      <c r="A36" s="1" t="s">
        <v>48</v>
      </c>
      <c r="B36" s="1" t="s">
        <v>51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/>
    </row>
    <row r="37" spans="1:10" x14ac:dyDescent="0.25">
      <c r="A37" s="30" t="s">
        <v>12</v>
      </c>
      <c r="B37" s="30"/>
      <c r="C37" s="11">
        <f t="shared" ref="C37:H37" si="3">SUM(C8:C36)</f>
        <v>163750</v>
      </c>
      <c r="D37" s="11">
        <f t="shared" si="3"/>
        <v>0</v>
      </c>
      <c r="E37" s="11">
        <f t="shared" si="3"/>
        <v>114665</v>
      </c>
      <c r="F37" s="11">
        <f t="shared" si="3"/>
        <v>7300</v>
      </c>
      <c r="G37" s="11">
        <f t="shared" si="3"/>
        <v>285715</v>
      </c>
      <c r="H37" s="14">
        <f t="shared" si="3"/>
        <v>539.07000000000005</v>
      </c>
      <c r="I37" s="17"/>
      <c r="J37" s="17"/>
    </row>
    <row r="38" spans="1:10" x14ac:dyDescent="0.25">
      <c r="A38" s="30" t="s">
        <v>14</v>
      </c>
      <c r="B38" s="30"/>
      <c r="C38" s="12">
        <f>ROUND(C37/G37,2)</f>
        <v>0.56999999999999995</v>
      </c>
      <c r="D38" s="12">
        <f>ROUND(D37/G37,2)</f>
        <v>0</v>
      </c>
      <c r="E38" s="12">
        <f>ROUND(E37/G37,2)</f>
        <v>0.4</v>
      </c>
      <c r="F38" s="12">
        <f>ROUND(F37/G37,2)</f>
        <v>0.03</v>
      </c>
      <c r="G38" s="13"/>
      <c r="H38" s="13"/>
      <c r="I38" s="17"/>
      <c r="J38" s="17"/>
    </row>
    <row r="39" spans="1:10" x14ac:dyDescent="0.25">
      <c r="A39" s="2" t="s">
        <v>52</v>
      </c>
      <c r="B39" s="2"/>
      <c r="C39" s="13"/>
      <c r="D39" s="13"/>
      <c r="E39" s="13"/>
      <c r="F39" s="13"/>
      <c r="G39" s="13"/>
      <c r="H39" s="13"/>
      <c r="I39" s="17"/>
      <c r="J39" s="17"/>
    </row>
    <row r="40" spans="1:10" x14ac:dyDescent="0.25">
      <c r="C40" s="8"/>
      <c r="D40" s="8"/>
      <c r="E40" s="8"/>
      <c r="F40" s="8"/>
      <c r="G40" s="8"/>
      <c r="H40" s="8"/>
      <c r="I40" s="9"/>
      <c r="J40" s="9"/>
    </row>
    <row r="41" spans="1:10" x14ac:dyDescent="0.25">
      <c r="C41" s="8"/>
      <c r="D41" s="8"/>
      <c r="E41" s="8"/>
      <c r="F41" s="8"/>
      <c r="G41" s="8"/>
      <c r="H41" s="8"/>
      <c r="I41" s="9"/>
      <c r="J41" s="9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A43" s="30" t="s">
        <v>53</v>
      </c>
      <c r="B43" s="30"/>
      <c r="C43" s="11" t="s">
        <v>8</v>
      </c>
      <c r="D43" s="11" t="s">
        <v>9</v>
      </c>
      <c r="E43" s="11" t="s">
        <v>10</v>
      </c>
      <c r="F43" s="11" t="s">
        <v>11</v>
      </c>
      <c r="G43" s="11" t="s">
        <v>12</v>
      </c>
      <c r="H43" s="14" t="s">
        <v>13</v>
      </c>
      <c r="I43" s="17"/>
      <c r="J43" s="17"/>
    </row>
    <row r="44" spans="1:10" x14ac:dyDescent="0.25">
      <c r="A44" s="29" t="s">
        <v>54</v>
      </c>
      <c r="B44" s="29"/>
      <c r="C44" s="10">
        <v>94110</v>
      </c>
      <c r="D44" s="10">
        <v>0</v>
      </c>
      <c r="E44" s="10">
        <v>94610</v>
      </c>
      <c r="F44" s="10">
        <v>0</v>
      </c>
      <c r="G44" s="10">
        <f>SUM(C44:F44)</f>
        <v>188720</v>
      </c>
      <c r="H44" s="16">
        <f>ROUND(G44/530,2)</f>
        <v>356.08</v>
      </c>
      <c r="I44" s="9"/>
      <c r="J44" s="9"/>
    </row>
    <row r="45" spans="1:10" x14ac:dyDescent="0.25">
      <c r="A45" s="29" t="s">
        <v>55</v>
      </c>
      <c r="B45" s="29"/>
      <c r="C45" s="10">
        <v>69640</v>
      </c>
      <c r="D45" s="10">
        <v>0</v>
      </c>
      <c r="E45" s="10">
        <v>20055</v>
      </c>
      <c r="F45" s="10">
        <v>7300</v>
      </c>
      <c r="G45" s="10">
        <f>SUM(C45:F45)</f>
        <v>96995</v>
      </c>
      <c r="H45" s="16">
        <f>ROUND(G45/530,2)</f>
        <v>183.01</v>
      </c>
      <c r="I45" s="9"/>
      <c r="J45" s="9"/>
    </row>
    <row r="46" spans="1:10" x14ac:dyDescent="0.25">
      <c r="A46" s="29" t="s">
        <v>56</v>
      </c>
      <c r="B46" s="29"/>
      <c r="C46" s="10">
        <v>0</v>
      </c>
      <c r="D46" s="10">
        <v>0</v>
      </c>
      <c r="E46" s="10">
        <v>0</v>
      </c>
      <c r="F46" s="10">
        <v>0</v>
      </c>
      <c r="G46" s="10">
        <f>SUM(C46:F46)</f>
        <v>0</v>
      </c>
      <c r="H46" s="16">
        <f>ROUND(G46/530,2)</f>
        <v>0</v>
      </c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A51" s="30" t="s">
        <v>57</v>
      </c>
      <c r="B51" s="30"/>
      <c r="C51" s="14" t="s">
        <v>2</v>
      </c>
      <c r="D51" s="14">
        <v>2023</v>
      </c>
      <c r="E51" s="14" t="s">
        <v>59</v>
      </c>
      <c r="F51" s="13"/>
      <c r="G51" s="14" t="s">
        <v>60</v>
      </c>
      <c r="H51" s="14" t="s">
        <v>2</v>
      </c>
      <c r="I51" s="12" t="s">
        <v>61</v>
      </c>
      <c r="J51" s="12" t="s">
        <v>59</v>
      </c>
    </row>
    <row r="52" spans="1:10" x14ac:dyDescent="0.25">
      <c r="A52" s="29" t="s">
        <v>58</v>
      </c>
      <c r="B52" s="29"/>
      <c r="C52" s="15">
        <f>ROUND(0.7091, 4)</f>
        <v>0.70909999999999995</v>
      </c>
      <c r="D52" s="15">
        <f>ROUND(0.595, 4)</f>
        <v>0.59499999999999997</v>
      </c>
      <c r="E52" s="15">
        <f>ROUND(0.777, 4)</f>
        <v>0.77700000000000002</v>
      </c>
      <c r="F52" s="8"/>
      <c r="G52" s="14" t="s">
        <v>62</v>
      </c>
      <c r="H52" s="33" t="s">
        <v>63</v>
      </c>
      <c r="I52" s="31" t="s">
        <v>64</v>
      </c>
      <c r="J52" s="31" t="s">
        <v>65</v>
      </c>
    </row>
    <row r="53" spans="1:10" x14ac:dyDescent="0.25">
      <c r="A53" s="29" t="s">
        <v>66</v>
      </c>
      <c r="B53" s="29"/>
      <c r="C53" s="15">
        <f>ROUND(0.6781, 4)</f>
        <v>0.67810000000000004</v>
      </c>
      <c r="D53" s="15">
        <f>ROUND(0.5522, 4)</f>
        <v>0.55220000000000002</v>
      </c>
      <c r="E53" s="15">
        <f>ROUND(0.7608, 4)</f>
        <v>0.76080000000000003</v>
      </c>
      <c r="F53" s="8"/>
      <c r="G53" s="14" t="s">
        <v>67</v>
      </c>
      <c r="H53" s="34"/>
      <c r="I53" s="32"/>
      <c r="J53" s="32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A57" s="30" t="s">
        <v>68</v>
      </c>
      <c r="B57" s="30"/>
      <c r="C57" s="14" t="s">
        <v>2</v>
      </c>
      <c r="D57" s="14" t="s">
        <v>181</v>
      </c>
      <c r="E57" s="14" t="s">
        <v>70</v>
      </c>
      <c r="F57" s="14" t="s">
        <v>71</v>
      </c>
      <c r="G57" s="20" t="s">
        <v>72</v>
      </c>
      <c r="H57" s="13"/>
      <c r="I57" s="17"/>
      <c r="J57" s="17"/>
    </row>
    <row r="58" spans="1:10" x14ac:dyDescent="0.25">
      <c r="A58" s="29" t="s">
        <v>73</v>
      </c>
      <c r="B58" s="29"/>
      <c r="C58" s="16">
        <v>131.4</v>
      </c>
      <c r="D58" s="16">
        <v>116</v>
      </c>
      <c r="E58" s="16">
        <v>93.87</v>
      </c>
      <c r="F58" s="16">
        <v>57.16</v>
      </c>
      <c r="G58" s="22">
        <f>12/12*C58</f>
        <v>131.4</v>
      </c>
      <c r="H58" s="8"/>
      <c r="I58" s="9"/>
      <c r="J58" s="9"/>
    </row>
    <row r="59" spans="1:10" x14ac:dyDescent="0.25">
      <c r="A59" s="29" t="s">
        <v>74</v>
      </c>
      <c r="B59" s="29"/>
      <c r="C59" s="16">
        <v>48.92</v>
      </c>
      <c r="D59" s="16">
        <v>50.94</v>
      </c>
      <c r="E59" s="16">
        <v>62.84</v>
      </c>
      <c r="F59" s="16">
        <v>65.39</v>
      </c>
      <c r="G59" s="16">
        <f>12/12*C59</f>
        <v>48.92</v>
      </c>
      <c r="H59" s="8"/>
      <c r="I59" s="9"/>
      <c r="J59" s="9"/>
    </row>
    <row r="60" spans="1:10" x14ac:dyDescent="0.25">
      <c r="A60" s="29" t="s">
        <v>75</v>
      </c>
      <c r="B60" s="29"/>
      <c r="C60" s="16">
        <v>356.08</v>
      </c>
      <c r="D60" s="16">
        <v>265.33</v>
      </c>
      <c r="E60" s="16">
        <v>295.08999999999997</v>
      </c>
      <c r="F60" s="16">
        <v>289.06</v>
      </c>
      <c r="G60" s="16">
        <f>12/12*C60</f>
        <v>356.08</v>
      </c>
      <c r="H60" s="8"/>
      <c r="I60" s="9"/>
      <c r="J60" s="9"/>
    </row>
    <row r="61" spans="1:10" x14ac:dyDescent="0.25">
      <c r="A61" s="29" t="s">
        <v>76</v>
      </c>
      <c r="B61" s="29"/>
      <c r="C61" s="16">
        <v>183.01</v>
      </c>
      <c r="D61" s="16">
        <v>151.59</v>
      </c>
      <c r="E61" s="16">
        <v>118.05</v>
      </c>
      <c r="F61" s="16">
        <v>81.41</v>
      </c>
      <c r="G61" s="16">
        <f>12/12*C61</f>
        <v>183.01</v>
      </c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A64" s="28" t="s">
        <v>60</v>
      </c>
      <c r="B64" s="35"/>
      <c r="C64" s="8"/>
      <c r="D64" s="8"/>
      <c r="E64" s="8"/>
      <c r="F64" s="8"/>
      <c r="G64" s="8"/>
      <c r="H64" s="8"/>
      <c r="I64" s="9"/>
      <c r="J64" s="9"/>
    </row>
    <row r="65" spans="1:10" x14ac:dyDescent="0.25">
      <c r="A65" s="3" t="s">
        <v>77</v>
      </c>
      <c r="B65" s="1" t="s">
        <v>182</v>
      </c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3" t="s">
        <v>70</v>
      </c>
      <c r="B66" s="1" t="s">
        <v>79</v>
      </c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71</v>
      </c>
      <c r="B67" s="1" t="s">
        <v>80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72</v>
      </c>
      <c r="B68" s="1" t="s">
        <v>81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  <row r="71" spans="1:10" x14ac:dyDescent="0.25"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  <row r="76" spans="1:10" x14ac:dyDescent="0.25">
      <c r="C76" s="8"/>
      <c r="D76" s="8"/>
      <c r="E76" s="8"/>
      <c r="F76" s="8"/>
      <c r="G76" s="8"/>
      <c r="H76" s="8"/>
      <c r="I76" s="9"/>
      <c r="J76" s="9"/>
    </row>
    <row r="77" spans="1:10" x14ac:dyDescent="0.25">
      <c r="C77" s="8"/>
      <c r="D77" s="8"/>
      <c r="E77" s="8"/>
      <c r="F77" s="8"/>
      <c r="G77" s="8"/>
      <c r="H77" s="8"/>
      <c r="I77" s="9"/>
      <c r="J77" s="9"/>
    </row>
    <row r="78" spans="1:10" x14ac:dyDescent="0.25">
      <c r="C78" s="8"/>
      <c r="D78" s="8"/>
      <c r="E78" s="8"/>
      <c r="F78" s="8"/>
      <c r="G78" s="8"/>
      <c r="H78" s="8"/>
      <c r="I78" s="9"/>
      <c r="J78" s="9"/>
    </row>
    <row r="79" spans="1:10" x14ac:dyDescent="0.25">
      <c r="C79" s="8"/>
      <c r="D79" s="8"/>
      <c r="E79" s="8"/>
      <c r="F79" s="8"/>
      <c r="G79" s="8"/>
      <c r="H79" s="8"/>
      <c r="I79" s="9"/>
      <c r="J79" s="9"/>
    </row>
  </sheetData>
  <mergeCells count="19">
    <mergeCell ref="A59:B59"/>
    <mergeCell ref="A60:B60"/>
    <mergeCell ref="A61:B61"/>
    <mergeCell ref="A64:B64"/>
    <mergeCell ref="I52:I53"/>
    <mergeCell ref="J52:J53"/>
    <mergeCell ref="A53:B53"/>
    <mergeCell ref="A57:B57"/>
    <mergeCell ref="A58:B58"/>
    <mergeCell ref="A45:B45"/>
    <mergeCell ref="A46:B46"/>
    <mergeCell ref="A51:B51"/>
    <mergeCell ref="A52:B52"/>
    <mergeCell ref="H52:H53"/>
    <mergeCell ref="C7:G7"/>
    <mergeCell ref="A37:B37"/>
    <mergeCell ref="A38:B38"/>
    <mergeCell ref="A43:B43"/>
    <mergeCell ref="A44:B4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J79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32.710937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183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10520</v>
      </c>
    </row>
    <row r="7" spans="1:10" x14ac:dyDescent="0.25">
      <c r="C7" s="28" t="s">
        <v>5</v>
      </c>
      <c r="D7" s="29"/>
      <c r="E7" s="29"/>
      <c r="F7" s="29"/>
      <c r="G7" s="29"/>
    </row>
    <row r="8" spans="1:10" x14ac:dyDescent="0.25">
      <c r="A8" s="25" t="s">
        <v>6</v>
      </c>
      <c r="B8" s="25" t="s">
        <v>7</v>
      </c>
      <c r="C8" s="27" t="s">
        <v>8</v>
      </c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211</v>
      </c>
      <c r="F9" s="10"/>
      <c r="G9" s="10">
        <f t="shared" ref="G9:G47" si="0">SUM(C9:F9)</f>
        <v>211</v>
      </c>
      <c r="H9" s="16">
        <f t="shared" ref="H9:H47" si="1">ROUND(G9/10520,2)</f>
        <v>0.02</v>
      </c>
      <c r="I9" s="15">
        <f t="shared" ref="I9:I47" si="2">ROUND(G9/$G$48,3)</f>
        <v>0</v>
      </c>
      <c r="J9" s="15">
        <f>ROUND(G9/518-1,2)</f>
        <v>-0.59</v>
      </c>
    </row>
    <row r="10" spans="1:10" x14ac:dyDescent="0.25">
      <c r="A10" s="1" t="s">
        <v>16</v>
      </c>
      <c r="B10" s="1" t="s">
        <v>18</v>
      </c>
      <c r="C10" s="10"/>
      <c r="D10" s="10"/>
      <c r="E10" s="10">
        <v>40180</v>
      </c>
      <c r="F10" s="10">
        <v>28340</v>
      </c>
      <c r="G10" s="10">
        <f t="shared" si="0"/>
        <v>68520</v>
      </c>
      <c r="H10" s="16">
        <f t="shared" si="1"/>
        <v>6.51</v>
      </c>
      <c r="I10" s="15">
        <f t="shared" si="2"/>
        <v>1.6E-2</v>
      </c>
      <c r="J10" s="15">
        <f>ROUND(G10/54400-1,2)</f>
        <v>0.26</v>
      </c>
    </row>
    <row r="11" spans="1:10" x14ac:dyDescent="0.25">
      <c r="A11" s="1" t="s">
        <v>16</v>
      </c>
      <c r="B11" s="1" t="s">
        <v>90</v>
      </c>
      <c r="C11" s="10"/>
      <c r="D11" s="10"/>
      <c r="E11" s="10">
        <v>13230</v>
      </c>
      <c r="F11" s="10">
        <v>1420</v>
      </c>
      <c r="G11" s="10">
        <f t="shared" si="0"/>
        <v>14650</v>
      </c>
      <c r="H11" s="16">
        <f t="shared" si="1"/>
        <v>1.39</v>
      </c>
      <c r="I11" s="15">
        <f t="shared" si="2"/>
        <v>3.0000000000000001E-3</v>
      </c>
      <c r="J11" s="15">
        <f>ROUND(G11/11960-1,2)</f>
        <v>0.22</v>
      </c>
    </row>
    <row r="12" spans="1:10" x14ac:dyDescent="0.25">
      <c r="A12" s="1" t="s">
        <v>16</v>
      </c>
      <c r="B12" s="1" t="s">
        <v>19</v>
      </c>
      <c r="C12" s="10">
        <v>373000</v>
      </c>
      <c r="D12" s="10"/>
      <c r="E12" s="10"/>
      <c r="F12" s="10">
        <v>7460</v>
      </c>
      <c r="G12" s="10">
        <f t="shared" si="0"/>
        <v>380460</v>
      </c>
      <c r="H12" s="16">
        <f t="shared" si="1"/>
        <v>36.17</v>
      </c>
      <c r="I12" s="15">
        <f t="shared" si="2"/>
        <v>8.6999999999999994E-2</v>
      </c>
      <c r="J12" s="15">
        <f>ROUND(G12/368740-1,2)</f>
        <v>0.03</v>
      </c>
    </row>
    <row r="13" spans="1:10" x14ac:dyDescent="0.25">
      <c r="A13" s="1" t="s">
        <v>16</v>
      </c>
      <c r="B13" s="1" t="s">
        <v>20</v>
      </c>
      <c r="C13" s="10">
        <v>478350</v>
      </c>
      <c r="D13" s="10"/>
      <c r="E13" s="10"/>
      <c r="F13" s="10">
        <v>1910</v>
      </c>
      <c r="G13" s="10">
        <f t="shared" si="0"/>
        <v>480260</v>
      </c>
      <c r="H13" s="16">
        <f t="shared" si="1"/>
        <v>45.65</v>
      </c>
      <c r="I13" s="15">
        <f t="shared" si="2"/>
        <v>0.11</v>
      </c>
      <c r="J13" s="15">
        <f>ROUND(G13/450610-1,2)</f>
        <v>7.0000000000000007E-2</v>
      </c>
    </row>
    <row r="14" spans="1:10" x14ac:dyDescent="0.25">
      <c r="A14" s="1" t="s">
        <v>16</v>
      </c>
      <c r="B14" s="1" t="s">
        <v>95</v>
      </c>
      <c r="C14" s="10"/>
      <c r="D14" s="10"/>
      <c r="E14" s="10">
        <v>293</v>
      </c>
      <c r="F14" s="10"/>
      <c r="G14" s="10">
        <f t="shared" si="0"/>
        <v>293</v>
      </c>
      <c r="H14" s="16">
        <f t="shared" si="1"/>
        <v>0.03</v>
      </c>
      <c r="I14" s="15">
        <f t="shared" si="2"/>
        <v>0</v>
      </c>
      <c r="J14" s="15">
        <f>ROUND(G14/411-1,2)</f>
        <v>-0.28999999999999998</v>
      </c>
    </row>
    <row r="15" spans="1:10" x14ac:dyDescent="0.25">
      <c r="A15" s="1" t="s">
        <v>16</v>
      </c>
      <c r="B15" s="1" t="s">
        <v>21</v>
      </c>
      <c r="C15" s="10"/>
      <c r="D15" s="10"/>
      <c r="E15" s="10">
        <v>1199</v>
      </c>
      <c r="F15" s="10"/>
      <c r="G15" s="10">
        <f t="shared" si="0"/>
        <v>1199</v>
      </c>
      <c r="H15" s="16">
        <f t="shared" si="1"/>
        <v>0.11</v>
      </c>
      <c r="I15" s="15">
        <f t="shared" si="2"/>
        <v>0</v>
      </c>
      <c r="J15" s="15">
        <f>ROUND(G15/1010-1,2)</f>
        <v>0.19</v>
      </c>
    </row>
    <row r="16" spans="1:10" x14ac:dyDescent="0.25">
      <c r="A16" s="1" t="s">
        <v>16</v>
      </c>
      <c r="B16" s="1" t="s">
        <v>22</v>
      </c>
      <c r="C16" s="10"/>
      <c r="D16" s="10"/>
      <c r="E16" s="10">
        <v>3800</v>
      </c>
      <c r="F16" s="10"/>
      <c r="G16" s="10">
        <f t="shared" si="0"/>
        <v>3800</v>
      </c>
      <c r="H16" s="16">
        <f t="shared" si="1"/>
        <v>0.36</v>
      </c>
      <c r="I16" s="15">
        <f t="shared" si="2"/>
        <v>1E-3</v>
      </c>
      <c r="J16" s="15">
        <f>ROUND(G16/5460-1,2)</f>
        <v>-0.3</v>
      </c>
    </row>
    <row r="17" spans="1:10" x14ac:dyDescent="0.25">
      <c r="A17" s="1" t="s">
        <v>16</v>
      </c>
      <c r="B17" s="1" t="s">
        <v>23</v>
      </c>
      <c r="C17" s="10"/>
      <c r="D17" s="10"/>
      <c r="E17" s="10">
        <v>231350</v>
      </c>
      <c r="F17" s="10"/>
      <c r="G17" s="10">
        <f t="shared" si="0"/>
        <v>231350</v>
      </c>
      <c r="H17" s="16">
        <f t="shared" si="1"/>
        <v>21.99</v>
      </c>
      <c r="I17" s="15">
        <f t="shared" si="2"/>
        <v>5.2999999999999999E-2</v>
      </c>
      <c r="J17" s="15">
        <f>ROUND(G17/231260-1,2)</f>
        <v>0</v>
      </c>
    </row>
    <row r="18" spans="1:10" x14ac:dyDescent="0.25">
      <c r="A18" s="1" t="s">
        <v>16</v>
      </c>
      <c r="B18" s="1" t="s">
        <v>24</v>
      </c>
      <c r="C18" s="10">
        <v>580130</v>
      </c>
      <c r="D18" s="10"/>
      <c r="E18" s="10">
        <v>32710</v>
      </c>
      <c r="F18" s="10">
        <v>2530</v>
      </c>
      <c r="G18" s="10">
        <f t="shared" si="0"/>
        <v>615370</v>
      </c>
      <c r="H18" s="16">
        <f t="shared" si="1"/>
        <v>58.5</v>
      </c>
      <c r="I18" s="15">
        <f t="shared" si="2"/>
        <v>0.14000000000000001</v>
      </c>
      <c r="J18" s="15">
        <f>ROUND(G18/590830-1,2)</f>
        <v>0.04</v>
      </c>
    </row>
    <row r="19" spans="1:10" x14ac:dyDescent="0.25">
      <c r="A19" s="1" t="s">
        <v>16</v>
      </c>
      <c r="B19" s="1" t="s">
        <v>25</v>
      </c>
      <c r="C19" s="10"/>
      <c r="D19" s="10"/>
      <c r="E19" s="10">
        <v>21595</v>
      </c>
      <c r="F19" s="10"/>
      <c r="G19" s="10">
        <f t="shared" si="0"/>
        <v>21595</v>
      </c>
      <c r="H19" s="16">
        <f t="shared" si="1"/>
        <v>2.0499999999999998</v>
      </c>
      <c r="I19" s="15">
        <f t="shared" si="2"/>
        <v>5.0000000000000001E-3</v>
      </c>
      <c r="J19" s="15">
        <f>ROUND(G19/16835-1,2)</f>
        <v>0.28000000000000003</v>
      </c>
    </row>
    <row r="20" spans="1:10" x14ac:dyDescent="0.25">
      <c r="A20" s="1" t="s">
        <v>16</v>
      </c>
      <c r="B20" s="1" t="s">
        <v>26</v>
      </c>
      <c r="C20" s="10">
        <v>762610</v>
      </c>
      <c r="D20" s="10"/>
      <c r="E20" s="10"/>
      <c r="F20" s="10">
        <v>4270</v>
      </c>
      <c r="G20" s="10">
        <f t="shared" si="0"/>
        <v>766880</v>
      </c>
      <c r="H20" s="16">
        <f t="shared" si="1"/>
        <v>72.900000000000006</v>
      </c>
      <c r="I20" s="15">
        <f t="shared" si="2"/>
        <v>0.17499999999999999</v>
      </c>
      <c r="J20" s="15">
        <f>ROUND(G20/749300-1,2)</f>
        <v>0.02</v>
      </c>
    </row>
    <row r="21" spans="1:10" x14ac:dyDescent="0.25">
      <c r="A21" s="1" t="s">
        <v>16</v>
      </c>
      <c r="B21" s="1" t="s">
        <v>27</v>
      </c>
      <c r="C21" s="10"/>
      <c r="D21" s="10"/>
      <c r="E21" s="10">
        <v>1712</v>
      </c>
      <c r="F21" s="10"/>
      <c r="G21" s="10">
        <f t="shared" si="0"/>
        <v>1712</v>
      </c>
      <c r="H21" s="16">
        <f t="shared" si="1"/>
        <v>0.16</v>
      </c>
      <c r="I21" s="15">
        <f t="shared" si="2"/>
        <v>0</v>
      </c>
      <c r="J21" s="15">
        <f>ROUND(G21/1162-1,2)</f>
        <v>0.47</v>
      </c>
    </row>
    <row r="22" spans="1:10" x14ac:dyDescent="0.25">
      <c r="A22" s="1" t="s">
        <v>16</v>
      </c>
      <c r="B22" s="1" t="s">
        <v>28</v>
      </c>
      <c r="C22" s="10"/>
      <c r="D22" s="10"/>
      <c r="E22" s="10">
        <v>1125</v>
      </c>
      <c r="F22" s="10"/>
      <c r="G22" s="10">
        <f t="shared" si="0"/>
        <v>1125</v>
      </c>
      <c r="H22" s="16">
        <f t="shared" si="1"/>
        <v>0.11</v>
      </c>
      <c r="I22" s="15">
        <f t="shared" si="2"/>
        <v>0</v>
      </c>
      <c r="J22" s="15">
        <f>ROUND(G22/787-1,2)</f>
        <v>0.43</v>
      </c>
    </row>
    <row r="23" spans="1:10" x14ac:dyDescent="0.25">
      <c r="A23" s="1" t="s">
        <v>16</v>
      </c>
      <c r="B23" s="1" t="s">
        <v>42</v>
      </c>
      <c r="C23" s="10"/>
      <c r="D23" s="10"/>
      <c r="E23" s="10">
        <v>372</v>
      </c>
      <c r="F23" s="10"/>
      <c r="G23" s="10">
        <f t="shared" si="0"/>
        <v>372</v>
      </c>
      <c r="H23" s="16">
        <f t="shared" si="1"/>
        <v>0.04</v>
      </c>
      <c r="I23" s="15">
        <f t="shared" si="2"/>
        <v>0</v>
      </c>
      <c r="J23" s="15">
        <f>ROUND(G23/688-1,2)</f>
        <v>-0.46</v>
      </c>
    </row>
    <row r="24" spans="1:10" x14ac:dyDescent="0.25">
      <c r="A24" s="1" t="s">
        <v>16</v>
      </c>
      <c r="B24" s="1" t="s">
        <v>29</v>
      </c>
      <c r="C24" s="10"/>
      <c r="D24" s="10"/>
      <c r="E24" s="10">
        <v>12790</v>
      </c>
      <c r="F24" s="10"/>
      <c r="G24" s="10">
        <f t="shared" si="0"/>
        <v>12790</v>
      </c>
      <c r="H24" s="16">
        <f t="shared" si="1"/>
        <v>1.22</v>
      </c>
      <c r="I24" s="15">
        <f t="shared" si="2"/>
        <v>3.0000000000000001E-3</v>
      </c>
      <c r="J24" s="15">
        <f>ROUND(G24/23830-1,2)</f>
        <v>-0.46</v>
      </c>
    </row>
    <row r="25" spans="1:10" x14ac:dyDescent="0.25">
      <c r="A25" s="1" t="s">
        <v>16</v>
      </c>
      <c r="B25" s="1" t="s">
        <v>30</v>
      </c>
      <c r="C25" s="10"/>
      <c r="D25" s="10"/>
      <c r="E25" s="10">
        <v>3470</v>
      </c>
      <c r="F25" s="10"/>
      <c r="G25" s="10">
        <f t="shared" si="0"/>
        <v>3470</v>
      </c>
      <c r="H25" s="16">
        <f t="shared" si="1"/>
        <v>0.33</v>
      </c>
      <c r="I25" s="15">
        <f t="shared" si="2"/>
        <v>1E-3</v>
      </c>
      <c r="J25" s="15">
        <f>ROUND(G25/3550-1,2)</f>
        <v>-0.02</v>
      </c>
    </row>
    <row r="26" spans="1:10" x14ac:dyDescent="0.25">
      <c r="A26" s="1" t="s">
        <v>16</v>
      </c>
      <c r="B26" s="1" t="s">
        <v>31</v>
      </c>
      <c r="C26" s="10"/>
      <c r="D26" s="10"/>
      <c r="E26" s="10">
        <v>1950</v>
      </c>
      <c r="F26" s="10"/>
      <c r="G26" s="10">
        <f t="shared" si="0"/>
        <v>1950</v>
      </c>
      <c r="H26" s="16">
        <f t="shared" si="1"/>
        <v>0.19</v>
      </c>
      <c r="I26" s="15">
        <f t="shared" si="2"/>
        <v>0</v>
      </c>
      <c r="J26" s="15">
        <f>ROUND(G26/2050-1,2)</f>
        <v>-0.05</v>
      </c>
    </row>
    <row r="27" spans="1:10" x14ac:dyDescent="0.25">
      <c r="A27" s="1" t="s">
        <v>16</v>
      </c>
      <c r="B27" s="1" t="s">
        <v>32</v>
      </c>
      <c r="C27" s="10"/>
      <c r="D27" s="10"/>
      <c r="E27" s="10">
        <v>9185</v>
      </c>
      <c r="F27" s="10"/>
      <c r="G27" s="10">
        <f t="shared" si="0"/>
        <v>9185</v>
      </c>
      <c r="H27" s="16">
        <f t="shared" si="1"/>
        <v>0.87</v>
      </c>
      <c r="I27" s="15">
        <f t="shared" si="2"/>
        <v>2E-3</v>
      </c>
      <c r="J27" s="15">
        <f>ROUND(G27/5750-1,2)</f>
        <v>0.6</v>
      </c>
    </row>
    <row r="28" spans="1:10" x14ac:dyDescent="0.25">
      <c r="A28" s="1" t="s">
        <v>16</v>
      </c>
      <c r="B28" s="1" t="s">
        <v>33</v>
      </c>
      <c r="C28" s="10"/>
      <c r="D28" s="10">
        <v>773</v>
      </c>
      <c r="E28" s="10">
        <v>143</v>
      </c>
      <c r="F28" s="10"/>
      <c r="G28" s="10">
        <f t="shared" si="0"/>
        <v>916</v>
      </c>
      <c r="H28" s="16">
        <f t="shared" si="1"/>
        <v>0.09</v>
      </c>
      <c r="I28" s="15">
        <f t="shared" si="2"/>
        <v>0</v>
      </c>
      <c r="J28" s="15">
        <f>ROUND(G28/1228-1,2)</f>
        <v>-0.25</v>
      </c>
    </row>
    <row r="29" spans="1:10" x14ac:dyDescent="0.25">
      <c r="A29" s="1" t="s">
        <v>16</v>
      </c>
      <c r="B29" s="1" t="s">
        <v>34</v>
      </c>
      <c r="C29" s="10"/>
      <c r="D29" s="10"/>
      <c r="E29" s="10">
        <v>5655</v>
      </c>
      <c r="F29" s="10"/>
      <c r="G29" s="10">
        <f t="shared" si="0"/>
        <v>5655</v>
      </c>
      <c r="H29" s="16">
        <f t="shared" si="1"/>
        <v>0.54</v>
      </c>
      <c r="I29" s="15">
        <f t="shared" si="2"/>
        <v>1E-3</v>
      </c>
      <c r="J29" s="15">
        <f>ROUND(G29/6140-1,2)</f>
        <v>-0.08</v>
      </c>
    </row>
    <row r="30" spans="1:10" x14ac:dyDescent="0.25">
      <c r="A30" s="1" t="s">
        <v>16</v>
      </c>
      <c r="B30" s="1" t="s">
        <v>35</v>
      </c>
      <c r="C30" s="10"/>
      <c r="D30" s="10">
        <v>240</v>
      </c>
      <c r="E30" s="10">
        <v>350</v>
      </c>
      <c r="F30" s="10"/>
      <c r="G30" s="10">
        <f t="shared" si="0"/>
        <v>590</v>
      </c>
      <c r="H30" s="16">
        <f t="shared" si="1"/>
        <v>0.06</v>
      </c>
      <c r="I30" s="15">
        <f t="shared" si="2"/>
        <v>0</v>
      </c>
      <c r="J30" s="15">
        <f>ROUND(G30/1500-1,2)</f>
        <v>-0.61</v>
      </c>
    </row>
    <row r="31" spans="1:10" x14ac:dyDescent="0.25">
      <c r="A31" s="1" t="s">
        <v>16</v>
      </c>
      <c r="B31" s="1" t="s">
        <v>43</v>
      </c>
      <c r="C31" s="10"/>
      <c r="D31" s="10"/>
      <c r="E31" s="10">
        <v>4300</v>
      </c>
      <c r="F31" s="10"/>
      <c r="G31" s="10">
        <f t="shared" si="0"/>
        <v>4300</v>
      </c>
      <c r="H31" s="16">
        <f t="shared" si="1"/>
        <v>0.41</v>
      </c>
      <c r="I31" s="15">
        <f t="shared" si="2"/>
        <v>1E-3</v>
      </c>
      <c r="J31" s="15">
        <f>ROUND(G31/20460-1,2)</f>
        <v>-0.79</v>
      </c>
    </row>
    <row r="32" spans="1:10" x14ac:dyDescent="0.25">
      <c r="A32" s="1" t="s">
        <v>16</v>
      </c>
      <c r="B32" s="1" t="s">
        <v>37</v>
      </c>
      <c r="C32" s="10"/>
      <c r="D32" s="10"/>
      <c r="E32" s="10">
        <v>20400</v>
      </c>
      <c r="F32" s="10"/>
      <c r="G32" s="10">
        <f t="shared" si="0"/>
        <v>20400</v>
      </c>
      <c r="H32" s="16">
        <f t="shared" si="1"/>
        <v>1.94</v>
      </c>
      <c r="I32" s="15">
        <f t="shared" si="2"/>
        <v>5.0000000000000001E-3</v>
      </c>
      <c r="J32" s="15">
        <f>ROUND(G32/42870-1,2)</f>
        <v>-0.52</v>
      </c>
    </row>
    <row r="33" spans="1:10" x14ac:dyDescent="0.25">
      <c r="A33" s="1" t="s">
        <v>16</v>
      </c>
      <c r="B33" s="1" t="s">
        <v>38</v>
      </c>
      <c r="C33" s="10"/>
      <c r="D33" s="10"/>
      <c r="E33" s="10">
        <v>320780</v>
      </c>
      <c r="F33" s="10"/>
      <c r="G33" s="10">
        <f t="shared" si="0"/>
        <v>320780</v>
      </c>
      <c r="H33" s="16">
        <f t="shared" si="1"/>
        <v>30.49</v>
      </c>
      <c r="I33" s="15">
        <f t="shared" si="2"/>
        <v>7.2999999999999995E-2</v>
      </c>
      <c r="J33" s="15">
        <f>ROUND(G33/231660-1,2)</f>
        <v>0.38</v>
      </c>
    </row>
    <row r="34" spans="1:10" x14ac:dyDescent="0.25">
      <c r="A34" s="1" t="s">
        <v>16</v>
      </c>
      <c r="B34" s="1" t="s">
        <v>39</v>
      </c>
      <c r="C34" s="10"/>
      <c r="D34" s="10"/>
      <c r="E34" s="10">
        <v>16100</v>
      </c>
      <c r="F34" s="10"/>
      <c r="G34" s="10">
        <f t="shared" si="0"/>
        <v>16100</v>
      </c>
      <c r="H34" s="16">
        <f t="shared" si="1"/>
        <v>1.53</v>
      </c>
      <c r="I34" s="15">
        <f t="shared" si="2"/>
        <v>4.0000000000000001E-3</v>
      </c>
      <c r="J34" s="15">
        <f>ROUND(G34/15930-1,2)</f>
        <v>0.01</v>
      </c>
    </row>
    <row r="35" spans="1:10" x14ac:dyDescent="0.25">
      <c r="A35" s="1" t="s">
        <v>16</v>
      </c>
      <c r="B35" s="1" t="s">
        <v>40</v>
      </c>
      <c r="C35" s="10"/>
      <c r="D35" s="10"/>
      <c r="E35" s="10">
        <v>74890</v>
      </c>
      <c r="F35" s="10"/>
      <c r="G35" s="10">
        <f t="shared" si="0"/>
        <v>74890</v>
      </c>
      <c r="H35" s="16">
        <f t="shared" si="1"/>
        <v>7.12</v>
      </c>
      <c r="I35" s="15">
        <f t="shared" si="2"/>
        <v>1.7000000000000001E-2</v>
      </c>
      <c r="J35" s="15">
        <f>ROUND(G35/55390-1,2)</f>
        <v>0.35</v>
      </c>
    </row>
    <row r="36" spans="1:10" x14ac:dyDescent="0.25">
      <c r="A36" s="1" t="s">
        <v>16</v>
      </c>
      <c r="B36" s="1" t="s">
        <v>41</v>
      </c>
      <c r="C36" s="10"/>
      <c r="D36" s="10"/>
      <c r="E36" s="10">
        <v>259010</v>
      </c>
      <c r="F36" s="10">
        <v>1600</v>
      </c>
      <c r="G36" s="10">
        <f t="shared" si="0"/>
        <v>260610</v>
      </c>
      <c r="H36" s="16">
        <f t="shared" si="1"/>
        <v>24.77</v>
      </c>
      <c r="I36" s="15">
        <f t="shared" si="2"/>
        <v>5.8999999999999997E-2</v>
      </c>
      <c r="J36" s="15">
        <f>ROUND(G36/182030-1,2)</f>
        <v>0.43</v>
      </c>
    </row>
    <row r="37" spans="1:10" x14ac:dyDescent="0.25">
      <c r="A37" s="1" t="s">
        <v>16</v>
      </c>
      <c r="B37" s="1" t="s">
        <v>36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>
        <f>ROUND(G37/9310-1,2)</f>
        <v>-1</v>
      </c>
    </row>
    <row r="38" spans="1:10" x14ac:dyDescent="0.25">
      <c r="A38" s="1" t="s">
        <v>16</v>
      </c>
      <c r="B38" s="1" t="s">
        <v>99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1" t="s">
        <v>16</v>
      </c>
      <c r="B39" s="1" t="s">
        <v>184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1" t="s">
        <v>16</v>
      </c>
      <c r="B40" s="1" t="s">
        <v>172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/>
    </row>
    <row r="41" spans="1:10" x14ac:dyDescent="0.25">
      <c r="A41" s="1" t="s">
        <v>44</v>
      </c>
      <c r="B41" s="1" t="s">
        <v>45</v>
      </c>
      <c r="C41" s="10">
        <v>798250</v>
      </c>
      <c r="D41" s="10"/>
      <c r="E41" s="10"/>
      <c r="F41" s="10">
        <v>2900</v>
      </c>
      <c r="G41" s="10">
        <f t="shared" si="0"/>
        <v>801150</v>
      </c>
      <c r="H41" s="16">
        <f t="shared" si="1"/>
        <v>76.150000000000006</v>
      </c>
      <c r="I41" s="15">
        <f t="shared" si="2"/>
        <v>0.183</v>
      </c>
      <c r="J41" s="15">
        <f>ROUND(G41/781280-1,2)</f>
        <v>0.03</v>
      </c>
    </row>
    <row r="42" spans="1:10" x14ac:dyDescent="0.25">
      <c r="A42" s="1" t="s">
        <v>44</v>
      </c>
      <c r="B42" s="1" t="s">
        <v>47</v>
      </c>
      <c r="C42" s="10"/>
      <c r="D42" s="10"/>
      <c r="E42" s="10"/>
      <c r="F42" s="10">
        <v>107360</v>
      </c>
      <c r="G42" s="10">
        <f t="shared" si="0"/>
        <v>107360</v>
      </c>
      <c r="H42" s="16">
        <f t="shared" si="1"/>
        <v>10.210000000000001</v>
      </c>
      <c r="I42" s="15">
        <f t="shared" si="2"/>
        <v>2.4E-2</v>
      </c>
      <c r="J42" s="15">
        <f>ROUND(G42/56460-1,2)</f>
        <v>0.9</v>
      </c>
    </row>
    <row r="43" spans="1:10" x14ac:dyDescent="0.25">
      <c r="A43" s="1" t="s">
        <v>44</v>
      </c>
      <c r="B43" s="1" t="s">
        <v>46</v>
      </c>
      <c r="C43" s="10"/>
      <c r="D43" s="10"/>
      <c r="E43" s="10">
        <v>157150</v>
      </c>
      <c r="F43" s="10"/>
      <c r="G43" s="10">
        <f t="shared" si="0"/>
        <v>157150</v>
      </c>
      <c r="H43" s="16">
        <f t="shared" si="1"/>
        <v>14.94</v>
      </c>
      <c r="I43" s="15">
        <f t="shared" si="2"/>
        <v>3.5999999999999997E-2</v>
      </c>
      <c r="J43" s="15">
        <f>ROUND(G43/107480-1,2)</f>
        <v>0.46</v>
      </c>
    </row>
    <row r="44" spans="1:10" x14ac:dyDescent="0.25">
      <c r="A44" s="1" t="s">
        <v>48</v>
      </c>
      <c r="B44" s="1" t="s">
        <v>51</v>
      </c>
      <c r="C44" s="10"/>
      <c r="D44" s="10"/>
      <c r="E44" s="10"/>
      <c r="F44" s="10"/>
      <c r="G44" s="10">
        <f t="shared" si="0"/>
        <v>0</v>
      </c>
      <c r="H44" s="16">
        <f t="shared" si="1"/>
        <v>0</v>
      </c>
      <c r="I44" s="15">
        <f t="shared" si="2"/>
        <v>0</v>
      </c>
      <c r="J44" s="15"/>
    </row>
    <row r="45" spans="1:10" x14ac:dyDescent="0.25">
      <c r="A45" s="1" t="s">
        <v>48</v>
      </c>
      <c r="B45" s="1" t="s">
        <v>50</v>
      </c>
      <c r="C45" s="10"/>
      <c r="D45" s="10"/>
      <c r="E45" s="10"/>
      <c r="F45" s="10"/>
      <c r="G45" s="10">
        <f t="shared" si="0"/>
        <v>0</v>
      </c>
      <c r="H45" s="16">
        <f t="shared" si="1"/>
        <v>0</v>
      </c>
      <c r="I45" s="15">
        <f t="shared" si="2"/>
        <v>0</v>
      </c>
      <c r="J45" s="15"/>
    </row>
    <row r="46" spans="1:10" x14ac:dyDescent="0.25">
      <c r="A46" s="1" t="s">
        <v>48</v>
      </c>
      <c r="B46" s="1" t="s">
        <v>94</v>
      </c>
      <c r="C46" s="10"/>
      <c r="D46" s="10"/>
      <c r="E46" s="10"/>
      <c r="F46" s="10"/>
      <c r="G46" s="10">
        <f t="shared" si="0"/>
        <v>0</v>
      </c>
      <c r="H46" s="16">
        <f t="shared" si="1"/>
        <v>0</v>
      </c>
      <c r="I46" s="15">
        <f t="shared" si="2"/>
        <v>0</v>
      </c>
      <c r="J46" s="15"/>
    </row>
    <row r="47" spans="1:10" x14ac:dyDescent="0.25">
      <c r="A47" s="1" t="s">
        <v>48</v>
      </c>
      <c r="B47" s="1" t="s">
        <v>168</v>
      </c>
      <c r="C47" s="10"/>
      <c r="D47" s="10"/>
      <c r="E47" s="10"/>
      <c r="F47" s="10"/>
      <c r="G47" s="10">
        <f t="shared" si="0"/>
        <v>0</v>
      </c>
      <c r="H47" s="16">
        <f t="shared" si="1"/>
        <v>0</v>
      </c>
      <c r="I47" s="15">
        <f t="shared" si="2"/>
        <v>0</v>
      </c>
      <c r="J47" s="15"/>
    </row>
    <row r="48" spans="1:10" x14ac:dyDescent="0.25">
      <c r="A48" s="30" t="s">
        <v>12</v>
      </c>
      <c r="B48" s="30"/>
      <c r="C48" s="11">
        <f t="shared" ref="C48:H48" si="3">SUM(C8:C47)</f>
        <v>2992340</v>
      </c>
      <c r="D48" s="11">
        <f t="shared" si="3"/>
        <v>1013</v>
      </c>
      <c r="E48" s="11">
        <f t="shared" si="3"/>
        <v>1233950</v>
      </c>
      <c r="F48" s="11">
        <f t="shared" si="3"/>
        <v>157790</v>
      </c>
      <c r="G48" s="11">
        <f t="shared" si="3"/>
        <v>4385093</v>
      </c>
      <c r="H48" s="14">
        <f t="shared" si="3"/>
        <v>416.85</v>
      </c>
      <c r="I48" s="17"/>
      <c r="J48" s="17"/>
    </row>
    <row r="49" spans="1:10" x14ac:dyDescent="0.25">
      <c r="A49" s="30" t="s">
        <v>14</v>
      </c>
      <c r="B49" s="30"/>
      <c r="C49" s="12">
        <f>ROUND(C48/G48,2)</f>
        <v>0.68</v>
      </c>
      <c r="D49" s="12">
        <f>ROUND(D48/G48,2)</f>
        <v>0</v>
      </c>
      <c r="E49" s="12">
        <f>ROUND(E48/G48,2)</f>
        <v>0.28000000000000003</v>
      </c>
      <c r="F49" s="12">
        <f>ROUND(F48/G48,2)</f>
        <v>0.04</v>
      </c>
      <c r="G49" s="13"/>
      <c r="H49" s="13"/>
      <c r="I49" s="17"/>
      <c r="J49" s="17"/>
    </row>
    <row r="50" spans="1:10" x14ac:dyDescent="0.25">
      <c r="A50" s="2" t="s">
        <v>52</v>
      </c>
      <c r="B50" s="2"/>
      <c r="C50" s="13"/>
      <c r="D50" s="13"/>
      <c r="E50" s="13"/>
      <c r="F50" s="13"/>
      <c r="G50" s="13"/>
      <c r="H50" s="13"/>
      <c r="I50" s="17"/>
      <c r="J50" s="17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A54" s="30" t="s">
        <v>53</v>
      </c>
      <c r="B54" s="30"/>
      <c r="C54" s="11" t="s">
        <v>8</v>
      </c>
      <c r="D54" s="11" t="s">
        <v>9</v>
      </c>
      <c r="E54" s="11" t="s">
        <v>10</v>
      </c>
      <c r="F54" s="11" t="s">
        <v>11</v>
      </c>
      <c r="G54" s="11" t="s">
        <v>12</v>
      </c>
      <c r="H54" s="14" t="s">
        <v>13</v>
      </c>
      <c r="I54" s="17"/>
      <c r="J54" s="17"/>
    </row>
    <row r="55" spans="1:10" x14ac:dyDescent="0.25">
      <c r="A55" s="29" t="s">
        <v>54</v>
      </c>
      <c r="B55" s="29"/>
      <c r="C55" s="10">
        <v>2194090</v>
      </c>
      <c r="D55" s="10">
        <v>1013</v>
      </c>
      <c r="E55" s="10">
        <v>1076800</v>
      </c>
      <c r="F55" s="10">
        <v>47530</v>
      </c>
      <c r="G55" s="10">
        <f>SUM(C55:F55)</f>
        <v>3319433</v>
      </c>
      <c r="H55" s="16">
        <f>ROUND(G55/10520,2)</f>
        <v>315.54000000000002</v>
      </c>
      <c r="I55" s="9"/>
      <c r="J55" s="9"/>
    </row>
    <row r="56" spans="1:10" x14ac:dyDescent="0.25">
      <c r="A56" s="29" t="s">
        <v>55</v>
      </c>
      <c r="B56" s="29"/>
      <c r="C56" s="10">
        <v>798250</v>
      </c>
      <c r="D56" s="10">
        <v>0</v>
      </c>
      <c r="E56" s="10">
        <v>157150</v>
      </c>
      <c r="F56" s="10">
        <v>110260</v>
      </c>
      <c r="G56" s="10">
        <f>SUM(C56:F56)</f>
        <v>1065660</v>
      </c>
      <c r="H56" s="16">
        <f>ROUND(G56/10520,2)</f>
        <v>101.3</v>
      </c>
      <c r="I56" s="9"/>
      <c r="J56" s="9"/>
    </row>
    <row r="57" spans="1:10" x14ac:dyDescent="0.25">
      <c r="A57" s="29" t="s">
        <v>56</v>
      </c>
      <c r="B57" s="29"/>
      <c r="C57" s="10">
        <v>0</v>
      </c>
      <c r="D57" s="10">
        <v>0</v>
      </c>
      <c r="E57" s="10">
        <v>0</v>
      </c>
      <c r="F57" s="10">
        <v>0</v>
      </c>
      <c r="G57" s="23">
        <f>SUM(C57:F57)</f>
        <v>0</v>
      </c>
      <c r="H57" s="16">
        <f>ROUND(G57/10520,2)</f>
        <v>0</v>
      </c>
      <c r="I57" s="9"/>
      <c r="J57" s="9"/>
    </row>
    <row r="58" spans="1:10" x14ac:dyDescent="0.25">
      <c r="C58" s="8"/>
      <c r="D58" s="8"/>
      <c r="E58" s="8"/>
      <c r="F58" s="8"/>
      <c r="G58" s="21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A62" s="30" t="s">
        <v>57</v>
      </c>
      <c r="B62" s="30"/>
      <c r="C62" s="14" t="s">
        <v>2</v>
      </c>
      <c r="D62" s="14">
        <v>2023</v>
      </c>
      <c r="E62" s="14" t="s">
        <v>59</v>
      </c>
      <c r="F62" s="13"/>
      <c r="G62" s="14" t="s">
        <v>60</v>
      </c>
      <c r="H62" s="14" t="s">
        <v>2</v>
      </c>
      <c r="I62" s="12" t="s">
        <v>61</v>
      </c>
      <c r="J62" s="12" t="s">
        <v>59</v>
      </c>
    </row>
    <row r="63" spans="1:10" x14ac:dyDescent="0.25">
      <c r="A63" s="29" t="s">
        <v>58</v>
      </c>
      <c r="B63" s="29"/>
      <c r="C63" s="15">
        <f>ROUND(0.8032, 4)</f>
        <v>0.80320000000000003</v>
      </c>
      <c r="D63" s="15">
        <f>ROUND(0.7897, 4)</f>
        <v>0.78969999999999996</v>
      </c>
      <c r="E63" s="15">
        <f>ROUND(0.777, 4)</f>
        <v>0.77700000000000002</v>
      </c>
      <c r="F63" s="8"/>
      <c r="G63" s="14" t="s">
        <v>62</v>
      </c>
      <c r="H63" s="33" t="s">
        <v>63</v>
      </c>
      <c r="I63" s="31" t="s">
        <v>64</v>
      </c>
      <c r="J63" s="31" t="s">
        <v>65</v>
      </c>
    </row>
    <row r="64" spans="1:10" x14ac:dyDescent="0.25">
      <c r="A64" s="29" t="s">
        <v>66</v>
      </c>
      <c r="B64" s="29"/>
      <c r="C64" s="15">
        <f>ROUND(0.7915, 4)</f>
        <v>0.79149999999999998</v>
      </c>
      <c r="D64" s="15">
        <f>ROUND(0.7772, 4)</f>
        <v>0.7772</v>
      </c>
      <c r="E64" s="15">
        <f>ROUND(0.7608, 4)</f>
        <v>0.76080000000000003</v>
      </c>
      <c r="F64" s="8"/>
      <c r="G64" s="14" t="s">
        <v>67</v>
      </c>
      <c r="H64" s="34"/>
      <c r="I64" s="32"/>
      <c r="J64" s="32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0" t="s">
        <v>68</v>
      </c>
      <c r="B68" s="30"/>
      <c r="C68" s="14" t="s">
        <v>2</v>
      </c>
      <c r="D68" s="14" t="s">
        <v>185</v>
      </c>
      <c r="E68" s="14" t="s">
        <v>70</v>
      </c>
      <c r="F68" s="14" t="s">
        <v>71</v>
      </c>
      <c r="G68" s="14" t="s">
        <v>72</v>
      </c>
      <c r="H68" s="13"/>
      <c r="I68" s="17"/>
      <c r="J68" s="17"/>
    </row>
    <row r="69" spans="1:10" x14ac:dyDescent="0.25">
      <c r="A69" s="29" t="s">
        <v>73</v>
      </c>
      <c r="B69" s="29"/>
      <c r="C69" s="16">
        <v>76.150000000000006</v>
      </c>
      <c r="D69" s="16">
        <v>72.260000000000005</v>
      </c>
      <c r="E69" s="16">
        <v>93.87</v>
      </c>
      <c r="F69" s="16">
        <v>57.16</v>
      </c>
      <c r="G69" s="16">
        <f>12/12*C69</f>
        <v>76.150000000000006</v>
      </c>
      <c r="H69" s="8"/>
      <c r="I69" s="9"/>
      <c r="J69" s="9"/>
    </row>
    <row r="70" spans="1:10" x14ac:dyDescent="0.25">
      <c r="A70" s="29" t="s">
        <v>74</v>
      </c>
      <c r="B70" s="29"/>
      <c r="C70" s="1">
        <v>72.900000000000006</v>
      </c>
      <c r="D70" s="1">
        <v>72.569999999999993</v>
      </c>
      <c r="E70" s="1">
        <v>62.84</v>
      </c>
      <c r="F70" s="1">
        <v>65.39</v>
      </c>
      <c r="G70" s="1">
        <f>12/12*C70</f>
        <v>72.900000000000006</v>
      </c>
    </row>
    <row r="71" spans="1:10" x14ac:dyDescent="0.25">
      <c r="A71" s="29" t="s">
        <v>75</v>
      </c>
      <c r="B71" s="29"/>
      <c r="C71" s="1">
        <v>319.05</v>
      </c>
      <c r="D71" s="1">
        <v>295.45</v>
      </c>
      <c r="E71" s="1">
        <v>295.08999999999997</v>
      </c>
      <c r="F71" s="1">
        <v>289.06</v>
      </c>
      <c r="G71" s="1">
        <f>12/12*C71</f>
        <v>319.05</v>
      </c>
    </row>
    <row r="72" spans="1:10" x14ac:dyDescent="0.25">
      <c r="A72" s="29" t="s">
        <v>76</v>
      </c>
      <c r="B72" s="29"/>
      <c r="C72" s="1">
        <v>101.3</v>
      </c>
      <c r="D72" s="1">
        <v>93.67</v>
      </c>
      <c r="E72" s="1">
        <v>118.05</v>
      </c>
      <c r="F72" s="1">
        <v>81.41</v>
      </c>
      <c r="G72" s="1">
        <f>12/12*C72</f>
        <v>101.3</v>
      </c>
    </row>
    <row r="75" spans="1:10" x14ac:dyDescent="0.25">
      <c r="A75" s="28" t="s">
        <v>60</v>
      </c>
      <c r="B75" s="35"/>
    </row>
    <row r="76" spans="1:10" x14ac:dyDescent="0.25">
      <c r="A76" s="3" t="s">
        <v>77</v>
      </c>
      <c r="B76" s="1" t="s">
        <v>186</v>
      </c>
    </row>
    <row r="77" spans="1:10" x14ac:dyDescent="0.25">
      <c r="A77" s="3" t="s">
        <v>70</v>
      </c>
      <c r="B77" s="1" t="s">
        <v>79</v>
      </c>
    </row>
    <row r="78" spans="1:10" x14ac:dyDescent="0.25">
      <c r="A78" s="3" t="s">
        <v>71</v>
      </c>
      <c r="B78" s="1" t="s">
        <v>80</v>
      </c>
    </row>
    <row r="79" spans="1:10" x14ac:dyDescent="0.25">
      <c r="A79" s="3" t="s">
        <v>72</v>
      </c>
      <c r="B79" s="1" t="s">
        <v>81</v>
      </c>
    </row>
  </sheetData>
  <mergeCells count="19">
    <mergeCell ref="A70:B70"/>
    <mergeCell ref="A71:B71"/>
    <mergeCell ref="A72:B72"/>
    <mergeCell ref="A75:B75"/>
    <mergeCell ref="I63:I64"/>
    <mergeCell ref="J63:J64"/>
    <mergeCell ref="A64:B64"/>
    <mergeCell ref="A68:B68"/>
    <mergeCell ref="A69:B69"/>
    <mergeCell ref="A56:B56"/>
    <mergeCell ref="A57:B57"/>
    <mergeCell ref="A62:B62"/>
    <mergeCell ref="A63:B63"/>
    <mergeCell ref="H63:H64"/>
    <mergeCell ref="C7:G7"/>
    <mergeCell ref="A48:B48"/>
    <mergeCell ref="A49:B49"/>
    <mergeCell ref="A54:B54"/>
    <mergeCell ref="A55:B5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J74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0.425781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187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652</v>
      </c>
    </row>
    <row r="7" spans="1:10" x14ac:dyDescent="0.25">
      <c r="C7" s="28" t="s">
        <v>5</v>
      </c>
      <c r="D7" s="29"/>
      <c r="E7" s="29"/>
      <c r="F7" s="29"/>
      <c r="G7" s="29"/>
    </row>
    <row r="8" spans="1:10" x14ac:dyDescent="0.25">
      <c r="A8" s="25" t="s">
        <v>6</v>
      </c>
      <c r="B8" s="25" t="s">
        <v>7</v>
      </c>
      <c r="C8" s="27" t="s">
        <v>8</v>
      </c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14</v>
      </c>
      <c r="F9" s="10"/>
      <c r="G9" s="10">
        <f t="shared" ref="G9:G37" si="0">SUM(C9:F9)</f>
        <v>14</v>
      </c>
      <c r="H9" s="16">
        <f t="shared" ref="H9:H37" si="1">ROUND(G9/652,2)</f>
        <v>0.02</v>
      </c>
      <c r="I9" s="15">
        <f t="shared" ref="I9:I37" si="2">ROUND(G9/$G$38,3)</f>
        <v>0</v>
      </c>
      <c r="J9" s="15"/>
    </row>
    <row r="10" spans="1:10" x14ac:dyDescent="0.25">
      <c r="A10" s="1" t="s">
        <v>16</v>
      </c>
      <c r="B10" s="1" t="s">
        <v>19</v>
      </c>
      <c r="C10" s="10">
        <v>23950</v>
      </c>
      <c r="D10" s="10"/>
      <c r="E10" s="10">
        <v>2606</v>
      </c>
      <c r="F10" s="10"/>
      <c r="G10" s="10">
        <f t="shared" si="0"/>
        <v>26556</v>
      </c>
      <c r="H10" s="16">
        <f t="shared" si="1"/>
        <v>40.729999999999997</v>
      </c>
      <c r="I10" s="15">
        <f t="shared" si="2"/>
        <v>0.108</v>
      </c>
      <c r="J10" s="15">
        <f>ROUND(G10/21399.54-1,2)</f>
        <v>0.24</v>
      </c>
    </row>
    <row r="11" spans="1:10" x14ac:dyDescent="0.25">
      <c r="A11" s="1" t="s">
        <v>16</v>
      </c>
      <c r="B11" s="1" t="s">
        <v>20</v>
      </c>
      <c r="C11" s="10">
        <v>21980</v>
      </c>
      <c r="D11" s="10"/>
      <c r="E11" s="10">
        <v>1169</v>
      </c>
      <c r="F11" s="10"/>
      <c r="G11" s="10">
        <f t="shared" si="0"/>
        <v>23149</v>
      </c>
      <c r="H11" s="16">
        <f t="shared" si="1"/>
        <v>35.5</v>
      </c>
      <c r="I11" s="15">
        <f t="shared" si="2"/>
        <v>9.4E-2</v>
      </c>
      <c r="J11" s="15">
        <f>ROUND(G11/22830-1,2)</f>
        <v>0.01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58</v>
      </c>
      <c r="F12" s="10"/>
      <c r="G12" s="10">
        <f t="shared" si="0"/>
        <v>58</v>
      </c>
      <c r="H12" s="16">
        <f t="shared" si="1"/>
        <v>0.09</v>
      </c>
      <c r="I12" s="15">
        <f t="shared" si="2"/>
        <v>0</v>
      </c>
      <c r="J12" s="15"/>
    </row>
    <row r="13" spans="1:10" x14ac:dyDescent="0.25">
      <c r="A13" s="1" t="s">
        <v>16</v>
      </c>
      <c r="B13" s="1" t="s">
        <v>22</v>
      </c>
      <c r="C13" s="10"/>
      <c r="D13" s="10"/>
      <c r="E13" s="10">
        <v>996</v>
      </c>
      <c r="F13" s="10"/>
      <c r="G13" s="10">
        <f t="shared" si="0"/>
        <v>996</v>
      </c>
      <c r="H13" s="16">
        <f t="shared" si="1"/>
        <v>1.53</v>
      </c>
      <c r="I13" s="15">
        <f t="shared" si="2"/>
        <v>4.0000000000000001E-3</v>
      </c>
      <c r="J13" s="15"/>
    </row>
    <row r="14" spans="1:10" x14ac:dyDescent="0.25">
      <c r="A14" s="1" t="s">
        <v>16</v>
      </c>
      <c r="B14" s="1" t="s">
        <v>23</v>
      </c>
      <c r="C14" s="10"/>
      <c r="D14" s="10"/>
      <c r="E14" s="10">
        <v>18372</v>
      </c>
      <c r="F14" s="10"/>
      <c r="G14" s="10">
        <f t="shared" si="0"/>
        <v>18372</v>
      </c>
      <c r="H14" s="16">
        <f t="shared" si="1"/>
        <v>28.18</v>
      </c>
      <c r="I14" s="15">
        <f t="shared" si="2"/>
        <v>7.4999999999999997E-2</v>
      </c>
      <c r="J14" s="15">
        <f>ROUND(G14/5202.37-1,2)</f>
        <v>2.5299999999999998</v>
      </c>
    </row>
    <row r="15" spans="1:10" x14ac:dyDescent="0.25">
      <c r="A15" s="1" t="s">
        <v>16</v>
      </c>
      <c r="B15" s="1" t="s">
        <v>24</v>
      </c>
      <c r="C15" s="10">
        <v>18310</v>
      </c>
      <c r="D15" s="10"/>
      <c r="E15" s="10">
        <v>7115</v>
      </c>
      <c r="F15" s="10"/>
      <c r="G15" s="10">
        <f t="shared" si="0"/>
        <v>25425</v>
      </c>
      <c r="H15" s="16">
        <f t="shared" si="1"/>
        <v>39</v>
      </c>
      <c r="I15" s="15">
        <f t="shared" si="2"/>
        <v>0.10299999999999999</v>
      </c>
      <c r="J15" s="15">
        <f>ROUND(G15/20702.97-1,2)</f>
        <v>0.23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1055</v>
      </c>
      <c r="F16" s="10"/>
      <c r="G16" s="10">
        <f t="shared" si="0"/>
        <v>1055</v>
      </c>
      <c r="H16" s="16">
        <f t="shared" si="1"/>
        <v>1.62</v>
      </c>
      <c r="I16" s="15">
        <f t="shared" si="2"/>
        <v>4.0000000000000001E-3</v>
      </c>
      <c r="J16" s="15"/>
    </row>
    <row r="17" spans="1:10" x14ac:dyDescent="0.25">
      <c r="A17" s="1" t="s">
        <v>16</v>
      </c>
      <c r="B17" s="1" t="s">
        <v>26</v>
      </c>
      <c r="C17" s="10">
        <v>21880</v>
      </c>
      <c r="D17" s="10"/>
      <c r="E17" s="10"/>
      <c r="F17" s="10"/>
      <c r="G17" s="10">
        <f t="shared" si="0"/>
        <v>21880</v>
      </c>
      <c r="H17" s="16">
        <f t="shared" si="1"/>
        <v>33.56</v>
      </c>
      <c r="I17" s="15">
        <f t="shared" si="2"/>
        <v>8.8999999999999996E-2</v>
      </c>
      <c r="J17" s="15">
        <f>ROUND(G17/22970-1,2)</f>
        <v>-0.05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236</v>
      </c>
      <c r="F18" s="10"/>
      <c r="G18" s="10">
        <f t="shared" si="0"/>
        <v>236</v>
      </c>
      <c r="H18" s="16">
        <f t="shared" si="1"/>
        <v>0.36</v>
      </c>
      <c r="I18" s="15">
        <f t="shared" si="2"/>
        <v>1E-3</v>
      </c>
      <c r="J18" s="15"/>
    </row>
    <row r="19" spans="1:10" x14ac:dyDescent="0.25">
      <c r="A19" s="1" t="s">
        <v>16</v>
      </c>
      <c r="B19" s="1" t="s">
        <v>28</v>
      </c>
      <c r="C19" s="10"/>
      <c r="D19" s="10"/>
      <c r="E19" s="10">
        <v>147</v>
      </c>
      <c r="F19" s="10"/>
      <c r="G19" s="10">
        <f t="shared" si="0"/>
        <v>147</v>
      </c>
      <c r="H19" s="16">
        <f t="shared" si="1"/>
        <v>0.23</v>
      </c>
      <c r="I19" s="15">
        <f t="shared" si="2"/>
        <v>1E-3</v>
      </c>
      <c r="J19" s="15"/>
    </row>
    <row r="20" spans="1:10" x14ac:dyDescent="0.25">
      <c r="A20" s="1" t="s">
        <v>16</v>
      </c>
      <c r="B20" s="1" t="s">
        <v>42</v>
      </c>
      <c r="C20" s="10"/>
      <c r="D20" s="10"/>
      <c r="E20" s="10">
        <v>21</v>
      </c>
      <c r="F20" s="10"/>
      <c r="G20" s="10">
        <f t="shared" si="0"/>
        <v>21</v>
      </c>
      <c r="H20" s="16">
        <f t="shared" si="1"/>
        <v>0.03</v>
      </c>
      <c r="I20" s="15">
        <f t="shared" si="2"/>
        <v>0</v>
      </c>
      <c r="J20" s="15">
        <f>ROUND(G20/37.24-1,2)</f>
        <v>-0.44</v>
      </c>
    </row>
    <row r="21" spans="1:10" x14ac:dyDescent="0.25">
      <c r="A21" s="1" t="s">
        <v>16</v>
      </c>
      <c r="B21" s="1" t="s">
        <v>29</v>
      </c>
      <c r="C21" s="10"/>
      <c r="D21" s="10"/>
      <c r="E21" s="10">
        <v>499</v>
      </c>
      <c r="F21" s="10"/>
      <c r="G21" s="10">
        <f t="shared" si="0"/>
        <v>499</v>
      </c>
      <c r="H21" s="16">
        <f t="shared" si="1"/>
        <v>0.77</v>
      </c>
      <c r="I21" s="15">
        <f t="shared" si="2"/>
        <v>2E-3</v>
      </c>
      <c r="J21" s="15">
        <f>ROUND(G21/428.57-1,2)</f>
        <v>0.16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153</v>
      </c>
      <c r="F22" s="10"/>
      <c r="G22" s="10">
        <f t="shared" si="0"/>
        <v>153</v>
      </c>
      <c r="H22" s="16">
        <f t="shared" si="1"/>
        <v>0.23</v>
      </c>
      <c r="I22" s="15">
        <f t="shared" si="2"/>
        <v>1E-3</v>
      </c>
      <c r="J22" s="15">
        <f>ROUND(G22/33.62-1,2)</f>
        <v>3.55</v>
      </c>
    </row>
    <row r="23" spans="1:10" x14ac:dyDescent="0.25">
      <c r="A23" s="1" t="s">
        <v>16</v>
      </c>
      <c r="B23" s="1" t="s">
        <v>31</v>
      </c>
      <c r="C23" s="10"/>
      <c r="D23" s="10"/>
      <c r="E23" s="10">
        <v>137</v>
      </c>
      <c r="F23" s="10"/>
      <c r="G23" s="10">
        <f t="shared" si="0"/>
        <v>137</v>
      </c>
      <c r="H23" s="16">
        <f t="shared" si="1"/>
        <v>0.21</v>
      </c>
      <c r="I23" s="15">
        <f t="shared" si="2"/>
        <v>1E-3</v>
      </c>
      <c r="J23" s="15">
        <f>ROUND(G23/42.86-1,2)</f>
        <v>2.2000000000000002</v>
      </c>
    </row>
    <row r="24" spans="1:10" x14ac:dyDescent="0.25">
      <c r="A24" s="1" t="s">
        <v>16</v>
      </c>
      <c r="B24" s="1" t="s">
        <v>32</v>
      </c>
      <c r="C24" s="10"/>
      <c r="D24" s="10"/>
      <c r="E24" s="10">
        <v>393</v>
      </c>
      <c r="F24" s="10"/>
      <c r="G24" s="10">
        <f t="shared" si="0"/>
        <v>393</v>
      </c>
      <c r="H24" s="16">
        <f t="shared" si="1"/>
        <v>0.6</v>
      </c>
      <c r="I24" s="15">
        <f t="shared" si="2"/>
        <v>2E-3</v>
      </c>
      <c r="J24" s="15"/>
    </row>
    <row r="25" spans="1:10" x14ac:dyDescent="0.25">
      <c r="A25" s="1" t="s">
        <v>16</v>
      </c>
      <c r="B25" s="1" t="s">
        <v>33</v>
      </c>
      <c r="C25" s="10"/>
      <c r="D25" s="10"/>
      <c r="E25" s="10">
        <v>61</v>
      </c>
      <c r="F25" s="10"/>
      <c r="G25" s="10">
        <f t="shared" si="0"/>
        <v>61</v>
      </c>
      <c r="H25" s="16">
        <f t="shared" si="1"/>
        <v>0.09</v>
      </c>
      <c r="I25" s="15">
        <f t="shared" si="2"/>
        <v>0</v>
      </c>
      <c r="J25" s="15"/>
    </row>
    <row r="26" spans="1:10" x14ac:dyDescent="0.25">
      <c r="A26" s="1" t="s">
        <v>16</v>
      </c>
      <c r="B26" s="1" t="s">
        <v>37</v>
      </c>
      <c r="C26" s="10"/>
      <c r="D26" s="10"/>
      <c r="E26" s="10">
        <v>895</v>
      </c>
      <c r="F26" s="10"/>
      <c r="G26" s="10">
        <f t="shared" si="0"/>
        <v>895</v>
      </c>
      <c r="H26" s="16">
        <f t="shared" si="1"/>
        <v>1.37</v>
      </c>
      <c r="I26" s="15">
        <f t="shared" si="2"/>
        <v>4.0000000000000001E-3</v>
      </c>
      <c r="J26" s="15">
        <f>ROUND(G26/58.02-1,2)</f>
        <v>14.43</v>
      </c>
    </row>
    <row r="27" spans="1:10" x14ac:dyDescent="0.25">
      <c r="A27" s="1" t="s">
        <v>16</v>
      </c>
      <c r="B27" s="1" t="s">
        <v>43</v>
      </c>
      <c r="C27" s="10"/>
      <c r="D27" s="10"/>
      <c r="E27" s="10">
        <v>884</v>
      </c>
      <c r="F27" s="10"/>
      <c r="G27" s="10">
        <f t="shared" si="0"/>
        <v>884</v>
      </c>
      <c r="H27" s="16">
        <f t="shared" si="1"/>
        <v>1.36</v>
      </c>
      <c r="I27" s="15">
        <f t="shared" si="2"/>
        <v>4.0000000000000001E-3</v>
      </c>
      <c r="J27" s="15"/>
    </row>
    <row r="28" spans="1:10" x14ac:dyDescent="0.25">
      <c r="A28" s="1" t="s">
        <v>16</v>
      </c>
      <c r="B28" s="1" t="s">
        <v>38</v>
      </c>
      <c r="C28" s="10"/>
      <c r="D28" s="10"/>
      <c r="E28" s="10">
        <v>18736</v>
      </c>
      <c r="F28" s="10"/>
      <c r="G28" s="10">
        <f t="shared" si="0"/>
        <v>18736</v>
      </c>
      <c r="H28" s="16">
        <f t="shared" si="1"/>
        <v>28.74</v>
      </c>
      <c r="I28" s="15">
        <f t="shared" si="2"/>
        <v>7.5999999999999998E-2</v>
      </c>
      <c r="J28" s="15">
        <f>ROUND(G28/6507.65-1,2)</f>
        <v>1.88</v>
      </c>
    </row>
    <row r="29" spans="1:10" x14ac:dyDescent="0.25">
      <c r="A29" s="1" t="s">
        <v>16</v>
      </c>
      <c r="B29" s="1" t="s">
        <v>40</v>
      </c>
      <c r="C29" s="10"/>
      <c r="D29" s="10"/>
      <c r="E29" s="10">
        <v>6807</v>
      </c>
      <c r="F29" s="10"/>
      <c r="G29" s="10">
        <f t="shared" si="0"/>
        <v>6807</v>
      </c>
      <c r="H29" s="16">
        <f t="shared" si="1"/>
        <v>10.44</v>
      </c>
      <c r="I29" s="15">
        <f t="shared" si="2"/>
        <v>2.8000000000000001E-2</v>
      </c>
      <c r="J29" s="15">
        <f>ROUND(G29/2866.29-1,2)</f>
        <v>1.37</v>
      </c>
    </row>
    <row r="30" spans="1:10" x14ac:dyDescent="0.25">
      <c r="A30" s="1" t="s">
        <v>16</v>
      </c>
      <c r="B30" s="1" t="s">
        <v>41</v>
      </c>
      <c r="C30" s="10"/>
      <c r="D30" s="10"/>
      <c r="E30" s="10">
        <v>12298</v>
      </c>
      <c r="F30" s="10"/>
      <c r="G30" s="10">
        <f t="shared" si="0"/>
        <v>12298</v>
      </c>
      <c r="H30" s="16">
        <f t="shared" si="1"/>
        <v>18.86</v>
      </c>
      <c r="I30" s="15">
        <f t="shared" si="2"/>
        <v>0.05</v>
      </c>
      <c r="J30" s="15">
        <f>ROUND(G30/730.07-1,2)</f>
        <v>15.84</v>
      </c>
    </row>
    <row r="31" spans="1:10" x14ac:dyDescent="0.25">
      <c r="A31" s="1" t="s">
        <v>16</v>
      </c>
      <c r="B31" s="1" t="s">
        <v>36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>
        <f>ROUND(G31/499.69-1,2)</f>
        <v>-1</v>
      </c>
    </row>
    <row r="32" spans="1:10" x14ac:dyDescent="0.25">
      <c r="A32" s="1" t="s">
        <v>16</v>
      </c>
      <c r="B32" s="1" t="s">
        <v>35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/>
    </row>
    <row r="33" spans="1:10" x14ac:dyDescent="0.25">
      <c r="A33" s="1" t="s">
        <v>16</v>
      </c>
      <c r="B33" s="1" t="s">
        <v>39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/>
    </row>
    <row r="34" spans="1:10" x14ac:dyDescent="0.25">
      <c r="A34" s="1" t="s">
        <v>44</v>
      </c>
      <c r="B34" s="1" t="s">
        <v>45</v>
      </c>
      <c r="C34" s="10">
        <v>75860</v>
      </c>
      <c r="D34" s="10"/>
      <c r="E34" s="10"/>
      <c r="F34" s="10"/>
      <c r="G34" s="10">
        <f t="shared" si="0"/>
        <v>75860</v>
      </c>
      <c r="H34" s="16">
        <f t="shared" si="1"/>
        <v>116.35</v>
      </c>
      <c r="I34" s="15">
        <f t="shared" si="2"/>
        <v>0.309</v>
      </c>
      <c r="J34" s="15">
        <f>ROUND(G34/68980-1,2)</f>
        <v>0.1</v>
      </c>
    </row>
    <row r="35" spans="1:10" x14ac:dyDescent="0.25">
      <c r="A35" s="1" t="s">
        <v>44</v>
      </c>
      <c r="B35" s="1" t="s">
        <v>46</v>
      </c>
      <c r="C35" s="10"/>
      <c r="D35" s="10"/>
      <c r="E35" s="10">
        <v>11085</v>
      </c>
      <c r="F35" s="10"/>
      <c r="G35" s="10">
        <f t="shared" si="0"/>
        <v>11085</v>
      </c>
      <c r="H35" s="16">
        <f t="shared" si="1"/>
        <v>17</v>
      </c>
      <c r="I35" s="15">
        <f t="shared" si="2"/>
        <v>4.4999999999999998E-2</v>
      </c>
      <c r="J35" s="15">
        <f>ROUND(G35/3473.55-1,2)</f>
        <v>2.19</v>
      </c>
    </row>
    <row r="36" spans="1:10" x14ac:dyDescent="0.25">
      <c r="A36" s="1" t="s">
        <v>44</v>
      </c>
      <c r="B36" s="1" t="s">
        <v>47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/>
    </row>
    <row r="37" spans="1:10" x14ac:dyDescent="0.25">
      <c r="A37" s="1" t="s">
        <v>48</v>
      </c>
      <c r="B37" s="1" t="s">
        <v>51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30" t="s">
        <v>12</v>
      </c>
      <c r="B38" s="30"/>
      <c r="C38" s="11">
        <f t="shared" ref="C38:H38" si="3">SUM(C8:C37)</f>
        <v>161980</v>
      </c>
      <c r="D38" s="11">
        <f t="shared" si="3"/>
        <v>0</v>
      </c>
      <c r="E38" s="11">
        <f t="shared" si="3"/>
        <v>83737</v>
      </c>
      <c r="F38" s="11">
        <f t="shared" si="3"/>
        <v>0</v>
      </c>
      <c r="G38" s="11">
        <f t="shared" si="3"/>
        <v>245717</v>
      </c>
      <c r="H38" s="14">
        <f t="shared" si="3"/>
        <v>376.87</v>
      </c>
      <c r="I38" s="17"/>
      <c r="J38" s="17"/>
    </row>
    <row r="39" spans="1:10" x14ac:dyDescent="0.25">
      <c r="A39" s="30" t="s">
        <v>14</v>
      </c>
      <c r="B39" s="30"/>
      <c r="C39" s="12">
        <f>ROUND(C38/G38,2)</f>
        <v>0.66</v>
      </c>
      <c r="D39" s="12">
        <f>ROUND(D38/G38,2)</f>
        <v>0</v>
      </c>
      <c r="E39" s="12">
        <f>ROUND(E38/G38,2)</f>
        <v>0.34</v>
      </c>
      <c r="F39" s="12">
        <f>ROUND(F38/G38,2)</f>
        <v>0</v>
      </c>
      <c r="G39" s="13"/>
      <c r="H39" s="13"/>
      <c r="I39" s="17"/>
      <c r="J39" s="17"/>
    </row>
    <row r="40" spans="1:10" x14ac:dyDescent="0.25">
      <c r="A40" s="2" t="s">
        <v>52</v>
      </c>
      <c r="B40" s="2"/>
      <c r="C40" s="13"/>
      <c r="D40" s="13"/>
      <c r="E40" s="13"/>
      <c r="F40" s="13"/>
      <c r="G40" s="13"/>
      <c r="H40" s="13"/>
      <c r="I40" s="17"/>
      <c r="J40" s="17"/>
    </row>
    <row r="41" spans="1:10" x14ac:dyDescent="0.25">
      <c r="C41" s="8"/>
      <c r="D41" s="8"/>
      <c r="E41" s="8"/>
      <c r="F41" s="8"/>
      <c r="G41" s="8"/>
      <c r="H41" s="8"/>
      <c r="I41" s="9"/>
      <c r="J41" s="9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A44" s="30" t="s">
        <v>53</v>
      </c>
      <c r="B44" s="30"/>
      <c r="C44" s="11" t="s">
        <v>8</v>
      </c>
      <c r="D44" s="11" t="s">
        <v>9</v>
      </c>
      <c r="E44" s="11" t="s">
        <v>10</v>
      </c>
      <c r="F44" s="11" t="s">
        <v>11</v>
      </c>
      <c r="G44" s="11" t="s">
        <v>12</v>
      </c>
      <c r="H44" s="14" t="s">
        <v>13</v>
      </c>
      <c r="I44" s="17"/>
      <c r="J44" s="17"/>
    </row>
    <row r="45" spans="1:10" x14ac:dyDescent="0.25">
      <c r="A45" s="29" t="s">
        <v>54</v>
      </c>
      <c r="B45" s="29"/>
      <c r="C45" s="10">
        <v>86120</v>
      </c>
      <c r="D45" s="10">
        <v>0</v>
      </c>
      <c r="E45" s="10">
        <v>72652</v>
      </c>
      <c r="F45" s="10">
        <v>0</v>
      </c>
      <c r="G45" s="10">
        <f>SUM(C45:F45)</f>
        <v>158772</v>
      </c>
      <c r="H45" s="16">
        <f>ROUND(G45/652,2)</f>
        <v>243.52</v>
      </c>
      <c r="I45" s="9"/>
      <c r="J45" s="9"/>
    </row>
    <row r="46" spans="1:10" x14ac:dyDescent="0.25">
      <c r="A46" s="29" t="s">
        <v>55</v>
      </c>
      <c r="B46" s="29"/>
      <c r="C46" s="10">
        <v>75860</v>
      </c>
      <c r="D46" s="10">
        <v>0</v>
      </c>
      <c r="E46" s="10">
        <v>11085</v>
      </c>
      <c r="F46" s="10">
        <v>0</v>
      </c>
      <c r="G46" s="10">
        <f>SUM(C46:F46)</f>
        <v>86945</v>
      </c>
      <c r="H46" s="16">
        <f>ROUND(G46/652,2)</f>
        <v>133.35</v>
      </c>
      <c r="I46" s="9"/>
      <c r="J46" s="9"/>
    </row>
    <row r="47" spans="1:10" x14ac:dyDescent="0.25">
      <c r="A47" s="29" t="s">
        <v>56</v>
      </c>
      <c r="B47" s="29"/>
      <c r="C47" s="10">
        <v>0</v>
      </c>
      <c r="D47" s="10">
        <v>0</v>
      </c>
      <c r="E47" s="10">
        <v>0</v>
      </c>
      <c r="F47" s="10">
        <v>0</v>
      </c>
      <c r="G47" s="10">
        <f>SUM(C47:F47)</f>
        <v>0</v>
      </c>
      <c r="H47" s="16">
        <f>ROUND(G47/652,2)</f>
        <v>0</v>
      </c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A52" s="30" t="s">
        <v>57</v>
      </c>
      <c r="B52" s="30"/>
      <c r="C52" s="14" t="s">
        <v>2</v>
      </c>
      <c r="D52" s="14">
        <v>2023</v>
      </c>
      <c r="E52" s="14" t="s">
        <v>59</v>
      </c>
      <c r="F52" s="13"/>
      <c r="G52" s="14" t="s">
        <v>60</v>
      </c>
      <c r="H52" s="14" t="s">
        <v>2</v>
      </c>
      <c r="I52" s="12" t="s">
        <v>61</v>
      </c>
      <c r="J52" s="12" t="s">
        <v>59</v>
      </c>
    </row>
    <row r="53" spans="1:10" x14ac:dyDescent="0.25">
      <c r="A53" s="29" t="s">
        <v>58</v>
      </c>
      <c r="B53" s="29"/>
      <c r="C53" s="15">
        <f>ROUND(0.6616, 4)</f>
        <v>0.66159999999999997</v>
      </c>
      <c r="D53" s="15">
        <f>ROUND(0.5958, 4)</f>
        <v>0.5958</v>
      </c>
      <c r="E53" s="15">
        <f>ROUND(0.777, 4)</f>
        <v>0.77700000000000002</v>
      </c>
      <c r="F53" s="8"/>
      <c r="G53" s="14" t="s">
        <v>62</v>
      </c>
      <c r="H53" s="33" t="s">
        <v>63</v>
      </c>
      <c r="I53" s="31" t="s">
        <v>64</v>
      </c>
      <c r="J53" s="31" t="s">
        <v>65</v>
      </c>
    </row>
    <row r="54" spans="1:10" x14ac:dyDescent="0.25">
      <c r="A54" s="29" t="s">
        <v>66</v>
      </c>
      <c r="B54" s="29"/>
      <c r="C54" s="15">
        <f>ROUND(0.618, 4)</f>
        <v>0.61799999999999999</v>
      </c>
      <c r="D54" s="15">
        <f>ROUND(0.5494, 4)</f>
        <v>0.5494</v>
      </c>
      <c r="E54" s="15">
        <f>ROUND(0.7608, 4)</f>
        <v>0.76080000000000003</v>
      </c>
      <c r="F54" s="8"/>
      <c r="G54" s="14" t="s">
        <v>67</v>
      </c>
      <c r="H54" s="34"/>
      <c r="I54" s="32"/>
      <c r="J54" s="32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21"/>
      <c r="H57" s="8"/>
      <c r="I57" s="9"/>
      <c r="J57" s="9"/>
    </row>
    <row r="58" spans="1:10" x14ac:dyDescent="0.25">
      <c r="A58" s="30" t="s">
        <v>68</v>
      </c>
      <c r="B58" s="30"/>
      <c r="C58" s="14" t="s">
        <v>2</v>
      </c>
      <c r="D58" s="14" t="s">
        <v>188</v>
      </c>
      <c r="E58" s="14" t="s">
        <v>70</v>
      </c>
      <c r="F58" s="14" t="s">
        <v>71</v>
      </c>
      <c r="G58" s="20" t="s">
        <v>72</v>
      </c>
      <c r="H58" s="13"/>
      <c r="I58" s="17"/>
      <c r="J58" s="17"/>
    </row>
    <row r="59" spans="1:10" x14ac:dyDescent="0.25">
      <c r="A59" s="29" t="s">
        <v>73</v>
      </c>
      <c r="B59" s="29"/>
      <c r="C59" s="16">
        <v>116.35</v>
      </c>
      <c r="D59" s="16">
        <v>97.43</v>
      </c>
      <c r="E59" s="16">
        <v>93.87</v>
      </c>
      <c r="F59" s="16">
        <v>57.16</v>
      </c>
      <c r="G59" s="16">
        <f>12/12*C59</f>
        <v>116.35</v>
      </c>
      <c r="H59" s="8"/>
      <c r="I59" s="9"/>
      <c r="J59" s="9"/>
    </row>
    <row r="60" spans="1:10" x14ac:dyDescent="0.25">
      <c r="A60" s="29" t="s">
        <v>74</v>
      </c>
      <c r="B60" s="29"/>
      <c r="C60" s="16">
        <v>33.56</v>
      </c>
      <c r="D60" s="16">
        <v>35.35</v>
      </c>
      <c r="E60" s="16">
        <v>62.84</v>
      </c>
      <c r="F60" s="16">
        <v>65.39</v>
      </c>
      <c r="G60" s="16">
        <f>12/12*C60</f>
        <v>33.56</v>
      </c>
      <c r="H60" s="8"/>
      <c r="I60" s="9"/>
      <c r="J60" s="9"/>
    </row>
    <row r="61" spans="1:10" x14ac:dyDescent="0.25">
      <c r="A61" s="29" t="s">
        <v>75</v>
      </c>
      <c r="B61" s="29"/>
      <c r="C61" s="16">
        <v>243.52</v>
      </c>
      <c r="D61" s="16">
        <v>197.43</v>
      </c>
      <c r="E61" s="16">
        <v>295.08999999999997</v>
      </c>
      <c r="F61" s="16">
        <v>289.06</v>
      </c>
      <c r="G61" s="16">
        <f>12/12*C61</f>
        <v>243.52</v>
      </c>
      <c r="H61" s="8"/>
      <c r="I61" s="9"/>
      <c r="J61" s="9"/>
    </row>
    <row r="62" spans="1:10" x14ac:dyDescent="0.25">
      <c r="A62" s="29" t="s">
        <v>76</v>
      </c>
      <c r="B62" s="29"/>
      <c r="C62" s="16">
        <v>133.35</v>
      </c>
      <c r="D62" s="16">
        <v>110.69</v>
      </c>
      <c r="E62" s="16">
        <v>118.05</v>
      </c>
      <c r="F62" s="16">
        <v>81.41</v>
      </c>
      <c r="G62" s="16">
        <f>12/12*C62</f>
        <v>133.35</v>
      </c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A65" s="28" t="s">
        <v>60</v>
      </c>
      <c r="B65" s="35"/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3" t="s">
        <v>77</v>
      </c>
      <c r="B66" s="1" t="s">
        <v>189</v>
      </c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70</v>
      </c>
      <c r="B67" s="1" t="s">
        <v>79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71</v>
      </c>
      <c r="B68" s="1" t="s">
        <v>80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72</v>
      </c>
      <c r="B69" s="1" t="s">
        <v>81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  <row r="71" spans="1:10" x14ac:dyDescent="0.25"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</sheetData>
  <mergeCells count="19">
    <mergeCell ref="A60:B60"/>
    <mergeCell ref="A61:B61"/>
    <mergeCell ref="A62:B62"/>
    <mergeCell ref="A65:B65"/>
    <mergeCell ref="I53:I54"/>
    <mergeCell ref="J53:J54"/>
    <mergeCell ref="A54:B54"/>
    <mergeCell ref="A58:B58"/>
    <mergeCell ref="A59:B59"/>
    <mergeCell ref="A46:B46"/>
    <mergeCell ref="A47:B47"/>
    <mergeCell ref="A52:B52"/>
    <mergeCell ref="A53:B53"/>
    <mergeCell ref="H53:H54"/>
    <mergeCell ref="C7:G7"/>
    <mergeCell ref="A38:B38"/>
    <mergeCell ref="A39:B39"/>
    <mergeCell ref="A44:B44"/>
    <mergeCell ref="A45:B4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J74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2.1406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190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3611</v>
      </c>
    </row>
    <row r="7" spans="1:10" x14ac:dyDescent="0.25">
      <c r="C7" s="28" t="s">
        <v>5</v>
      </c>
      <c r="D7" s="29"/>
      <c r="E7" s="29"/>
      <c r="F7" s="29"/>
      <c r="G7" s="29"/>
    </row>
    <row r="8" spans="1:10" x14ac:dyDescent="0.25">
      <c r="A8" s="25" t="s">
        <v>6</v>
      </c>
      <c r="B8" s="25" t="s">
        <v>7</v>
      </c>
      <c r="C8" s="27" t="s">
        <v>8</v>
      </c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130</v>
      </c>
      <c r="F9" s="10"/>
      <c r="G9" s="10">
        <f t="shared" ref="G9:G42" si="0">SUM(C9:F9)</f>
        <v>130</v>
      </c>
      <c r="H9" s="16">
        <f t="shared" ref="H9:H42" si="1">ROUND(G9/3611,2)</f>
        <v>0.04</v>
      </c>
      <c r="I9" s="15">
        <f t="shared" ref="I9:I42" si="2">ROUND(G9/$G$43,3)</f>
        <v>0</v>
      </c>
      <c r="J9" s="15">
        <f>ROUND(G9/57-1,2)</f>
        <v>1.28</v>
      </c>
    </row>
    <row r="10" spans="1:10" x14ac:dyDescent="0.25">
      <c r="A10" s="1" t="s">
        <v>16</v>
      </c>
      <c r="B10" s="1" t="s">
        <v>19</v>
      </c>
      <c r="C10" s="10">
        <v>117010</v>
      </c>
      <c r="D10" s="10"/>
      <c r="E10" s="10">
        <v>4540</v>
      </c>
      <c r="F10" s="10">
        <v>170</v>
      </c>
      <c r="G10" s="10">
        <f t="shared" si="0"/>
        <v>121720</v>
      </c>
      <c r="H10" s="16">
        <f t="shared" si="1"/>
        <v>33.71</v>
      </c>
      <c r="I10" s="15">
        <f t="shared" si="2"/>
        <v>9.1999999999999998E-2</v>
      </c>
      <c r="J10" s="15">
        <f>ROUND(G10/116490-1,2)</f>
        <v>0.04</v>
      </c>
    </row>
    <row r="11" spans="1:10" x14ac:dyDescent="0.25">
      <c r="A11" s="1" t="s">
        <v>16</v>
      </c>
      <c r="B11" s="1" t="s">
        <v>20</v>
      </c>
      <c r="C11" s="10">
        <v>121910</v>
      </c>
      <c r="D11" s="10"/>
      <c r="E11" s="10"/>
      <c r="F11" s="10"/>
      <c r="G11" s="10">
        <f t="shared" si="0"/>
        <v>121910</v>
      </c>
      <c r="H11" s="16">
        <f t="shared" si="1"/>
        <v>33.76</v>
      </c>
      <c r="I11" s="15">
        <f t="shared" si="2"/>
        <v>9.2999999999999999E-2</v>
      </c>
      <c r="J11" s="15">
        <f>ROUND(G11/129980-1,2)</f>
        <v>-0.06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196</v>
      </c>
      <c r="F12" s="10"/>
      <c r="G12" s="10">
        <f t="shared" si="0"/>
        <v>196</v>
      </c>
      <c r="H12" s="16">
        <f t="shared" si="1"/>
        <v>0.05</v>
      </c>
      <c r="I12" s="15">
        <f t="shared" si="2"/>
        <v>0</v>
      </c>
      <c r="J12" s="15">
        <f>ROUND(G12/102-1,2)</f>
        <v>0.92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748</v>
      </c>
      <c r="F13" s="10"/>
      <c r="G13" s="10">
        <f t="shared" si="0"/>
        <v>748</v>
      </c>
      <c r="H13" s="16">
        <f t="shared" si="1"/>
        <v>0.21</v>
      </c>
      <c r="I13" s="15">
        <f t="shared" si="2"/>
        <v>1E-3</v>
      </c>
      <c r="J13" s="15">
        <f>ROUND(G13/316-1,2)</f>
        <v>1.37</v>
      </c>
    </row>
    <row r="14" spans="1:10" x14ac:dyDescent="0.25">
      <c r="A14" s="1" t="s">
        <v>16</v>
      </c>
      <c r="B14" s="1" t="s">
        <v>22</v>
      </c>
      <c r="C14" s="10"/>
      <c r="D14" s="10"/>
      <c r="E14" s="10">
        <v>1280</v>
      </c>
      <c r="F14" s="10"/>
      <c r="G14" s="10">
        <f t="shared" si="0"/>
        <v>1280</v>
      </c>
      <c r="H14" s="16">
        <f t="shared" si="1"/>
        <v>0.35</v>
      </c>
      <c r="I14" s="15">
        <f t="shared" si="2"/>
        <v>1E-3</v>
      </c>
      <c r="J14" s="15">
        <f>ROUND(G14/2260-1,2)</f>
        <v>-0.43</v>
      </c>
    </row>
    <row r="15" spans="1:10" x14ac:dyDescent="0.25">
      <c r="A15" s="1" t="s">
        <v>16</v>
      </c>
      <c r="B15" s="1" t="s">
        <v>23</v>
      </c>
      <c r="C15" s="10"/>
      <c r="D15" s="10"/>
      <c r="E15" s="10">
        <v>143180</v>
      </c>
      <c r="F15" s="10"/>
      <c r="G15" s="10">
        <f t="shared" si="0"/>
        <v>143180</v>
      </c>
      <c r="H15" s="16">
        <f t="shared" si="1"/>
        <v>39.65</v>
      </c>
      <c r="I15" s="15">
        <f t="shared" si="2"/>
        <v>0.109</v>
      </c>
      <c r="J15" s="15">
        <f>ROUND(G15/20940-1,2)</f>
        <v>5.84</v>
      </c>
    </row>
    <row r="16" spans="1:10" x14ac:dyDescent="0.25">
      <c r="A16" s="1" t="s">
        <v>16</v>
      </c>
      <c r="B16" s="1" t="s">
        <v>24</v>
      </c>
      <c r="C16" s="10">
        <v>160120</v>
      </c>
      <c r="D16" s="10"/>
      <c r="E16" s="10">
        <v>18360</v>
      </c>
      <c r="F16" s="10"/>
      <c r="G16" s="10">
        <f t="shared" si="0"/>
        <v>178480</v>
      </c>
      <c r="H16" s="16">
        <f t="shared" si="1"/>
        <v>49.43</v>
      </c>
      <c r="I16" s="15">
        <f t="shared" si="2"/>
        <v>0.13600000000000001</v>
      </c>
      <c r="J16" s="15">
        <f>ROUND(G16/179060-1,2)</f>
        <v>0</v>
      </c>
    </row>
    <row r="17" spans="1:10" x14ac:dyDescent="0.25">
      <c r="A17" s="1" t="s">
        <v>16</v>
      </c>
      <c r="B17" s="1" t="s">
        <v>25</v>
      </c>
      <c r="C17" s="10"/>
      <c r="D17" s="10"/>
      <c r="E17" s="10">
        <v>12390</v>
      </c>
      <c r="F17" s="10"/>
      <c r="G17" s="10">
        <f t="shared" si="0"/>
        <v>12390</v>
      </c>
      <c r="H17" s="16">
        <f t="shared" si="1"/>
        <v>3.43</v>
      </c>
      <c r="I17" s="15">
        <f t="shared" si="2"/>
        <v>8.9999999999999993E-3</v>
      </c>
      <c r="J17" s="15">
        <f>ROUND(G17/6300-1,2)</f>
        <v>0.97</v>
      </c>
    </row>
    <row r="18" spans="1:10" x14ac:dyDescent="0.25">
      <c r="A18" s="1" t="s">
        <v>16</v>
      </c>
      <c r="B18" s="1" t="s">
        <v>26</v>
      </c>
      <c r="C18" s="10">
        <v>200170</v>
      </c>
      <c r="D18" s="10"/>
      <c r="E18" s="10"/>
      <c r="F18" s="10">
        <v>1530</v>
      </c>
      <c r="G18" s="10">
        <f t="shared" si="0"/>
        <v>201700</v>
      </c>
      <c r="H18" s="16">
        <f t="shared" si="1"/>
        <v>55.86</v>
      </c>
      <c r="I18" s="15">
        <f t="shared" si="2"/>
        <v>0.153</v>
      </c>
      <c r="J18" s="15">
        <f>ROUND(G18/191160-1,2)</f>
        <v>0.06</v>
      </c>
    </row>
    <row r="19" spans="1:10" x14ac:dyDescent="0.25">
      <c r="A19" s="1" t="s">
        <v>16</v>
      </c>
      <c r="B19" s="1" t="s">
        <v>27</v>
      </c>
      <c r="C19" s="10"/>
      <c r="D19" s="10"/>
      <c r="E19" s="10">
        <v>945</v>
      </c>
      <c r="F19" s="10"/>
      <c r="G19" s="10">
        <f t="shared" si="0"/>
        <v>945</v>
      </c>
      <c r="H19" s="16">
        <f t="shared" si="1"/>
        <v>0.26</v>
      </c>
      <c r="I19" s="15">
        <f t="shared" si="2"/>
        <v>1E-3</v>
      </c>
      <c r="J19" s="15">
        <f>ROUND(G19/709-1,2)</f>
        <v>0.33</v>
      </c>
    </row>
    <row r="20" spans="1:10" x14ac:dyDescent="0.25">
      <c r="A20" s="1" t="s">
        <v>16</v>
      </c>
      <c r="B20" s="1" t="s">
        <v>28</v>
      </c>
      <c r="C20" s="10"/>
      <c r="D20" s="10"/>
      <c r="E20" s="10">
        <v>934</v>
      </c>
      <c r="F20" s="10"/>
      <c r="G20" s="10">
        <f t="shared" si="0"/>
        <v>934</v>
      </c>
      <c r="H20" s="16">
        <f t="shared" si="1"/>
        <v>0.26</v>
      </c>
      <c r="I20" s="15">
        <f t="shared" si="2"/>
        <v>1E-3</v>
      </c>
      <c r="J20" s="15">
        <f>ROUND(G20/785-1,2)</f>
        <v>0.19</v>
      </c>
    </row>
    <row r="21" spans="1:10" x14ac:dyDescent="0.25">
      <c r="A21" s="1" t="s">
        <v>16</v>
      </c>
      <c r="B21" s="1" t="s">
        <v>42</v>
      </c>
      <c r="C21" s="10"/>
      <c r="D21" s="10"/>
      <c r="E21" s="10">
        <v>93</v>
      </c>
      <c r="F21" s="10"/>
      <c r="G21" s="10">
        <f t="shared" si="0"/>
        <v>93</v>
      </c>
      <c r="H21" s="16">
        <f t="shared" si="1"/>
        <v>0.03</v>
      </c>
      <c r="I21" s="15">
        <f t="shared" si="2"/>
        <v>0</v>
      </c>
      <c r="J21" s="15">
        <f>ROUND(G21/144-1,2)</f>
        <v>-0.35</v>
      </c>
    </row>
    <row r="22" spans="1:10" x14ac:dyDescent="0.25">
      <c r="A22" s="1" t="s">
        <v>16</v>
      </c>
      <c r="B22" s="1" t="s">
        <v>29</v>
      </c>
      <c r="C22" s="10"/>
      <c r="D22" s="10"/>
      <c r="E22" s="10">
        <v>3880</v>
      </c>
      <c r="F22" s="10"/>
      <c r="G22" s="10">
        <f t="shared" si="0"/>
        <v>3880</v>
      </c>
      <c r="H22" s="16">
        <f t="shared" si="1"/>
        <v>1.07</v>
      </c>
      <c r="I22" s="15">
        <f t="shared" si="2"/>
        <v>3.0000000000000001E-3</v>
      </c>
      <c r="J22" s="15">
        <f>ROUND(G22/6600-1,2)</f>
        <v>-0.41</v>
      </c>
    </row>
    <row r="23" spans="1:10" x14ac:dyDescent="0.25">
      <c r="A23" s="1" t="s">
        <v>16</v>
      </c>
      <c r="B23" s="1" t="s">
        <v>30</v>
      </c>
      <c r="C23" s="10"/>
      <c r="D23" s="10"/>
      <c r="E23" s="10">
        <v>1430</v>
      </c>
      <c r="F23" s="10"/>
      <c r="G23" s="10">
        <f t="shared" si="0"/>
        <v>1430</v>
      </c>
      <c r="H23" s="16">
        <f t="shared" si="1"/>
        <v>0.4</v>
      </c>
      <c r="I23" s="15">
        <f t="shared" si="2"/>
        <v>1E-3</v>
      </c>
      <c r="J23" s="15">
        <f>ROUND(G23/1210-1,2)</f>
        <v>0.18</v>
      </c>
    </row>
    <row r="24" spans="1:10" x14ac:dyDescent="0.25">
      <c r="A24" s="1" t="s">
        <v>16</v>
      </c>
      <c r="B24" s="1" t="s">
        <v>31</v>
      </c>
      <c r="C24" s="10"/>
      <c r="D24" s="10"/>
      <c r="E24" s="10">
        <v>850</v>
      </c>
      <c r="F24" s="10"/>
      <c r="G24" s="10">
        <f t="shared" si="0"/>
        <v>850</v>
      </c>
      <c r="H24" s="16">
        <f t="shared" si="1"/>
        <v>0.24</v>
      </c>
      <c r="I24" s="15">
        <f t="shared" si="2"/>
        <v>1E-3</v>
      </c>
      <c r="J24" s="15">
        <f>ROUND(G24/530-1,2)</f>
        <v>0.6</v>
      </c>
    </row>
    <row r="25" spans="1:10" x14ac:dyDescent="0.25">
      <c r="A25" s="1" t="s">
        <v>16</v>
      </c>
      <c r="B25" s="1" t="s">
        <v>32</v>
      </c>
      <c r="C25" s="10"/>
      <c r="D25" s="10"/>
      <c r="E25" s="10">
        <v>2155</v>
      </c>
      <c r="F25" s="10"/>
      <c r="G25" s="10">
        <f t="shared" si="0"/>
        <v>2155</v>
      </c>
      <c r="H25" s="16">
        <f t="shared" si="1"/>
        <v>0.6</v>
      </c>
      <c r="I25" s="15">
        <f t="shared" si="2"/>
        <v>2E-3</v>
      </c>
      <c r="J25" s="15">
        <f>ROUND(G25/745-1,2)</f>
        <v>1.89</v>
      </c>
    </row>
    <row r="26" spans="1:10" x14ac:dyDescent="0.25">
      <c r="A26" s="1" t="s">
        <v>16</v>
      </c>
      <c r="B26" s="1" t="s">
        <v>33</v>
      </c>
      <c r="C26" s="10"/>
      <c r="D26" s="10">
        <v>213</v>
      </c>
      <c r="E26" s="10">
        <v>104</v>
      </c>
      <c r="F26" s="10"/>
      <c r="G26" s="10">
        <f t="shared" si="0"/>
        <v>317</v>
      </c>
      <c r="H26" s="16">
        <f t="shared" si="1"/>
        <v>0.09</v>
      </c>
      <c r="I26" s="15">
        <f t="shared" si="2"/>
        <v>0</v>
      </c>
      <c r="J26" s="15">
        <f>ROUND(G26/253-1,2)</f>
        <v>0.25</v>
      </c>
    </row>
    <row r="27" spans="1:10" x14ac:dyDescent="0.25">
      <c r="A27" s="1" t="s">
        <v>16</v>
      </c>
      <c r="B27" s="1" t="s">
        <v>34</v>
      </c>
      <c r="C27" s="10"/>
      <c r="D27" s="10"/>
      <c r="E27" s="10">
        <v>600</v>
      </c>
      <c r="F27" s="10"/>
      <c r="G27" s="10">
        <f t="shared" si="0"/>
        <v>600</v>
      </c>
      <c r="H27" s="16">
        <f t="shared" si="1"/>
        <v>0.17</v>
      </c>
      <c r="I27" s="15">
        <f t="shared" si="2"/>
        <v>0</v>
      </c>
      <c r="J27" s="15"/>
    </row>
    <row r="28" spans="1:10" x14ac:dyDescent="0.25">
      <c r="A28" s="1" t="s">
        <v>16</v>
      </c>
      <c r="B28" s="1" t="s">
        <v>35</v>
      </c>
      <c r="C28" s="10"/>
      <c r="D28" s="10"/>
      <c r="E28" s="10">
        <v>190</v>
      </c>
      <c r="F28" s="10"/>
      <c r="G28" s="10">
        <f t="shared" si="0"/>
        <v>190</v>
      </c>
      <c r="H28" s="16">
        <f t="shared" si="1"/>
        <v>0.05</v>
      </c>
      <c r="I28" s="15">
        <f t="shared" si="2"/>
        <v>0</v>
      </c>
      <c r="J28" s="15">
        <f>ROUND(G28/741-1,2)</f>
        <v>-0.74</v>
      </c>
    </row>
    <row r="29" spans="1:10" x14ac:dyDescent="0.25">
      <c r="A29" s="1" t="s">
        <v>16</v>
      </c>
      <c r="B29" s="1" t="s">
        <v>37</v>
      </c>
      <c r="C29" s="10"/>
      <c r="D29" s="10"/>
      <c r="E29" s="10">
        <v>4330</v>
      </c>
      <c r="F29" s="10"/>
      <c r="G29" s="10">
        <f t="shared" si="0"/>
        <v>4330</v>
      </c>
      <c r="H29" s="16">
        <f t="shared" si="1"/>
        <v>1.2</v>
      </c>
      <c r="I29" s="15">
        <f t="shared" si="2"/>
        <v>3.0000000000000001E-3</v>
      </c>
      <c r="J29" s="15">
        <f>ROUND(G29/3540-1,2)</f>
        <v>0.22</v>
      </c>
    </row>
    <row r="30" spans="1:10" x14ac:dyDescent="0.25">
      <c r="A30" s="1" t="s">
        <v>16</v>
      </c>
      <c r="B30" s="1" t="s">
        <v>43</v>
      </c>
      <c r="C30" s="10"/>
      <c r="D30" s="10"/>
      <c r="E30" s="10">
        <v>11180</v>
      </c>
      <c r="F30" s="10"/>
      <c r="G30" s="10">
        <f t="shared" si="0"/>
        <v>11180</v>
      </c>
      <c r="H30" s="16">
        <f t="shared" si="1"/>
        <v>3.1</v>
      </c>
      <c r="I30" s="15">
        <f t="shared" si="2"/>
        <v>8.0000000000000002E-3</v>
      </c>
      <c r="J30" s="15">
        <f>ROUND(G30/11857-1,2)</f>
        <v>-0.06</v>
      </c>
    </row>
    <row r="31" spans="1:10" x14ac:dyDescent="0.25">
      <c r="A31" s="1" t="s">
        <v>16</v>
      </c>
      <c r="B31" s="1" t="s">
        <v>38</v>
      </c>
      <c r="C31" s="10"/>
      <c r="D31" s="10"/>
      <c r="E31" s="10">
        <v>94800</v>
      </c>
      <c r="F31" s="10"/>
      <c r="G31" s="10">
        <f t="shared" si="0"/>
        <v>94800</v>
      </c>
      <c r="H31" s="16">
        <f t="shared" si="1"/>
        <v>26.25</v>
      </c>
      <c r="I31" s="15">
        <f t="shared" si="2"/>
        <v>7.1999999999999995E-2</v>
      </c>
      <c r="J31" s="15">
        <f>ROUND(G31/56650-1,2)</f>
        <v>0.67</v>
      </c>
    </row>
    <row r="32" spans="1:10" x14ac:dyDescent="0.25">
      <c r="A32" s="1" t="s">
        <v>16</v>
      </c>
      <c r="B32" s="1" t="s">
        <v>39</v>
      </c>
      <c r="C32" s="10"/>
      <c r="D32" s="10"/>
      <c r="E32" s="10">
        <v>6290</v>
      </c>
      <c r="F32" s="10"/>
      <c r="G32" s="10">
        <f t="shared" si="0"/>
        <v>6290</v>
      </c>
      <c r="H32" s="16">
        <f t="shared" si="1"/>
        <v>1.74</v>
      </c>
      <c r="I32" s="15">
        <f t="shared" si="2"/>
        <v>5.0000000000000001E-3</v>
      </c>
      <c r="J32" s="15">
        <f>ROUND(G32/11335-1,2)</f>
        <v>-0.45</v>
      </c>
    </row>
    <row r="33" spans="1:10" x14ac:dyDescent="0.25">
      <c r="A33" s="1" t="s">
        <v>16</v>
      </c>
      <c r="B33" s="1" t="s">
        <v>40</v>
      </c>
      <c r="C33" s="10"/>
      <c r="D33" s="10"/>
      <c r="E33" s="10">
        <v>23720</v>
      </c>
      <c r="F33" s="10"/>
      <c r="G33" s="10">
        <f t="shared" si="0"/>
        <v>23720</v>
      </c>
      <c r="H33" s="16">
        <f t="shared" si="1"/>
        <v>6.57</v>
      </c>
      <c r="I33" s="15">
        <f t="shared" si="2"/>
        <v>1.7999999999999999E-2</v>
      </c>
      <c r="J33" s="15">
        <f>ROUND(G33/22480-1,2)</f>
        <v>0.06</v>
      </c>
    </row>
    <row r="34" spans="1:10" x14ac:dyDescent="0.25">
      <c r="A34" s="1" t="s">
        <v>16</v>
      </c>
      <c r="B34" s="1" t="s">
        <v>41</v>
      </c>
      <c r="C34" s="10"/>
      <c r="D34" s="10"/>
      <c r="E34" s="10">
        <v>115660</v>
      </c>
      <c r="F34" s="10"/>
      <c r="G34" s="10">
        <f t="shared" si="0"/>
        <v>115660</v>
      </c>
      <c r="H34" s="16">
        <f t="shared" si="1"/>
        <v>32.03</v>
      </c>
      <c r="I34" s="15">
        <f t="shared" si="2"/>
        <v>8.7999999999999995E-2</v>
      </c>
      <c r="J34" s="15">
        <f>ROUND(G34/58850-1,2)</f>
        <v>0.97</v>
      </c>
    </row>
    <row r="35" spans="1:10" x14ac:dyDescent="0.25">
      <c r="A35" s="1" t="s">
        <v>16</v>
      </c>
      <c r="B35" s="1" t="s">
        <v>36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>
        <f>ROUND(G35/4619-1,2)</f>
        <v>-1</v>
      </c>
    </row>
    <row r="36" spans="1:10" x14ac:dyDescent="0.25">
      <c r="A36" s="1" t="s">
        <v>44</v>
      </c>
      <c r="B36" s="1" t="s">
        <v>45</v>
      </c>
      <c r="C36" s="10">
        <v>170620</v>
      </c>
      <c r="D36" s="10"/>
      <c r="E36" s="10"/>
      <c r="F36" s="10"/>
      <c r="G36" s="10">
        <f t="shared" si="0"/>
        <v>170620</v>
      </c>
      <c r="H36" s="16">
        <f t="shared" si="1"/>
        <v>47.25</v>
      </c>
      <c r="I36" s="15">
        <f t="shared" si="2"/>
        <v>0.13</v>
      </c>
      <c r="J36" s="15">
        <f>ROUND(G36/169800-1,2)</f>
        <v>0</v>
      </c>
    </row>
    <row r="37" spans="1:10" x14ac:dyDescent="0.25">
      <c r="A37" s="1" t="s">
        <v>44</v>
      </c>
      <c r="B37" s="1" t="s">
        <v>47</v>
      </c>
      <c r="C37" s="10"/>
      <c r="D37" s="10"/>
      <c r="E37" s="10"/>
      <c r="F37" s="10">
        <v>13690</v>
      </c>
      <c r="G37" s="10">
        <f t="shared" si="0"/>
        <v>13690</v>
      </c>
      <c r="H37" s="16">
        <f t="shared" si="1"/>
        <v>3.79</v>
      </c>
      <c r="I37" s="15">
        <f t="shared" si="2"/>
        <v>0.01</v>
      </c>
      <c r="J37" s="15">
        <f>ROUND(G37/8820-1,2)</f>
        <v>0.55000000000000004</v>
      </c>
    </row>
    <row r="38" spans="1:10" x14ac:dyDescent="0.25">
      <c r="A38" s="1" t="s">
        <v>44</v>
      </c>
      <c r="B38" s="1" t="s">
        <v>46</v>
      </c>
      <c r="C38" s="10"/>
      <c r="D38" s="10"/>
      <c r="E38" s="10">
        <v>83560</v>
      </c>
      <c r="F38" s="10"/>
      <c r="G38" s="10">
        <f t="shared" si="0"/>
        <v>83560</v>
      </c>
      <c r="H38" s="16">
        <f t="shared" si="1"/>
        <v>23.14</v>
      </c>
      <c r="I38" s="15">
        <f t="shared" si="2"/>
        <v>6.3E-2</v>
      </c>
      <c r="J38" s="15">
        <f>ROUND(G38/49620-1,2)</f>
        <v>0.68</v>
      </c>
    </row>
    <row r="39" spans="1:10" x14ac:dyDescent="0.25">
      <c r="A39" s="1" t="s">
        <v>48</v>
      </c>
      <c r="B39" s="1" t="s">
        <v>51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1" t="s">
        <v>48</v>
      </c>
      <c r="B40" s="1" t="s">
        <v>49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/>
    </row>
    <row r="41" spans="1:10" x14ac:dyDescent="0.25">
      <c r="A41" s="1" t="s">
        <v>48</v>
      </c>
      <c r="B41" s="1" t="s">
        <v>50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/>
    </row>
    <row r="42" spans="1:10" x14ac:dyDescent="0.25">
      <c r="A42" s="1" t="s">
        <v>48</v>
      </c>
      <c r="B42" s="1" t="s">
        <v>86</v>
      </c>
      <c r="C42" s="10"/>
      <c r="D42" s="10"/>
      <c r="E42" s="10"/>
      <c r="F42" s="10"/>
      <c r="G42" s="10">
        <f t="shared" si="0"/>
        <v>0</v>
      </c>
      <c r="H42" s="16">
        <f t="shared" si="1"/>
        <v>0</v>
      </c>
      <c r="I42" s="15">
        <f t="shared" si="2"/>
        <v>0</v>
      </c>
      <c r="J42" s="15"/>
    </row>
    <row r="43" spans="1:10" x14ac:dyDescent="0.25">
      <c r="A43" s="30" t="s">
        <v>12</v>
      </c>
      <c r="B43" s="30"/>
      <c r="C43" s="11">
        <f t="shared" ref="C43:H43" si="3">SUM(C8:C42)</f>
        <v>769830</v>
      </c>
      <c r="D43" s="11">
        <f t="shared" si="3"/>
        <v>213</v>
      </c>
      <c r="E43" s="11">
        <f t="shared" si="3"/>
        <v>531545</v>
      </c>
      <c r="F43" s="11">
        <f t="shared" si="3"/>
        <v>15390</v>
      </c>
      <c r="G43" s="11">
        <f t="shared" si="3"/>
        <v>1316978</v>
      </c>
      <c r="H43" s="14">
        <f t="shared" si="3"/>
        <v>364.72999999999996</v>
      </c>
      <c r="I43" s="17"/>
      <c r="J43" s="17"/>
    </row>
    <row r="44" spans="1:10" x14ac:dyDescent="0.25">
      <c r="A44" s="30" t="s">
        <v>14</v>
      </c>
      <c r="B44" s="30"/>
      <c r="C44" s="12">
        <f>ROUND(C43/G43,2)</f>
        <v>0.57999999999999996</v>
      </c>
      <c r="D44" s="12">
        <f>ROUND(D43/G43,2)</f>
        <v>0</v>
      </c>
      <c r="E44" s="12">
        <f>ROUND(E43/G43,2)</f>
        <v>0.4</v>
      </c>
      <c r="F44" s="12">
        <f>ROUND(F43/G43,2)</f>
        <v>0.01</v>
      </c>
      <c r="G44" s="13"/>
      <c r="H44" s="13"/>
      <c r="I44" s="17"/>
      <c r="J44" s="17"/>
    </row>
    <row r="45" spans="1:10" x14ac:dyDescent="0.25">
      <c r="A45" s="2" t="s">
        <v>52</v>
      </c>
      <c r="B45" s="2"/>
      <c r="C45" s="13"/>
      <c r="D45" s="13"/>
      <c r="E45" s="13"/>
      <c r="F45" s="13"/>
      <c r="G45" s="13"/>
      <c r="H45" s="13"/>
      <c r="I45" s="17"/>
      <c r="J45" s="17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A49" s="30" t="s">
        <v>53</v>
      </c>
      <c r="B49" s="30"/>
      <c r="C49" s="11" t="s">
        <v>8</v>
      </c>
      <c r="D49" s="11" t="s">
        <v>9</v>
      </c>
      <c r="E49" s="11" t="s">
        <v>10</v>
      </c>
      <c r="F49" s="11" t="s">
        <v>11</v>
      </c>
      <c r="G49" s="11" t="s">
        <v>12</v>
      </c>
      <c r="H49" s="14" t="s">
        <v>13</v>
      </c>
      <c r="I49" s="17"/>
      <c r="J49" s="17"/>
    </row>
    <row r="50" spans="1:10" x14ac:dyDescent="0.25">
      <c r="A50" s="29" t="s">
        <v>54</v>
      </c>
      <c r="B50" s="29"/>
      <c r="C50" s="10">
        <v>599210</v>
      </c>
      <c r="D50" s="10">
        <v>213</v>
      </c>
      <c r="E50" s="10">
        <v>447985</v>
      </c>
      <c r="F50" s="10">
        <v>1700</v>
      </c>
      <c r="G50" s="10">
        <f>SUM(C50:F50)</f>
        <v>1049108</v>
      </c>
      <c r="H50" s="16">
        <f>ROUND(G50/3611,2)</f>
        <v>290.52999999999997</v>
      </c>
      <c r="I50" s="9"/>
      <c r="J50" s="9"/>
    </row>
    <row r="51" spans="1:10" x14ac:dyDescent="0.25">
      <c r="A51" s="29" t="s">
        <v>55</v>
      </c>
      <c r="B51" s="29"/>
      <c r="C51" s="10">
        <v>170620</v>
      </c>
      <c r="D51" s="10">
        <v>0</v>
      </c>
      <c r="E51" s="10">
        <v>83560</v>
      </c>
      <c r="F51" s="10">
        <v>13690</v>
      </c>
      <c r="G51" s="10">
        <f>SUM(C51:F51)</f>
        <v>267870</v>
      </c>
      <c r="H51" s="16">
        <f>ROUND(G51/3611,2)</f>
        <v>74.180000000000007</v>
      </c>
      <c r="I51" s="9"/>
      <c r="J51" s="9"/>
    </row>
    <row r="52" spans="1:10" x14ac:dyDescent="0.25">
      <c r="A52" s="29" t="s">
        <v>56</v>
      </c>
      <c r="B52" s="29"/>
      <c r="C52" s="10">
        <v>0</v>
      </c>
      <c r="D52" s="10">
        <v>0</v>
      </c>
      <c r="E52" s="10">
        <v>0</v>
      </c>
      <c r="F52" s="10">
        <v>0</v>
      </c>
      <c r="G52" s="10">
        <f>SUM(C52:F52)</f>
        <v>0</v>
      </c>
      <c r="H52" s="16">
        <f>ROUND(G52/3611,2)</f>
        <v>0</v>
      </c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A57" s="30" t="s">
        <v>57</v>
      </c>
      <c r="B57" s="30"/>
      <c r="C57" s="14" t="s">
        <v>2</v>
      </c>
      <c r="D57" s="14">
        <v>2023</v>
      </c>
      <c r="E57" s="14" t="s">
        <v>59</v>
      </c>
      <c r="F57" s="13"/>
      <c r="G57" s="20" t="s">
        <v>60</v>
      </c>
      <c r="H57" s="14" t="s">
        <v>2</v>
      </c>
      <c r="I57" s="12" t="s">
        <v>61</v>
      </c>
      <c r="J57" s="12" t="s">
        <v>59</v>
      </c>
    </row>
    <row r="58" spans="1:10" x14ac:dyDescent="0.25">
      <c r="A58" s="29" t="s">
        <v>58</v>
      </c>
      <c r="B58" s="29"/>
      <c r="C58" s="15">
        <f>ROUND(0.8526, 4)</f>
        <v>0.85260000000000002</v>
      </c>
      <c r="D58" s="15">
        <f>ROUND(0.8455, 4)</f>
        <v>0.84550000000000003</v>
      </c>
      <c r="E58" s="15">
        <f>ROUND(0.777, 4)</f>
        <v>0.77700000000000002</v>
      </c>
      <c r="F58" s="8"/>
      <c r="G58" s="20" t="s">
        <v>62</v>
      </c>
      <c r="H58" s="33" t="s">
        <v>63</v>
      </c>
      <c r="I58" s="31" t="s">
        <v>64</v>
      </c>
      <c r="J58" s="31" t="s">
        <v>65</v>
      </c>
    </row>
    <row r="59" spans="1:10" x14ac:dyDescent="0.25">
      <c r="A59" s="29" t="s">
        <v>66</v>
      </c>
      <c r="B59" s="29"/>
      <c r="C59" s="15">
        <f>ROUND(0.8392, 4)</f>
        <v>0.83919999999999995</v>
      </c>
      <c r="D59" s="15">
        <f>ROUND(0.8324, 4)</f>
        <v>0.83240000000000003</v>
      </c>
      <c r="E59" s="15">
        <f>ROUND(0.7608, 4)</f>
        <v>0.76080000000000003</v>
      </c>
      <c r="F59" s="8"/>
      <c r="G59" s="14" t="s">
        <v>67</v>
      </c>
      <c r="H59" s="34"/>
      <c r="I59" s="32"/>
      <c r="J59" s="32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A63" s="30" t="s">
        <v>68</v>
      </c>
      <c r="B63" s="30"/>
      <c r="C63" s="14" t="s">
        <v>2</v>
      </c>
      <c r="D63" s="14" t="s">
        <v>191</v>
      </c>
      <c r="E63" s="14" t="s">
        <v>70</v>
      </c>
      <c r="F63" s="14" t="s">
        <v>71</v>
      </c>
      <c r="G63" s="14" t="s">
        <v>72</v>
      </c>
      <c r="H63" s="13"/>
      <c r="I63" s="17"/>
      <c r="J63" s="17"/>
    </row>
    <row r="64" spans="1:10" x14ac:dyDescent="0.25">
      <c r="A64" s="29" t="s">
        <v>73</v>
      </c>
      <c r="B64" s="29"/>
      <c r="C64" s="16">
        <v>47.25</v>
      </c>
      <c r="D64" s="16">
        <v>43.94</v>
      </c>
      <c r="E64" s="16">
        <v>93.87</v>
      </c>
      <c r="F64" s="16">
        <v>57.16</v>
      </c>
      <c r="G64" s="16">
        <f>12/12*C64</f>
        <v>47.25</v>
      </c>
      <c r="H64" s="8"/>
      <c r="I64" s="9"/>
      <c r="J64" s="9"/>
    </row>
    <row r="65" spans="1:10" x14ac:dyDescent="0.25">
      <c r="A65" s="29" t="s">
        <v>74</v>
      </c>
      <c r="B65" s="29"/>
      <c r="C65" s="16">
        <v>55.86</v>
      </c>
      <c r="D65" s="16">
        <v>55.26</v>
      </c>
      <c r="E65" s="16">
        <v>62.84</v>
      </c>
      <c r="F65" s="16">
        <v>65.39</v>
      </c>
      <c r="G65" s="16">
        <f>12/12*C65</f>
        <v>55.86</v>
      </c>
      <c r="H65" s="8"/>
      <c r="I65" s="9"/>
      <c r="J65" s="9"/>
    </row>
    <row r="66" spans="1:10" x14ac:dyDescent="0.25">
      <c r="A66" s="29" t="s">
        <v>75</v>
      </c>
      <c r="B66" s="29"/>
      <c r="C66" s="16">
        <v>313.58999999999997</v>
      </c>
      <c r="D66" s="16">
        <v>281.08</v>
      </c>
      <c r="E66" s="16">
        <v>295.08999999999997</v>
      </c>
      <c r="F66" s="16">
        <v>289.06</v>
      </c>
      <c r="G66" s="16">
        <f>12/12*C66</f>
        <v>313.58999999999997</v>
      </c>
      <c r="H66" s="8"/>
      <c r="I66" s="9"/>
      <c r="J66" s="9"/>
    </row>
    <row r="67" spans="1:10" x14ac:dyDescent="0.25">
      <c r="A67" s="29" t="s">
        <v>76</v>
      </c>
      <c r="B67" s="29"/>
      <c r="C67" s="16">
        <v>74.180000000000007</v>
      </c>
      <c r="D67" s="16">
        <v>70.930000000000007</v>
      </c>
      <c r="E67" s="16">
        <v>118.05</v>
      </c>
      <c r="F67" s="16">
        <v>81.41</v>
      </c>
      <c r="G67" s="16">
        <f>12/12*C67</f>
        <v>74.180000000000007</v>
      </c>
      <c r="H67" s="8"/>
      <c r="I67" s="9"/>
      <c r="J67" s="9"/>
    </row>
    <row r="68" spans="1:10" x14ac:dyDescent="0.25">
      <c r="C68" s="8"/>
      <c r="D68" s="8"/>
      <c r="E68" s="8"/>
      <c r="F68" s="8"/>
      <c r="G68" s="8"/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28" t="s">
        <v>60</v>
      </c>
      <c r="B70" s="35"/>
    </row>
    <row r="71" spans="1:10" x14ac:dyDescent="0.25">
      <c r="A71" s="3" t="s">
        <v>77</v>
      </c>
      <c r="B71" s="1" t="s">
        <v>192</v>
      </c>
    </row>
    <row r="72" spans="1:10" x14ac:dyDescent="0.25">
      <c r="A72" s="3" t="s">
        <v>70</v>
      </c>
      <c r="B72" s="1" t="s">
        <v>79</v>
      </c>
    </row>
    <row r="73" spans="1:10" x14ac:dyDescent="0.25">
      <c r="A73" s="3" t="s">
        <v>71</v>
      </c>
      <c r="B73" s="1" t="s">
        <v>80</v>
      </c>
    </row>
    <row r="74" spans="1:10" x14ac:dyDescent="0.25">
      <c r="A74" s="3" t="s">
        <v>72</v>
      </c>
      <c r="B74" s="1" t="s">
        <v>81</v>
      </c>
    </row>
  </sheetData>
  <mergeCells count="19">
    <mergeCell ref="A65:B65"/>
    <mergeCell ref="A66:B66"/>
    <mergeCell ref="A67:B67"/>
    <mergeCell ref="A70:B70"/>
    <mergeCell ref="I58:I59"/>
    <mergeCell ref="J58:J59"/>
    <mergeCell ref="A59:B59"/>
    <mergeCell ref="A63:B63"/>
    <mergeCell ref="A64:B64"/>
    <mergeCell ref="A51:B51"/>
    <mergeCell ref="A52:B52"/>
    <mergeCell ref="A57:B57"/>
    <mergeCell ref="A58:B58"/>
    <mergeCell ref="H58:H59"/>
    <mergeCell ref="C7:G7"/>
    <mergeCell ref="A43:B43"/>
    <mergeCell ref="A44:B44"/>
    <mergeCell ref="A49:B49"/>
    <mergeCell ref="A50:B50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J72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3.425781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193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600</v>
      </c>
    </row>
    <row r="7" spans="1:10" x14ac:dyDescent="0.25">
      <c r="C7" s="28" t="s">
        <v>5</v>
      </c>
      <c r="D7" s="29"/>
      <c r="E7" s="29"/>
      <c r="F7" s="29"/>
      <c r="G7" s="29"/>
    </row>
    <row r="8" spans="1:10" x14ac:dyDescent="0.25">
      <c r="A8" s="25" t="s">
        <v>6</v>
      </c>
      <c r="B8" s="25" t="s">
        <v>7</v>
      </c>
      <c r="C8" s="27" t="s">
        <v>8</v>
      </c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</row>
    <row r="9" spans="1:10" x14ac:dyDescent="0.25">
      <c r="A9" s="1" t="s">
        <v>16</v>
      </c>
      <c r="B9" s="1" t="s">
        <v>19</v>
      </c>
      <c r="C9" s="10">
        <v>20760</v>
      </c>
      <c r="D9" s="10"/>
      <c r="E9" s="10"/>
      <c r="F9" s="10"/>
      <c r="G9" s="10">
        <f t="shared" ref="G9:G37" si="0">SUM(C9:F9)</f>
        <v>20760</v>
      </c>
      <c r="H9" s="16">
        <f t="shared" ref="H9:H37" si="1">ROUND(G9/600,2)</f>
        <v>34.6</v>
      </c>
      <c r="I9" s="15">
        <f t="shared" ref="I9:I37" si="2">ROUND(G9/$G$38,3)</f>
        <v>0.09</v>
      </c>
      <c r="J9" s="15">
        <f>ROUND(G9/19770-1,2)</f>
        <v>0.05</v>
      </c>
    </row>
    <row r="10" spans="1:10" x14ac:dyDescent="0.25">
      <c r="A10" s="1" t="s">
        <v>16</v>
      </c>
      <c r="B10" s="1" t="s">
        <v>20</v>
      </c>
      <c r="C10" s="10">
        <v>29050</v>
      </c>
      <c r="D10" s="10"/>
      <c r="E10" s="10"/>
      <c r="F10" s="10"/>
      <c r="G10" s="10">
        <f t="shared" si="0"/>
        <v>29050</v>
      </c>
      <c r="H10" s="16">
        <f t="shared" si="1"/>
        <v>48.42</v>
      </c>
      <c r="I10" s="15">
        <f t="shared" si="2"/>
        <v>0.126</v>
      </c>
      <c r="J10" s="15">
        <f>ROUND(G10/33750-1,2)</f>
        <v>-0.14000000000000001</v>
      </c>
    </row>
    <row r="11" spans="1:10" x14ac:dyDescent="0.25">
      <c r="A11" s="1" t="s">
        <v>16</v>
      </c>
      <c r="B11" s="1" t="s">
        <v>21</v>
      </c>
      <c r="C11" s="10"/>
      <c r="D11" s="10"/>
      <c r="E11" s="10">
        <v>152</v>
      </c>
      <c r="F11" s="10"/>
      <c r="G11" s="10">
        <f t="shared" si="0"/>
        <v>152</v>
      </c>
      <c r="H11" s="16">
        <f t="shared" si="1"/>
        <v>0.25</v>
      </c>
      <c r="I11" s="15">
        <f t="shared" si="2"/>
        <v>1E-3</v>
      </c>
      <c r="J11" s="15">
        <f>ROUND(G11/91-1,2)</f>
        <v>0.67</v>
      </c>
    </row>
    <row r="12" spans="1:10" x14ac:dyDescent="0.25">
      <c r="A12" s="1" t="s">
        <v>16</v>
      </c>
      <c r="B12" s="1" t="s">
        <v>23</v>
      </c>
      <c r="C12" s="10"/>
      <c r="D12" s="10"/>
      <c r="E12" s="10">
        <v>21180</v>
      </c>
      <c r="F12" s="10"/>
      <c r="G12" s="10">
        <f t="shared" si="0"/>
        <v>21180</v>
      </c>
      <c r="H12" s="16">
        <f t="shared" si="1"/>
        <v>35.299999999999997</v>
      </c>
      <c r="I12" s="15">
        <f t="shared" si="2"/>
        <v>9.1999999999999998E-2</v>
      </c>
      <c r="J12" s="15">
        <f>ROUND(G12/17060-1,2)</f>
        <v>0.24</v>
      </c>
    </row>
    <row r="13" spans="1:10" x14ac:dyDescent="0.25">
      <c r="A13" s="1" t="s">
        <v>16</v>
      </c>
      <c r="B13" s="1" t="s">
        <v>24</v>
      </c>
      <c r="C13" s="10">
        <v>24160</v>
      </c>
      <c r="D13" s="10"/>
      <c r="E13" s="10"/>
      <c r="F13" s="10"/>
      <c r="G13" s="10">
        <f t="shared" si="0"/>
        <v>24160</v>
      </c>
      <c r="H13" s="16">
        <f t="shared" si="1"/>
        <v>40.270000000000003</v>
      </c>
      <c r="I13" s="15">
        <f t="shared" si="2"/>
        <v>0.105</v>
      </c>
      <c r="J13" s="15">
        <f>ROUND(G13/23900-1,2)</f>
        <v>0.01</v>
      </c>
    </row>
    <row r="14" spans="1:10" x14ac:dyDescent="0.25">
      <c r="A14" s="1" t="s">
        <v>16</v>
      </c>
      <c r="B14" s="1" t="s">
        <v>25</v>
      </c>
      <c r="C14" s="10"/>
      <c r="D14" s="10"/>
      <c r="E14" s="10">
        <v>950</v>
      </c>
      <c r="F14" s="10"/>
      <c r="G14" s="10">
        <f t="shared" si="0"/>
        <v>950</v>
      </c>
      <c r="H14" s="16">
        <f t="shared" si="1"/>
        <v>1.58</v>
      </c>
      <c r="I14" s="15">
        <f t="shared" si="2"/>
        <v>4.0000000000000001E-3</v>
      </c>
      <c r="J14" s="15">
        <f>ROUND(G14/1550-1,2)</f>
        <v>-0.39</v>
      </c>
    </row>
    <row r="15" spans="1:10" x14ac:dyDescent="0.25">
      <c r="A15" s="1" t="s">
        <v>16</v>
      </c>
      <c r="B15" s="1" t="s">
        <v>26</v>
      </c>
      <c r="C15" s="10">
        <v>26320</v>
      </c>
      <c r="D15" s="10"/>
      <c r="E15" s="10"/>
      <c r="F15" s="10"/>
      <c r="G15" s="10">
        <f t="shared" si="0"/>
        <v>26320</v>
      </c>
      <c r="H15" s="16">
        <f t="shared" si="1"/>
        <v>43.87</v>
      </c>
      <c r="I15" s="15">
        <f t="shared" si="2"/>
        <v>0.114</v>
      </c>
      <c r="J15" s="15">
        <f>ROUND(G15/25540-1,2)</f>
        <v>0.03</v>
      </c>
    </row>
    <row r="16" spans="1:10" x14ac:dyDescent="0.25">
      <c r="A16" s="1" t="s">
        <v>16</v>
      </c>
      <c r="B16" s="1" t="s">
        <v>27</v>
      </c>
      <c r="C16" s="10"/>
      <c r="D16" s="10"/>
      <c r="E16" s="10">
        <v>779</v>
      </c>
      <c r="F16" s="10"/>
      <c r="G16" s="10">
        <f t="shared" si="0"/>
        <v>779</v>
      </c>
      <c r="H16" s="16">
        <f t="shared" si="1"/>
        <v>1.3</v>
      </c>
      <c r="I16" s="15">
        <f t="shared" si="2"/>
        <v>3.0000000000000001E-3</v>
      </c>
      <c r="J16" s="15">
        <f>ROUND(G16/1151-1,2)</f>
        <v>-0.32</v>
      </c>
    </row>
    <row r="17" spans="1:10" x14ac:dyDescent="0.25">
      <c r="A17" s="1" t="s">
        <v>16</v>
      </c>
      <c r="B17" s="1" t="s">
        <v>28</v>
      </c>
      <c r="C17" s="10"/>
      <c r="D17" s="10"/>
      <c r="E17" s="10">
        <v>275</v>
      </c>
      <c r="F17" s="10"/>
      <c r="G17" s="10">
        <f t="shared" si="0"/>
        <v>275</v>
      </c>
      <c r="H17" s="16">
        <f t="shared" si="1"/>
        <v>0.46</v>
      </c>
      <c r="I17" s="15">
        <f t="shared" si="2"/>
        <v>1E-3</v>
      </c>
      <c r="J17" s="15">
        <f>ROUND(G17/431-1,2)</f>
        <v>-0.36</v>
      </c>
    </row>
    <row r="18" spans="1:10" x14ac:dyDescent="0.25">
      <c r="A18" s="1" t="s">
        <v>16</v>
      </c>
      <c r="B18" s="1" t="s">
        <v>29</v>
      </c>
      <c r="C18" s="10"/>
      <c r="D18" s="10"/>
      <c r="E18" s="10">
        <v>1030</v>
      </c>
      <c r="F18" s="10"/>
      <c r="G18" s="10">
        <f t="shared" si="0"/>
        <v>1030</v>
      </c>
      <c r="H18" s="16">
        <f t="shared" si="1"/>
        <v>1.72</v>
      </c>
      <c r="I18" s="15">
        <f t="shared" si="2"/>
        <v>4.0000000000000001E-3</v>
      </c>
      <c r="J18" s="15">
        <f>ROUND(G18/1680-1,2)</f>
        <v>-0.39</v>
      </c>
    </row>
    <row r="19" spans="1:10" x14ac:dyDescent="0.25">
      <c r="A19" s="1" t="s">
        <v>16</v>
      </c>
      <c r="B19" s="1" t="s">
        <v>30</v>
      </c>
      <c r="C19" s="10"/>
      <c r="D19" s="10"/>
      <c r="E19" s="10">
        <v>200</v>
      </c>
      <c r="F19" s="10"/>
      <c r="G19" s="10">
        <f t="shared" si="0"/>
        <v>200</v>
      </c>
      <c r="H19" s="16">
        <f t="shared" si="1"/>
        <v>0.33</v>
      </c>
      <c r="I19" s="15">
        <f t="shared" si="2"/>
        <v>1E-3</v>
      </c>
      <c r="J19" s="15">
        <f>ROUND(G19/180-1,2)</f>
        <v>0.11</v>
      </c>
    </row>
    <row r="20" spans="1:10" x14ac:dyDescent="0.25">
      <c r="A20" s="1" t="s">
        <v>16</v>
      </c>
      <c r="B20" s="1" t="s">
        <v>32</v>
      </c>
      <c r="C20" s="10"/>
      <c r="D20" s="10"/>
      <c r="E20" s="10">
        <v>825</v>
      </c>
      <c r="F20" s="10"/>
      <c r="G20" s="10">
        <f t="shared" si="0"/>
        <v>825</v>
      </c>
      <c r="H20" s="16">
        <f t="shared" si="1"/>
        <v>1.38</v>
      </c>
      <c r="I20" s="15">
        <f t="shared" si="2"/>
        <v>4.0000000000000001E-3</v>
      </c>
      <c r="J20" s="15">
        <f>ROUND(G20/845-1,2)</f>
        <v>-0.02</v>
      </c>
    </row>
    <row r="21" spans="1:10" x14ac:dyDescent="0.25">
      <c r="A21" s="1" t="s">
        <v>16</v>
      </c>
      <c r="B21" s="1" t="s">
        <v>33</v>
      </c>
      <c r="C21" s="10"/>
      <c r="D21" s="10">
        <v>52</v>
      </c>
      <c r="E21" s="10">
        <v>15</v>
      </c>
      <c r="F21" s="10"/>
      <c r="G21" s="10">
        <f t="shared" si="0"/>
        <v>67</v>
      </c>
      <c r="H21" s="16">
        <f t="shared" si="1"/>
        <v>0.11</v>
      </c>
      <c r="I21" s="15">
        <f t="shared" si="2"/>
        <v>0</v>
      </c>
      <c r="J21" s="15">
        <f>ROUND(G21/73-1,2)</f>
        <v>-0.08</v>
      </c>
    </row>
    <row r="22" spans="1:10" x14ac:dyDescent="0.25">
      <c r="A22" s="1" t="s">
        <v>16</v>
      </c>
      <c r="B22" s="1" t="s">
        <v>34</v>
      </c>
      <c r="C22" s="10"/>
      <c r="D22" s="10"/>
      <c r="E22" s="10">
        <v>550</v>
      </c>
      <c r="F22" s="10"/>
      <c r="G22" s="10">
        <f t="shared" si="0"/>
        <v>550</v>
      </c>
      <c r="H22" s="16">
        <f t="shared" si="1"/>
        <v>0.92</v>
      </c>
      <c r="I22" s="15">
        <f t="shared" si="2"/>
        <v>2E-3</v>
      </c>
      <c r="J22" s="15">
        <f>ROUND(G22/990-1,2)</f>
        <v>-0.44</v>
      </c>
    </row>
    <row r="23" spans="1:10" x14ac:dyDescent="0.25">
      <c r="A23" s="1" t="s">
        <v>16</v>
      </c>
      <c r="B23" s="1" t="s">
        <v>35</v>
      </c>
      <c r="C23" s="10"/>
      <c r="D23" s="10"/>
      <c r="E23" s="10">
        <v>160</v>
      </c>
      <c r="F23" s="10"/>
      <c r="G23" s="10">
        <f t="shared" si="0"/>
        <v>160</v>
      </c>
      <c r="H23" s="16">
        <f t="shared" si="1"/>
        <v>0.27</v>
      </c>
      <c r="I23" s="15">
        <f t="shared" si="2"/>
        <v>1E-3</v>
      </c>
      <c r="J23" s="15"/>
    </row>
    <row r="24" spans="1:10" x14ac:dyDescent="0.25">
      <c r="A24" s="1" t="s">
        <v>16</v>
      </c>
      <c r="B24" s="1" t="s">
        <v>37</v>
      </c>
      <c r="C24" s="10"/>
      <c r="D24" s="10"/>
      <c r="E24" s="10">
        <v>750</v>
      </c>
      <c r="F24" s="10"/>
      <c r="G24" s="10">
        <f t="shared" si="0"/>
        <v>750</v>
      </c>
      <c r="H24" s="16">
        <f t="shared" si="1"/>
        <v>1.25</v>
      </c>
      <c r="I24" s="15">
        <f t="shared" si="2"/>
        <v>3.0000000000000001E-3</v>
      </c>
      <c r="J24" s="15">
        <f>ROUND(G24/2440-1,2)</f>
        <v>-0.69</v>
      </c>
    </row>
    <row r="25" spans="1:10" x14ac:dyDescent="0.25">
      <c r="A25" s="1" t="s">
        <v>16</v>
      </c>
      <c r="B25" s="1" t="s">
        <v>38</v>
      </c>
      <c r="C25" s="10"/>
      <c r="D25" s="10"/>
      <c r="E25" s="10">
        <v>21360</v>
      </c>
      <c r="F25" s="10"/>
      <c r="G25" s="10">
        <f t="shared" si="0"/>
        <v>21360</v>
      </c>
      <c r="H25" s="16">
        <f t="shared" si="1"/>
        <v>35.6</v>
      </c>
      <c r="I25" s="15">
        <f t="shared" si="2"/>
        <v>9.2999999999999999E-2</v>
      </c>
      <c r="J25" s="15">
        <f>ROUND(G25/16960-1,2)</f>
        <v>0.26</v>
      </c>
    </row>
    <row r="26" spans="1:10" x14ac:dyDescent="0.25">
      <c r="A26" s="1" t="s">
        <v>16</v>
      </c>
      <c r="B26" s="1" t="s">
        <v>39</v>
      </c>
      <c r="C26" s="10"/>
      <c r="D26" s="10"/>
      <c r="E26" s="10">
        <v>2210</v>
      </c>
      <c r="F26" s="10"/>
      <c r="G26" s="10">
        <f t="shared" si="0"/>
        <v>2210</v>
      </c>
      <c r="H26" s="16">
        <f t="shared" si="1"/>
        <v>3.68</v>
      </c>
      <c r="I26" s="15">
        <f t="shared" si="2"/>
        <v>0.01</v>
      </c>
      <c r="J26" s="15">
        <f>ROUND(G26/3970-1,2)</f>
        <v>-0.44</v>
      </c>
    </row>
    <row r="27" spans="1:10" x14ac:dyDescent="0.25">
      <c r="A27" s="1" t="s">
        <v>16</v>
      </c>
      <c r="B27" s="1" t="s">
        <v>40</v>
      </c>
      <c r="C27" s="10"/>
      <c r="D27" s="10"/>
      <c r="E27" s="10">
        <v>8070</v>
      </c>
      <c r="F27" s="10"/>
      <c r="G27" s="10">
        <f t="shared" si="0"/>
        <v>8070</v>
      </c>
      <c r="H27" s="16">
        <f t="shared" si="1"/>
        <v>13.45</v>
      </c>
      <c r="I27" s="15">
        <f t="shared" si="2"/>
        <v>3.5000000000000003E-2</v>
      </c>
      <c r="J27" s="15">
        <f>ROUND(G27/7810-1,2)</f>
        <v>0.03</v>
      </c>
    </row>
    <row r="28" spans="1:10" x14ac:dyDescent="0.25">
      <c r="A28" s="1" t="s">
        <v>16</v>
      </c>
      <c r="B28" s="1" t="s">
        <v>36</v>
      </c>
      <c r="C28" s="10"/>
      <c r="D28" s="10"/>
      <c r="E28" s="10"/>
      <c r="F28" s="10"/>
      <c r="G28" s="10">
        <f t="shared" si="0"/>
        <v>0</v>
      </c>
      <c r="H28" s="16">
        <f t="shared" si="1"/>
        <v>0</v>
      </c>
      <c r="I28" s="15">
        <f t="shared" si="2"/>
        <v>0</v>
      </c>
      <c r="J28" s="15">
        <f>ROUND(G28/900-1,2)</f>
        <v>-1</v>
      </c>
    </row>
    <row r="29" spans="1:10" x14ac:dyDescent="0.25">
      <c r="A29" s="1" t="s">
        <v>16</v>
      </c>
      <c r="B29" s="1" t="s">
        <v>43</v>
      </c>
      <c r="C29" s="10"/>
      <c r="D29" s="10"/>
      <c r="E29" s="10"/>
      <c r="F29" s="10"/>
      <c r="G29" s="10">
        <f t="shared" si="0"/>
        <v>0</v>
      </c>
      <c r="H29" s="16">
        <f t="shared" si="1"/>
        <v>0</v>
      </c>
      <c r="I29" s="15">
        <f t="shared" si="2"/>
        <v>0</v>
      </c>
      <c r="J29" s="15">
        <f>ROUND(G29/1430-1,2)</f>
        <v>-1</v>
      </c>
    </row>
    <row r="30" spans="1:10" x14ac:dyDescent="0.25">
      <c r="A30" s="1" t="s">
        <v>16</v>
      </c>
      <c r="B30" s="1" t="s">
        <v>42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/>
    </row>
    <row r="31" spans="1:10" x14ac:dyDescent="0.25">
      <c r="A31" s="1" t="s">
        <v>16</v>
      </c>
      <c r="B31" s="1" t="s">
        <v>95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/>
    </row>
    <row r="32" spans="1:10" x14ac:dyDescent="0.25">
      <c r="A32" s="1" t="s">
        <v>16</v>
      </c>
      <c r="B32" s="1" t="s">
        <v>22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>
        <f>ROUND(G32/800-1,2)</f>
        <v>-1</v>
      </c>
    </row>
    <row r="33" spans="1:10" x14ac:dyDescent="0.25">
      <c r="A33" s="1" t="s">
        <v>16</v>
      </c>
      <c r="B33" s="1" t="s">
        <v>194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/>
    </row>
    <row r="34" spans="1:10" x14ac:dyDescent="0.25">
      <c r="A34" s="1" t="s">
        <v>16</v>
      </c>
      <c r="B34" s="1" t="s">
        <v>98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ROUND(G34/16-1,2)</f>
        <v>-1</v>
      </c>
    </row>
    <row r="35" spans="1:10" x14ac:dyDescent="0.25">
      <c r="A35" s="1" t="s">
        <v>44</v>
      </c>
      <c r="B35" s="1" t="s">
        <v>45</v>
      </c>
      <c r="C35" s="10">
        <v>53800</v>
      </c>
      <c r="D35" s="10"/>
      <c r="E35" s="10"/>
      <c r="F35" s="10"/>
      <c r="G35" s="10">
        <f t="shared" si="0"/>
        <v>53800</v>
      </c>
      <c r="H35" s="16">
        <f t="shared" si="1"/>
        <v>89.67</v>
      </c>
      <c r="I35" s="15">
        <f t="shared" si="2"/>
        <v>0.23400000000000001</v>
      </c>
      <c r="J35" s="15">
        <f>ROUND(G35/52625-1,2)</f>
        <v>0.02</v>
      </c>
    </row>
    <row r="36" spans="1:10" x14ac:dyDescent="0.25">
      <c r="A36" s="1" t="s">
        <v>44</v>
      </c>
      <c r="B36" s="1" t="s">
        <v>46</v>
      </c>
      <c r="C36" s="10"/>
      <c r="D36" s="10"/>
      <c r="E36" s="10">
        <v>17240</v>
      </c>
      <c r="F36" s="10"/>
      <c r="G36" s="10">
        <f t="shared" si="0"/>
        <v>17240</v>
      </c>
      <c r="H36" s="16">
        <f t="shared" si="1"/>
        <v>28.73</v>
      </c>
      <c r="I36" s="15">
        <f t="shared" si="2"/>
        <v>7.4999999999999997E-2</v>
      </c>
      <c r="J36" s="15">
        <f>ROUND(G36/9020-1,2)</f>
        <v>0.91</v>
      </c>
    </row>
    <row r="37" spans="1:10" x14ac:dyDescent="0.25">
      <c r="A37" s="1" t="s">
        <v>48</v>
      </c>
      <c r="B37" s="1" t="s">
        <v>51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30" t="s">
        <v>12</v>
      </c>
      <c r="B38" s="30"/>
      <c r="C38" s="11">
        <f t="shared" ref="C38:H38" si="3">SUM(C8:C37)</f>
        <v>154090</v>
      </c>
      <c r="D38" s="11">
        <f t="shared" si="3"/>
        <v>52</v>
      </c>
      <c r="E38" s="11">
        <f t="shared" si="3"/>
        <v>75746</v>
      </c>
      <c r="F38" s="11">
        <f t="shared" si="3"/>
        <v>0</v>
      </c>
      <c r="G38" s="11">
        <f t="shared" si="3"/>
        <v>229888</v>
      </c>
      <c r="H38" s="14">
        <f t="shared" si="3"/>
        <v>383.16000000000008</v>
      </c>
      <c r="I38" s="17"/>
      <c r="J38" s="17"/>
    </row>
    <row r="39" spans="1:10" x14ac:dyDescent="0.25">
      <c r="A39" s="30" t="s">
        <v>14</v>
      </c>
      <c r="B39" s="30"/>
      <c r="C39" s="12">
        <f>ROUND(C38/G38,2)</f>
        <v>0.67</v>
      </c>
      <c r="D39" s="12">
        <f>ROUND(D38/G38,2)</f>
        <v>0</v>
      </c>
      <c r="E39" s="12">
        <f>ROUND(E38/G38,2)</f>
        <v>0.33</v>
      </c>
      <c r="F39" s="12">
        <f>ROUND(F38/G38,2)</f>
        <v>0</v>
      </c>
      <c r="G39" s="13"/>
      <c r="H39" s="13"/>
      <c r="I39" s="17"/>
      <c r="J39" s="17"/>
    </row>
    <row r="40" spans="1:10" x14ac:dyDescent="0.25">
      <c r="A40" s="2" t="s">
        <v>52</v>
      </c>
      <c r="B40" s="2"/>
      <c r="C40" s="13"/>
      <c r="D40" s="13"/>
      <c r="E40" s="13"/>
      <c r="F40" s="13"/>
      <c r="G40" s="13"/>
      <c r="H40" s="13"/>
      <c r="I40" s="17"/>
      <c r="J40" s="17"/>
    </row>
    <row r="41" spans="1:10" x14ac:dyDescent="0.25">
      <c r="C41" s="8"/>
      <c r="D41" s="8"/>
      <c r="E41" s="8"/>
      <c r="F41" s="8"/>
      <c r="G41" s="8"/>
      <c r="H41" s="8"/>
      <c r="I41" s="9"/>
      <c r="J41" s="9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A44" s="30" t="s">
        <v>53</v>
      </c>
      <c r="B44" s="30"/>
      <c r="C44" s="11" t="s">
        <v>8</v>
      </c>
      <c r="D44" s="11" t="s">
        <v>9</v>
      </c>
      <c r="E44" s="11" t="s">
        <v>10</v>
      </c>
      <c r="F44" s="11" t="s">
        <v>11</v>
      </c>
      <c r="G44" s="11" t="s">
        <v>12</v>
      </c>
      <c r="H44" s="14" t="s">
        <v>13</v>
      </c>
      <c r="I44" s="17"/>
      <c r="J44" s="17"/>
    </row>
    <row r="45" spans="1:10" x14ac:dyDescent="0.25">
      <c r="A45" s="29" t="s">
        <v>54</v>
      </c>
      <c r="B45" s="29"/>
      <c r="C45" s="10">
        <v>100290</v>
      </c>
      <c r="D45" s="10">
        <v>52</v>
      </c>
      <c r="E45" s="10">
        <v>58506</v>
      </c>
      <c r="F45" s="10">
        <v>0</v>
      </c>
      <c r="G45" s="10">
        <f>SUM(C45:F45)</f>
        <v>158848</v>
      </c>
      <c r="H45" s="16">
        <f>ROUND(G45/600,2)</f>
        <v>264.75</v>
      </c>
      <c r="I45" s="9"/>
      <c r="J45" s="9"/>
    </row>
    <row r="46" spans="1:10" x14ac:dyDescent="0.25">
      <c r="A46" s="29" t="s">
        <v>55</v>
      </c>
      <c r="B46" s="29"/>
      <c r="C46" s="10">
        <v>53800</v>
      </c>
      <c r="D46" s="10">
        <v>0</v>
      </c>
      <c r="E46" s="10">
        <v>17240</v>
      </c>
      <c r="F46" s="10">
        <v>0</v>
      </c>
      <c r="G46" s="10">
        <f>SUM(C46:F46)</f>
        <v>71040</v>
      </c>
      <c r="H46" s="16">
        <f>ROUND(G46/600,2)</f>
        <v>118.4</v>
      </c>
      <c r="I46" s="9"/>
      <c r="J46" s="9"/>
    </row>
    <row r="47" spans="1:10" x14ac:dyDescent="0.25">
      <c r="A47" s="29" t="s">
        <v>56</v>
      </c>
      <c r="B47" s="29"/>
      <c r="C47" s="10">
        <v>0</v>
      </c>
      <c r="D47" s="10">
        <v>0</v>
      </c>
      <c r="E47" s="10">
        <v>0</v>
      </c>
      <c r="F47" s="10">
        <v>0</v>
      </c>
      <c r="G47" s="10">
        <f>SUM(C47:F47)</f>
        <v>0</v>
      </c>
      <c r="H47" s="16">
        <f>ROUND(G47/600,2)</f>
        <v>0</v>
      </c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A52" s="30" t="s">
        <v>57</v>
      </c>
      <c r="B52" s="30"/>
      <c r="C52" s="14" t="s">
        <v>2</v>
      </c>
      <c r="D52" s="14">
        <v>2023</v>
      </c>
      <c r="E52" s="14" t="s">
        <v>59</v>
      </c>
      <c r="F52" s="13"/>
      <c r="G52" s="14" t="s">
        <v>60</v>
      </c>
      <c r="H52" s="14" t="s">
        <v>2</v>
      </c>
      <c r="I52" s="12" t="s">
        <v>61</v>
      </c>
      <c r="J52" s="12" t="s">
        <v>59</v>
      </c>
    </row>
    <row r="53" spans="1:10" x14ac:dyDescent="0.25">
      <c r="A53" s="29" t="s">
        <v>58</v>
      </c>
      <c r="B53" s="29"/>
      <c r="C53" s="15">
        <f>ROUND(0.7333, 4)</f>
        <v>0.73329999999999995</v>
      </c>
      <c r="D53" s="15">
        <f>ROUND(0.7388, 4)</f>
        <v>0.73880000000000001</v>
      </c>
      <c r="E53" s="15">
        <f>ROUND(0.777, 4)</f>
        <v>0.77700000000000002</v>
      </c>
      <c r="F53" s="8"/>
      <c r="G53" s="14" t="s">
        <v>62</v>
      </c>
      <c r="H53" s="33" t="s">
        <v>63</v>
      </c>
      <c r="I53" s="31" t="s">
        <v>64</v>
      </c>
      <c r="J53" s="31" t="s">
        <v>65</v>
      </c>
    </row>
    <row r="54" spans="1:10" x14ac:dyDescent="0.25">
      <c r="A54" s="29" t="s">
        <v>66</v>
      </c>
      <c r="B54" s="29"/>
      <c r="C54" s="15">
        <f>ROUND(0.7206, 4)</f>
        <v>0.72060000000000002</v>
      </c>
      <c r="D54" s="15">
        <f>ROUND(0.7263, 4)</f>
        <v>0.72629999999999995</v>
      </c>
      <c r="E54" s="15">
        <f>ROUND(0.7608, 4)</f>
        <v>0.76080000000000003</v>
      </c>
      <c r="F54" s="8"/>
      <c r="G54" s="14" t="s">
        <v>67</v>
      </c>
      <c r="H54" s="34"/>
      <c r="I54" s="32"/>
      <c r="J54" s="32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21"/>
      <c r="H57" s="8"/>
      <c r="I57" s="9"/>
      <c r="J57" s="9"/>
    </row>
    <row r="58" spans="1:10" x14ac:dyDescent="0.25">
      <c r="A58" s="30" t="s">
        <v>68</v>
      </c>
      <c r="B58" s="30"/>
      <c r="C58" s="14" t="s">
        <v>2</v>
      </c>
      <c r="D58" s="14" t="s">
        <v>195</v>
      </c>
      <c r="E58" s="14" t="s">
        <v>70</v>
      </c>
      <c r="F58" s="14" t="s">
        <v>71</v>
      </c>
      <c r="G58" s="20" t="s">
        <v>72</v>
      </c>
      <c r="H58" s="13"/>
      <c r="I58" s="17"/>
      <c r="J58" s="17"/>
    </row>
    <row r="59" spans="1:10" x14ac:dyDescent="0.25">
      <c r="A59" s="29" t="s">
        <v>73</v>
      </c>
      <c r="B59" s="29"/>
      <c r="C59" s="16">
        <v>89.67</v>
      </c>
      <c r="D59" s="16">
        <v>91.27</v>
      </c>
      <c r="E59" s="16">
        <v>93.87</v>
      </c>
      <c r="F59" s="16">
        <v>57.16</v>
      </c>
      <c r="G59" s="16">
        <f>12/12*C59</f>
        <v>89.67</v>
      </c>
      <c r="H59" s="8"/>
      <c r="I59" s="9"/>
      <c r="J59" s="9"/>
    </row>
    <row r="60" spans="1:10" x14ac:dyDescent="0.25">
      <c r="A60" s="29" t="s">
        <v>74</v>
      </c>
      <c r="B60" s="29"/>
      <c r="C60" s="16">
        <v>43.87</v>
      </c>
      <c r="D60" s="16">
        <v>42.54</v>
      </c>
      <c r="E60" s="16">
        <v>62.84</v>
      </c>
      <c r="F60" s="16">
        <v>65.39</v>
      </c>
      <c r="G60" s="16">
        <f>12/12*C60</f>
        <v>43.87</v>
      </c>
      <c r="H60" s="8"/>
      <c r="I60" s="9"/>
      <c r="J60" s="9"/>
    </row>
    <row r="61" spans="1:10" x14ac:dyDescent="0.25">
      <c r="A61" s="29" t="s">
        <v>75</v>
      </c>
      <c r="B61" s="29"/>
      <c r="C61" s="16">
        <v>264.75</v>
      </c>
      <c r="D61" s="16">
        <v>256.52999999999997</v>
      </c>
      <c r="E61" s="16">
        <v>295.08999999999997</v>
      </c>
      <c r="F61" s="16">
        <v>289.06</v>
      </c>
      <c r="G61" s="16">
        <f>12/12*C61</f>
        <v>264.75</v>
      </c>
      <c r="H61" s="8"/>
      <c r="I61" s="9"/>
      <c r="J61" s="9"/>
    </row>
    <row r="62" spans="1:10" x14ac:dyDescent="0.25">
      <c r="A62" s="29" t="s">
        <v>76</v>
      </c>
      <c r="B62" s="29"/>
      <c r="C62" s="16">
        <v>118.4</v>
      </c>
      <c r="D62" s="16">
        <v>111.66</v>
      </c>
      <c r="E62" s="16">
        <v>118.05</v>
      </c>
      <c r="F62" s="16">
        <v>81.41</v>
      </c>
      <c r="G62" s="16">
        <f>12/12*C62</f>
        <v>118.4</v>
      </c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A65" s="28" t="s">
        <v>60</v>
      </c>
      <c r="B65" s="35"/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3" t="s">
        <v>77</v>
      </c>
      <c r="B66" s="1" t="s">
        <v>196</v>
      </c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70</v>
      </c>
      <c r="B67" s="1" t="s">
        <v>79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71</v>
      </c>
      <c r="B68" s="1" t="s">
        <v>80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72</v>
      </c>
      <c r="B69" s="1" t="s">
        <v>81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  <row r="71" spans="1:10" x14ac:dyDescent="0.25"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</sheetData>
  <mergeCells count="19">
    <mergeCell ref="A60:B60"/>
    <mergeCell ref="A61:B61"/>
    <mergeCell ref="A62:B62"/>
    <mergeCell ref="A65:B65"/>
    <mergeCell ref="I53:I54"/>
    <mergeCell ref="J53:J54"/>
    <mergeCell ref="A54:B54"/>
    <mergeCell ref="A58:B58"/>
    <mergeCell ref="A59:B59"/>
    <mergeCell ref="A46:B46"/>
    <mergeCell ref="A47:B47"/>
    <mergeCell ref="A52:B52"/>
    <mergeCell ref="A53:B53"/>
    <mergeCell ref="H53:H54"/>
    <mergeCell ref="C7:G7"/>
    <mergeCell ref="A38:B38"/>
    <mergeCell ref="A39:B39"/>
    <mergeCell ref="A44:B44"/>
    <mergeCell ref="A45:B45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J76"/>
  <sheetViews>
    <sheetView workbookViewId="0"/>
  </sheetViews>
  <sheetFormatPr defaultRowHeight="15" x14ac:dyDescent="0.25"/>
  <cols>
    <col min="1" max="1" width="28.42578125" bestFit="1" customWidth="1"/>
    <col min="2" max="2" width="112" bestFit="1" customWidth="1"/>
    <col min="3" max="3" width="12.7109375" bestFit="1" customWidth="1"/>
    <col min="4" max="4" width="34.8554687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197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2253</v>
      </c>
    </row>
    <row r="7" spans="1:10" x14ac:dyDescent="0.25">
      <c r="C7" s="28" t="s">
        <v>5</v>
      </c>
      <c r="D7" s="29"/>
      <c r="E7" s="29"/>
      <c r="F7" s="29"/>
      <c r="G7" s="29"/>
    </row>
    <row r="8" spans="1:10" x14ac:dyDescent="0.25">
      <c r="A8" s="25" t="s">
        <v>6</v>
      </c>
      <c r="B8" s="25" t="s">
        <v>7</v>
      </c>
      <c r="C8" s="27" t="s">
        <v>8</v>
      </c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86</v>
      </c>
      <c r="F9" s="10"/>
      <c r="G9" s="10">
        <f t="shared" ref="G9:G40" si="0">SUM(C9:F9)</f>
        <v>86</v>
      </c>
      <c r="H9" s="16">
        <f t="shared" ref="H9:H40" si="1">ROUND(G9/2253,2)</f>
        <v>0.04</v>
      </c>
      <c r="I9" s="15">
        <f t="shared" ref="I9:I40" si="2">ROUND(G9/$G$41,3)</f>
        <v>0</v>
      </c>
      <c r="J9" s="15"/>
    </row>
    <row r="10" spans="1:10" x14ac:dyDescent="0.25">
      <c r="A10" s="1" t="s">
        <v>16</v>
      </c>
      <c r="B10" s="1" t="s">
        <v>19</v>
      </c>
      <c r="C10" s="10">
        <v>63355</v>
      </c>
      <c r="D10" s="10"/>
      <c r="E10" s="10">
        <v>2840</v>
      </c>
      <c r="F10" s="10"/>
      <c r="G10" s="10">
        <f t="shared" si="0"/>
        <v>66195</v>
      </c>
      <c r="H10" s="16">
        <f t="shared" si="1"/>
        <v>29.38</v>
      </c>
      <c r="I10" s="15">
        <f t="shared" si="2"/>
        <v>5.8000000000000003E-2</v>
      </c>
      <c r="J10" s="15">
        <f>ROUND(G10/65850-1,2)</f>
        <v>0.01</v>
      </c>
    </row>
    <row r="11" spans="1:10" x14ac:dyDescent="0.25">
      <c r="A11" s="1" t="s">
        <v>16</v>
      </c>
      <c r="B11" s="1" t="s">
        <v>20</v>
      </c>
      <c r="C11" s="10">
        <v>82770</v>
      </c>
      <c r="D11" s="10"/>
      <c r="E11" s="10"/>
      <c r="F11" s="10"/>
      <c r="G11" s="10">
        <f t="shared" si="0"/>
        <v>82770</v>
      </c>
      <c r="H11" s="16">
        <f t="shared" si="1"/>
        <v>36.74</v>
      </c>
      <c r="I11" s="15">
        <f t="shared" si="2"/>
        <v>7.2999999999999995E-2</v>
      </c>
      <c r="J11" s="15">
        <f>ROUND(G11/84530-1,2)</f>
        <v>-0.02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295</v>
      </c>
      <c r="F12" s="10"/>
      <c r="G12" s="10">
        <f t="shared" si="0"/>
        <v>295</v>
      </c>
      <c r="H12" s="16">
        <f t="shared" si="1"/>
        <v>0.13</v>
      </c>
      <c r="I12" s="15">
        <f t="shared" si="2"/>
        <v>0</v>
      </c>
      <c r="J12" s="15">
        <f>ROUND(G12/218-1,2)</f>
        <v>0.35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70</v>
      </c>
      <c r="F13" s="10"/>
      <c r="G13" s="10">
        <f t="shared" si="0"/>
        <v>70</v>
      </c>
      <c r="H13" s="16">
        <f t="shared" si="1"/>
        <v>0.03</v>
      </c>
      <c r="I13" s="15">
        <f t="shared" si="2"/>
        <v>0</v>
      </c>
      <c r="J13" s="15">
        <f>ROUND(G13/26-1,2)</f>
        <v>1.69</v>
      </c>
    </row>
    <row r="14" spans="1:10" x14ac:dyDescent="0.25">
      <c r="A14" s="1" t="s">
        <v>16</v>
      </c>
      <c r="B14" s="1" t="s">
        <v>22</v>
      </c>
      <c r="C14" s="10"/>
      <c r="D14" s="10"/>
      <c r="E14" s="10">
        <v>1300</v>
      </c>
      <c r="F14" s="10"/>
      <c r="G14" s="10">
        <f t="shared" si="0"/>
        <v>1300</v>
      </c>
      <c r="H14" s="16">
        <f t="shared" si="1"/>
        <v>0.57999999999999996</v>
      </c>
      <c r="I14" s="15">
        <f t="shared" si="2"/>
        <v>1E-3</v>
      </c>
      <c r="J14" s="15">
        <f>ROUND(G14/4700-1,2)</f>
        <v>-0.72</v>
      </c>
    </row>
    <row r="15" spans="1:10" x14ac:dyDescent="0.25">
      <c r="A15" s="1" t="s">
        <v>16</v>
      </c>
      <c r="B15" s="1" t="s">
        <v>23</v>
      </c>
      <c r="C15" s="10"/>
      <c r="D15" s="10"/>
      <c r="E15" s="10">
        <v>41020</v>
      </c>
      <c r="F15" s="10"/>
      <c r="G15" s="10">
        <f t="shared" si="0"/>
        <v>41020</v>
      </c>
      <c r="H15" s="16">
        <f t="shared" si="1"/>
        <v>18.21</v>
      </c>
      <c r="I15" s="15">
        <f t="shared" si="2"/>
        <v>3.5999999999999997E-2</v>
      </c>
      <c r="J15" s="15">
        <f>ROUND(G15/37220-1,2)</f>
        <v>0.1</v>
      </c>
    </row>
    <row r="16" spans="1:10" x14ac:dyDescent="0.25">
      <c r="A16" s="1" t="s">
        <v>16</v>
      </c>
      <c r="B16" s="1" t="s">
        <v>24</v>
      </c>
      <c r="C16" s="10">
        <v>87620</v>
      </c>
      <c r="D16" s="10"/>
      <c r="E16" s="10">
        <v>22815</v>
      </c>
      <c r="F16" s="10"/>
      <c r="G16" s="10">
        <f t="shared" si="0"/>
        <v>110435</v>
      </c>
      <c r="H16" s="16">
        <f t="shared" si="1"/>
        <v>49.02</v>
      </c>
      <c r="I16" s="15">
        <f t="shared" si="2"/>
        <v>9.7000000000000003E-2</v>
      </c>
      <c r="J16" s="15">
        <f>ROUND(G16/104600-1,2)</f>
        <v>0.06</v>
      </c>
    </row>
    <row r="17" spans="1:10" x14ac:dyDescent="0.25">
      <c r="A17" s="1" t="s">
        <v>16</v>
      </c>
      <c r="B17" s="1" t="s">
        <v>25</v>
      </c>
      <c r="C17" s="10"/>
      <c r="D17" s="10"/>
      <c r="E17" s="10">
        <v>3205</v>
      </c>
      <c r="F17" s="10"/>
      <c r="G17" s="10">
        <f t="shared" si="0"/>
        <v>3205</v>
      </c>
      <c r="H17" s="16">
        <f t="shared" si="1"/>
        <v>1.42</v>
      </c>
      <c r="I17" s="15">
        <f t="shared" si="2"/>
        <v>3.0000000000000001E-3</v>
      </c>
      <c r="J17" s="15">
        <f>ROUND(G17/2750-1,2)</f>
        <v>0.17</v>
      </c>
    </row>
    <row r="18" spans="1:10" x14ac:dyDescent="0.25">
      <c r="A18" s="1" t="s">
        <v>16</v>
      </c>
      <c r="B18" s="1" t="s">
        <v>26</v>
      </c>
      <c r="C18" s="10"/>
      <c r="D18" s="10">
        <v>30015</v>
      </c>
      <c r="E18" s="10"/>
      <c r="F18" s="10">
        <v>875</v>
      </c>
      <c r="G18" s="10">
        <f t="shared" si="0"/>
        <v>30890</v>
      </c>
      <c r="H18" s="16">
        <f t="shared" si="1"/>
        <v>13.71</v>
      </c>
      <c r="I18" s="15">
        <f t="shared" si="2"/>
        <v>2.7E-2</v>
      </c>
      <c r="J18" s="15">
        <f>ROUND(G18/24390-1,2)</f>
        <v>0.27</v>
      </c>
    </row>
    <row r="19" spans="1:10" x14ac:dyDescent="0.25">
      <c r="A19" s="1" t="s">
        <v>16</v>
      </c>
      <c r="B19" s="1" t="s">
        <v>27</v>
      </c>
      <c r="C19" s="10"/>
      <c r="D19" s="10"/>
      <c r="E19" s="10">
        <v>467</v>
      </c>
      <c r="F19" s="10"/>
      <c r="G19" s="10">
        <f t="shared" si="0"/>
        <v>467</v>
      </c>
      <c r="H19" s="16">
        <f t="shared" si="1"/>
        <v>0.21</v>
      </c>
      <c r="I19" s="15">
        <f t="shared" si="2"/>
        <v>0</v>
      </c>
      <c r="J19" s="15">
        <f>ROUND(G19/388-1,2)</f>
        <v>0.2</v>
      </c>
    </row>
    <row r="20" spans="1:10" x14ac:dyDescent="0.25">
      <c r="A20" s="1" t="s">
        <v>16</v>
      </c>
      <c r="B20" s="1" t="s">
        <v>28</v>
      </c>
      <c r="C20" s="10"/>
      <c r="D20" s="10"/>
      <c r="E20" s="10">
        <v>311</v>
      </c>
      <c r="F20" s="10"/>
      <c r="G20" s="10">
        <f t="shared" si="0"/>
        <v>311</v>
      </c>
      <c r="H20" s="16">
        <f t="shared" si="1"/>
        <v>0.14000000000000001</v>
      </c>
      <c r="I20" s="15">
        <f t="shared" si="2"/>
        <v>0</v>
      </c>
      <c r="J20" s="15">
        <f>ROUND(G20/405-1,2)</f>
        <v>-0.23</v>
      </c>
    </row>
    <row r="21" spans="1:10" x14ac:dyDescent="0.25">
      <c r="A21" s="1" t="s">
        <v>16</v>
      </c>
      <c r="B21" s="1" t="s">
        <v>29</v>
      </c>
      <c r="C21" s="10"/>
      <c r="D21" s="10"/>
      <c r="E21" s="10">
        <v>3120</v>
      </c>
      <c r="F21" s="10"/>
      <c r="G21" s="10">
        <f t="shared" si="0"/>
        <v>3120</v>
      </c>
      <c r="H21" s="16">
        <f t="shared" si="1"/>
        <v>1.38</v>
      </c>
      <c r="I21" s="15">
        <f t="shared" si="2"/>
        <v>3.0000000000000001E-3</v>
      </c>
      <c r="J21" s="15">
        <f>ROUND(G21/2160-1,2)</f>
        <v>0.44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400</v>
      </c>
      <c r="F22" s="10"/>
      <c r="G22" s="10">
        <f t="shared" si="0"/>
        <v>400</v>
      </c>
      <c r="H22" s="16">
        <f t="shared" si="1"/>
        <v>0.18</v>
      </c>
      <c r="I22" s="15">
        <f t="shared" si="2"/>
        <v>0</v>
      </c>
      <c r="J22" s="15">
        <f>ROUND(G22/1020-1,2)</f>
        <v>-0.61</v>
      </c>
    </row>
    <row r="23" spans="1:10" x14ac:dyDescent="0.25">
      <c r="A23" s="1" t="s">
        <v>16</v>
      </c>
      <c r="B23" s="1" t="s">
        <v>31</v>
      </c>
      <c r="C23" s="10"/>
      <c r="D23" s="10"/>
      <c r="E23" s="10">
        <v>560</v>
      </c>
      <c r="F23" s="10"/>
      <c r="G23" s="10">
        <f t="shared" si="0"/>
        <v>560</v>
      </c>
      <c r="H23" s="16">
        <f t="shared" si="1"/>
        <v>0.25</v>
      </c>
      <c r="I23" s="15">
        <f t="shared" si="2"/>
        <v>0</v>
      </c>
      <c r="J23" s="15">
        <f>ROUND(G23/1150-1,2)</f>
        <v>-0.51</v>
      </c>
    </row>
    <row r="24" spans="1:10" x14ac:dyDescent="0.25">
      <c r="A24" s="1" t="s">
        <v>16</v>
      </c>
      <c r="B24" s="1" t="s">
        <v>32</v>
      </c>
      <c r="C24" s="10"/>
      <c r="D24" s="10"/>
      <c r="E24" s="10">
        <v>2175</v>
      </c>
      <c r="F24" s="10"/>
      <c r="G24" s="10">
        <f t="shared" si="0"/>
        <v>2175</v>
      </c>
      <c r="H24" s="16">
        <f t="shared" si="1"/>
        <v>0.97</v>
      </c>
      <c r="I24" s="15">
        <f t="shared" si="2"/>
        <v>2E-3</v>
      </c>
      <c r="J24" s="15">
        <f>ROUND(G24/1085-1,2)</f>
        <v>1</v>
      </c>
    </row>
    <row r="25" spans="1:10" x14ac:dyDescent="0.25">
      <c r="A25" s="1" t="s">
        <v>16</v>
      </c>
      <c r="B25" s="1" t="s">
        <v>33</v>
      </c>
      <c r="C25" s="10"/>
      <c r="D25" s="10">
        <v>169</v>
      </c>
      <c r="E25" s="10">
        <v>71</v>
      </c>
      <c r="F25" s="10"/>
      <c r="G25" s="10">
        <f t="shared" si="0"/>
        <v>240</v>
      </c>
      <c r="H25" s="16">
        <f t="shared" si="1"/>
        <v>0.11</v>
      </c>
      <c r="I25" s="15">
        <f t="shared" si="2"/>
        <v>0</v>
      </c>
      <c r="J25" s="15">
        <f>ROUND(G25/234-1,2)</f>
        <v>0.03</v>
      </c>
    </row>
    <row r="26" spans="1:10" x14ac:dyDescent="0.25">
      <c r="A26" s="1" t="s">
        <v>16</v>
      </c>
      <c r="B26" s="1" t="s">
        <v>34</v>
      </c>
      <c r="C26" s="10"/>
      <c r="D26" s="10"/>
      <c r="E26" s="10">
        <v>1430</v>
      </c>
      <c r="F26" s="10"/>
      <c r="G26" s="10">
        <f t="shared" si="0"/>
        <v>1430</v>
      </c>
      <c r="H26" s="16">
        <f t="shared" si="1"/>
        <v>0.63</v>
      </c>
      <c r="I26" s="15">
        <f t="shared" si="2"/>
        <v>1E-3</v>
      </c>
      <c r="J26" s="15">
        <f>ROUND(G26/1465-1,2)</f>
        <v>-0.02</v>
      </c>
    </row>
    <row r="27" spans="1:10" x14ac:dyDescent="0.25">
      <c r="A27" s="1" t="s">
        <v>16</v>
      </c>
      <c r="B27" s="1" t="s">
        <v>37</v>
      </c>
      <c r="C27" s="10"/>
      <c r="D27" s="10"/>
      <c r="E27" s="10">
        <v>3880</v>
      </c>
      <c r="F27" s="10"/>
      <c r="G27" s="10">
        <f t="shared" si="0"/>
        <v>3880</v>
      </c>
      <c r="H27" s="16">
        <f t="shared" si="1"/>
        <v>1.72</v>
      </c>
      <c r="I27" s="15">
        <f t="shared" si="2"/>
        <v>3.0000000000000001E-3</v>
      </c>
      <c r="J27" s="15">
        <f>ROUND(G27/1090-1,2)</f>
        <v>2.56</v>
      </c>
    </row>
    <row r="28" spans="1:10" x14ac:dyDescent="0.25">
      <c r="A28" s="1" t="s">
        <v>16</v>
      </c>
      <c r="B28" s="1" t="s">
        <v>38</v>
      </c>
      <c r="C28" s="10"/>
      <c r="D28" s="10"/>
      <c r="E28" s="10">
        <v>64130</v>
      </c>
      <c r="F28" s="10"/>
      <c r="G28" s="10">
        <f t="shared" si="0"/>
        <v>64130</v>
      </c>
      <c r="H28" s="16">
        <f t="shared" si="1"/>
        <v>28.46</v>
      </c>
      <c r="I28" s="15">
        <f t="shared" si="2"/>
        <v>5.6000000000000001E-2</v>
      </c>
      <c r="J28" s="15">
        <f>ROUND(G28/56585-1,2)</f>
        <v>0.13</v>
      </c>
    </row>
    <row r="29" spans="1:10" x14ac:dyDescent="0.25">
      <c r="A29" s="1" t="s">
        <v>16</v>
      </c>
      <c r="B29" s="1" t="s">
        <v>39</v>
      </c>
      <c r="C29" s="10"/>
      <c r="D29" s="10"/>
      <c r="E29" s="10">
        <v>8690</v>
      </c>
      <c r="F29" s="10"/>
      <c r="G29" s="10">
        <f t="shared" si="0"/>
        <v>8690</v>
      </c>
      <c r="H29" s="16">
        <f t="shared" si="1"/>
        <v>3.86</v>
      </c>
      <c r="I29" s="15">
        <f t="shared" si="2"/>
        <v>8.0000000000000002E-3</v>
      </c>
      <c r="J29" s="15">
        <f>ROUND(G29/3840-1,2)</f>
        <v>1.26</v>
      </c>
    </row>
    <row r="30" spans="1:10" x14ac:dyDescent="0.25">
      <c r="A30" s="1" t="s">
        <v>16</v>
      </c>
      <c r="B30" s="1" t="s">
        <v>40</v>
      </c>
      <c r="C30" s="10"/>
      <c r="D30" s="10"/>
      <c r="E30" s="10">
        <v>20440</v>
      </c>
      <c r="F30" s="10"/>
      <c r="G30" s="10">
        <f t="shared" si="0"/>
        <v>20440</v>
      </c>
      <c r="H30" s="16">
        <f t="shared" si="1"/>
        <v>9.07</v>
      </c>
      <c r="I30" s="15">
        <f t="shared" si="2"/>
        <v>1.7999999999999999E-2</v>
      </c>
      <c r="J30" s="15">
        <f>ROUND(G30/15930-1,2)</f>
        <v>0.28000000000000003</v>
      </c>
    </row>
    <row r="31" spans="1:10" x14ac:dyDescent="0.25">
      <c r="A31" s="1" t="s">
        <v>16</v>
      </c>
      <c r="B31" s="1" t="s">
        <v>41</v>
      </c>
      <c r="C31" s="10"/>
      <c r="D31" s="10"/>
      <c r="E31" s="10">
        <v>223690</v>
      </c>
      <c r="F31" s="10"/>
      <c r="G31" s="10">
        <f t="shared" si="0"/>
        <v>223690</v>
      </c>
      <c r="H31" s="16">
        <f t="shared" si="1"/>
        <v>99.29</v>
      </c>
      <c r="I31" s="15">
        <f t="shared" si="2"/>
        <v>0.19700000000000001</v>
      </c>
      <c r="J31" s="15">
        <f>ROUND(G31/178870-1,2)</f>
        <v>0.25</v>
      </c>
    </row>
    <row r="32" spans="1:10" x14ac:dyDescent="0.25">
      <c r="A32" s="1" t="s">
        <v>16</v>
      </c>
      <c r="B32" s="1" t="s">
        <v>35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/>
    </row>
    <row r="33" spans="1:10" x14ac:dyDescent="0.25">
      <c r="A33" s="1" t="s">
        <v>16</v>
      </c>
      <c r="B33" s="1" t="s">
        <v>36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>
        <f>ROUND(G33/3080-1,2)</f>
        <v>-1</v>
      </c>
    </row>
    <row r="34" spans="1:10" x14ac:dyDescent="0.25">
      <c r="A34" s="1" t="s">
        <v>16</v>
      </c>
      <c r="B34" s="1" t="s">
        <v>43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ROUND(G34/8190-1,2)</f>
        <v>-1</v>
      </c>
    </row>
    <row r="35" spans="1:10" x14ac:dyDescent="0.25">
      <c r="A35" s="1" t="s">
        <v>16</v>
      </c>
      <c r="B35" s="1" t="s">
        <v>42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>
        <f>ROUND(G35/151-1,2)</f>
        <v>-1</v>
      </c>
    </row>
    <row r="36" spans="1:10" x14ac:dyDescent="0.25">
      <c r="A36" s="1" t="s">
        <v>16</v>
      </c>
      <c r="B36" s="1" t="s">
        <v>198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>
        <f>ROUND(G36/99.5-1,2)</f>
        <v>-1</v>
      </c>
    </row>
    <row r="37" spans="1:10" x14ac:dyDescent="0.25">
      <c r="A37" s="1" t="s">
        <v>44</v>
      </c>
      <c r="B37" s="1" t="s">
        <v>45</v>
      </c>
      <c r="C37" s="10">
        <v>90</v>
      </c>
      <c r="D37" s="10">
        <v>430045</v>
      </c>
      <c r="E37" s="10"/>
      <c r="F37" s="10"/>
      <c r="G37" s="10">
        <f t="shared" si="0"/>
        <v>430135</v>
      </c>
      <c r="H37" s="16">
        <f t="shared" si="1"/>
        <v>190.92</v>
      </c>
      <c r="I37" s="15">
        <f t="shared" si="2"/>
        <v>0.378</v>
      </c>
      <c r="J37" s="15">
        <f>ROUND(G37/374955-1,2)</f>
        <v>0.15</v>
      </c>
    </row>
    <row r="38" spans="1:10" x14ac:dyDescent="0.25">
      <c r="A38" s="1" t="s">
        <v>44</v>
      </c>
      <c r="B38" s="1" t="s">
        <v>46</v>
      </c>
      <c r="C38" s="10"/>
      <c r="D38" s="10"/>
      <c r="E38" s="10">
        <v>41310</v>
      </c>
      <c r="F38" s="10"/>
      <c r="G38" s="10">
        <f t="shared" si="0"/>
        <v>41310</v>
      </c>
      <c r="H38" s="16">
        <f t="shared" si="1"/>
        <v>18.34</v>
      </c>
      <c r="I38" s="15">
        <f t="shared" si="2"/>
        <v>3.5999999999999997E-2</v>
      </c>
      <c r="J38" s="15">
        <f>ROUND(G38/40740-1,2)</f>
        <v>0.01</v>
      </c>
    </row>
    <row r="39" spans="1:10" x14ac:dyDescent="0.25">
      <c r="A39" s="1" t="s">
        <v>44</v>
      </c>
      <c r="B39" s="1" t="s">
        <v>47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>
        <f>ROUND(G39/7710-1,2)</f>
        <v>-1</v>
      </c>
    </row>
    <row r="40" spans="1:10" x14ac:dyDescent="0.25">
      <c r="A40" s="1" t="s">
        <v>48</v>
      </c>
      <c r="B40" s="1" t="s">
        <v>51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/>
    </row>
    <row r="41" spans="1:10" x14ac:dyDescent="0.25">
      <c r="A41" s="30" t="s">
        <v>12</v>
      </c>
      <c r="B41" s="30"/>
      <c r="C41" s="11">
        <f t="shared" ref="C41:H41" si="3">SUM(C8:C40)</f>
        <v>233835</v>
      </c>
      <c r="D41" s="11">
        <f t="shared" si="3"/>
        <v>460229</v>
      </c>
      <c r="E41" s="11">
        <f t="shared" si="3"/>
        <v>442305</v>
      </c>
      <c r="F41" s="11">
        <f t="shared" si="3"/>
        <v>875</v>
      </c>
      <c r="G41" s="11">
        <f t="shared" si="3"/>
        <v>1137244</v>
      </c>
      <c r="H41" s="14">
        <f t="shared" si="3"/>
        <v>504.79</v>
      </c>
      <c r="I41" s="17"/>
      <c r="J41" s="17"/>
    </row>
    <row r="42" spans="1:10" x14ac:dyDescent="0.25">
      <c r="A42" s="30" t="s">
        <v>14</v>
      </c>
      <c r="B42" s="30"/>
      <c r="C42" s="12">
        <f>ROUND(C41/G41,2)</f>
        <v>0.21</v>
      </c>
      <c r="D42" s="12">
        <f>ROUND(D41/G41,2)</f>
        <v>0.4</v>
      </c>
      <c r="E42" s="12">
        <f>ROUND(E41/G41,2)</f>
        <v>0.39</v>
      </c>
      <c r="F42" s="12">
        <f>ROUND(F41/G41,2)</f>
        <v>0</v>
      </c>
      <c r="G42" s="13"/>
      <c r="H42" s="13"/>
      <c r="I42" s="17"/>
      <c r="J42" s="17"/>
    </row>
    <row r="43" spans="1:10" x14ac:dyDescent="0.25">
      <c r="A43" s="2" t="s">
        <v>52</v>
      </c>
      <c r="B43" s="2"/>
      <c r="C43" s="13"/>
      <c r="D43" s="13"/>
      <c r="E43" s="13"/>
      <c r="F43" s="13"/>
      <c r="G43" s="13"/>
      <c r="H43" s="13"/>
      <c r="I43" s="17"/>
      <c r="J43" s="17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A47" s="30" t="s">
        <v>53</v>
      </c>
      <c r="B47" s="30"/>
      <c r="C47" s="11" t="s">
        <v>8</v>
      </c>
      <c r="D47" s="11" t="s">
        <v>9</v>
      </c>
      <c r="E47" s="11" t="s">
        <v>10</v>
      </c>
      <c r="F47" s="11" t="s">
        <v>11</v>
      </c>
      <c r="G47" s="11" t="s">
        <v>12</v>
      </c>
      <c r="H47" s="14" t="s">
        <v>13</v>
      </c>
      <c r="I47" s="17"/>
      <c r="J47" s="17"/>
    </row>
    <row r="48" spans="1:10" x14ac:dyDescent="0.25">
      <c r="A48" s="29" t="s">
        <v>54</v>
      </c>
      <c r="B48" s="29"/>
      <c r="C48" s="10">
        <v>233745</v>
      </c>
      <c r="D48" s="10">
        <v>30184</v>
      </c>
      <c r="E48" s="10">
        <v>400995</v>
      </c>
      <c r="F48" s="10">
        <v>875</v>
      </c>
      <c r="G48" s="10">
        <f>SUM(C48:F48)</f>
        <v>665799</v>
      </c>
      <c r="H48" s="16">
        <f>ROUND(G48/2253,2)</f>
        <v>295.52</v>
      </c>
      <c r="I48" s="9"/>
      <c r="J48" s="9"/>
    </row>
    <row r="49" spans="1:10" x14ac:dyDescent="0.25">
      <c r="A49" s="29" t="s">
        <v>55</v>
      </c>
      <c r="B49" s="29"/>
      <c r="C49" s="10">
        <v>90</v>
      </c>
      <c r="D49" s="10">
        <v>430045</v>
      </c>
      <c r="E49" s="10">
        <v>41310</v>
      </c>
      <c r="F49" s="10">
        <v>0</v>
      </c>
      <c r="G49" s="10">
        <f>SUM(C49:F49)</f>
        <v>471445</v>
      </c>
      <c r="H49" s="16">
        <f>ROUND(G49/2253,2)</f>
        <v>209.25</v>
      </c>
      <c r="I49" s="9"/>
      <c r="J49" s="9"/>
    </row>
    <row r="50" spans="1:10" x14ac:dyDescent="0.25">
      <c r="A50" s="29" t="s">
        <v>56</v>
      </c>
      <c r="B50" s="29"/>
      <c r="C50" s="10">
        <v>0</v>
      </c>
      <c r="D50" s="10">
        <v>0</v>
      </c>
      <c r="E50" s="10">
        <v>0</v>
      </c>
      <c r="F50" s="10">
        <v>0</v>
      </c>
      <c r="G50" s="10">
        <f>SUM(C50:F50)</f>
        <v>0</v>
      </c>
      <c r="H50" s="16">
        <f>ROUND(G50/2253,2)</f>
        <v>0</v>
      </c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A55" s="30" t="s">
        <v>57</v>
      </c>
      <c r="B55" s="30"/>
      <c r="C55" s="14" t="s">
        <v>2</v>
      </c>
      <c r="D55" s="14">
        <v>2023</v>
      </c>
      <c r="E55" s="14" t="s">
        <v>59</v>
      </c>
      <c r="F55" s="13"/>
      <c r="G55" s="14" t="s">
        <v>60</v>
      </c>
      <c r="H55" s="14" t="s">
        <v>2</v>
      </c>
      <c r="I55" s="12" t="s">
        <v>61</v>
      </c>
      <c r="J55" s="12" t="s">
        <v>59</v>
      </c>
    </row>
    <row r="56" spans="1:10" x14ac:dyDescent="0.25">
      <c r="A56" s="29" t="s">
        <v>58</v>
      </c>
      <c r="B56" s="29"/>
      <c r="C56" s="15">
        <f>ROUND(0.6042, 4)</f>
        <v>0.60419999999999996</v>
      </c>
      <c r="D56" s="15">
        <f>ROUND(0.6124, 4)</f>
        <v>0.61240000000000006</v>
      </c>
      <c r="E56" s="15">
        <f>ROUND(0.777, 4)</f>
        <v>0.77700000000000002</v>
      </c>
      <c r="F56" s="8"/>
      <c r="G56" s="14" t="s">
        <v>62</v>
      </c>
      <c r="H56" s="33" t="s">
        <v>63</v>
      </c>
      <c r="I56" s="31" t="s">
        <v>64</v>
      </c>
      <c r="J56" s="31" t="s">
        <v>65</v>
      </c>
    </row>
    <row r="57" spans="1:10" x14ac:dyDescent="0.25">
      <c r="A57" s="29" t="s">
        <v>66</v>
      </c>
      <c r="B57" s="29"/>
      <c r="C57" s="15">
        <f>ROUND(0.5964, 4)</f>
        <v>0.59640000000000004</v>
      </c>
      <c r="D57" s="15">
        <f>ROUND(0.6038, 4)</f>
        <v>0.6038</v>
      </c>
      <c r="E57" s="15">
        <f>ROUND(0.7608, 4)</f>
        <v>0.76080000000000003</v>
      </c>
      <c r="F57" s="8"/>
      <c r="G57" s="20" t="s">
        <v>67</v>
      </c>
      <c r="H57" s="34"/>
      <c r="I57" s="32"/>
      <c r="J57" s="32"/>
    </row>
    <row r="58" spans="1:10" x14ac:dyDescent="0.25">
      <c r="C58" s="8"/>
      <c r="D58" s="8"/>
      <c r="E58" s="8"/>
      <c r="F58" s="8"/>
      <c r="G58" s="21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A61" s="30" t="s">
        <v>68</v>
      </c>
      <c r="B61" s="30"/>
      <c r="C61" s="14" t="s">
        <v>2</v>
      </c>
      <c r="D61" s="14" t="s">
        <v>199</v>
      </c>
      <c r="E61" s="14" t="s">
        <v>70</v>
      </c>
      <c r="F61" s="14" t="s">
        <v>71</v>
      </c>
      <c r="G61" s="14" t="s">
        <v>72</v>
      </c>
      <c r="H61" s="13"/>
      <c r="I61" s="17"/>
      <c r="J61" s="17"/>
    </row>
    <row r="62" spans="1:10" x14ac:dyDescent="0.25">
      <c r="A62" s="29" t="s">
        <v>73</v>
      </c>
      <c r="B62" s="29"/>
      <c r="C62" s="16">
        <v>190.92</v>
      </c>
      <c r="D62" s="16">
        <v>168.81</v>
      </c>
      <c r="E62" s="16">
        <v>93.87</v>
      </c>
      <c r="F62" s="16">
        <v>57.16</v>
      </c>
      <c r="G62" s="16">
        <f>12/12*C62</f>
        <v>190.92</v>
      </c>
      <c r="H62" s="8"/>
      <c r="I62" s="9"/>
      <c r="J62" s="9"/>
    </row>
    <row r="63" spans="1:10" x14ac:dyDescent="0.25">
      <c r="A63" s="29" t="s">
        <v>74</v>
      </c>
      <c r="B63" s="29"/>
      <c r="C63" s="16">
        <v>13.71</v>
      </c>
      <c r="D63" s="16">
        <v>10.79</v>
      </c>
      <c r="E63" s="16">
        <v>62.84</v>
      </c>
      <c r="F63" s="16">
        <v>65.39</v>
      </c>
      <c r="G63" s="16">
        <f>12/12*C63</f>
        <v>13.71</v>
      </c>
      <c r="H63" s="8"/>
      <c r="I63" s="9"/>
      <c r="J63" s="9"/>
    </row>
    <row r="64" spans="1:10" x14ac:dyDescent="0.25">
      <c r="A64" s="29" t="s">
        <v>75</v>
      </c>
      <c r="B64" s="29"/>
      <c r="C64" s="16">
        <v>295.52</v>
      </c>
      <c r="D64" s="16">
        <v>275.67</v>
      </c>
      <c r="E64" s="16">
        <v>295.08999999999997</v>
      </c>
      <c r="F64" s="16">
        <v>289.06</v>
      </c>
      <c r="G64" s="16">
        <f>12/12*C64</f>
        <v>295.52</v>
      </c>
      <c r="H64" s="8"/>
      <c r="I64" s="9"/>
      <c r="J64" s="9"/>
    </row>
    <row r="65" spans="1:10" x14ac:dyDescent="0.25">
      <c r="A65" s="29" t="s">
        <v>76</v>
      </c>
      <c r="B65" s="29"/>
      <c r="C65" s="16">
        <v>209.25</v>
      </c>
      <c r="D65" s="16">
        <v>191.53</v>
      </c>
      <c r="E65" s="16">
        <v>118.05</v>
      </c>
      <c r="F65" s="16">
        <v>81.41</v>
      </c>
      <c r="G65" s="16">
        <f>12/12*C65</f>
        <v>209.25</v>
      </c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28" t="s">
        <v>60</v>
      </c>
      <c r="B68" s="35"/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77</v>
      </c>
      <c r="B69" s="1" t="s">
        <v>200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70</v>
      </c>
      <c r="B70" s="1" t="s">
        <v>79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3" t="s">
        <v>71</v>
      </c>
      <c r="B71" s="1" t="s">
        <v>80</v>
      </c>
      <c r="C71" s="8"/>
      <c r="D71" s="8"/>
      <c r="E71" s="8"/>
      <c r="F71" s="8"/>
      <c r="G71" s="8"/>
      <c r="H71" s="8"/>
      <c r="I71" s="9"/>
      <c r="J71" s="9"/>
    </row>
    <row r="72" spans="1:10" x14ac:dyDescent="0.25">
      <c r="A72" s="3" t="s">
        <v>72</v>
      </c>
      <c r="B72" s="1" t="s">
        <v>81</v>
      </c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  <row r="76" spans="1:10" x14ac:dyDescent="0.25">
      <c r="C76" s="8"/>
      <c r="D76" s="8"/>
      <c r="E76" s="8"/>
      <c r="F76" s="8"/>
      <c r="G76" s="8"/>
      <c r="H76" s="8"/>
      <c r="I76" s="9"/>
      <c r="J76" s="9"/>
    </row>
  </sheetData>
  <mergeCells count="19">
    <mergeCell ref="A63:B63"/>
    <mergeCell ref="A64:B64"/>
    <mergeCell ref="A65:B65"/>
    <mergeCell ref="A68:B68"/>
    <mergeCell ref="I56:I57"/>
    <mergeCell ref="J56:J57"/>
    <mergeCell ref="A57:B57"/>
    <mergeCell ref="A61:B61"/>
    <mergeCell ref="A62:B62"/>
    <mergeCell ref="A49:B49"/>
    <mergeCell ref="A50:B50"/>
    <mergeCell ref="A55:B55"/>
    <mergeCell ref="A56:B56"/>
    <mergeCell ref="H56:H57"/>
    <mergeCell ref="C7:G7"/>
    <mergeCell ref="A41:B41"/>
    <mergeCell ref="A42:B42"/>
    <mergeCell ref="A47:B47"/>
    <mergeCell ref="A48:B48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J76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2.425781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201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5747</v>
      </c>
    </row>
    <row r="7" spans="1:10" x14ac:dyDescent="0.25">
      <c r="C7" s="28" t="s">
        <v>5</v>
      </c>
      <c r="D7" s="29"/>
      <c r="E7" s="29"/>
      <c r="F7" s="29"/>
      <c r="G7" s="29"/>
    </row>
    <row r="8" spans="1:10" x14ac:dyDescent="0.25">
      <c r="A8" s="25" t="s">
        <v>6</v>
      </c>
      <c r="B8" s="25" t="s">
        <v>7</v>
      </c>
      <c r="C8" s="27" t="s">
        <v>8</v>
      </c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209</v>
      </c>
      <c r="F9" s="10"/>
      <c r="G9" s="10">
        <f t="shared" ref="G9:G44" si="0">SUM(C9:F9)</f>
        <v>209</v>
      </c>
      <c r="H9" s="16">
        <f t="shared" ref="H9:H44" si="1">ROUND(G9/5747,2)</f>
        <v>0.04</v>
      </c>
      <c r="I9" s="15">
        <f t="shared" ref="I9:I44" si="2">ROUND(G9/$G$45,3)</f>
        <v>0</v>
      </c>
      <c r="J9" s="15">
        <f>ROUND(G9/180-1,2)</f>
        <v>0.16</v>
      </c>
    </row>
    <row r="10" spans="1:10" x14ac:dyDescent="0.25">
      <c r="A10" s="1" t="s">
        <v>16</v>
      </c>
      <c r="B10" s="1" t="s">
        <v>19</v>
      </c>
      <c r="C10" s="10">
        <v>186030</v>
      </c>
      <c r="D10" s="10"/>
      <c r="E10" s="10">
        <v>6720</v>
      </c>
      <c r="F10" s="10"/>
      <c r="G10" s="10">
        <f t="shared" si="0"/>
        <v>192750</v>
      </c>
      <c r="H10" s="16">
        <f t="shared" si="1"/>
        <v>33.54</v>
      </c>
      <c r="I10" s="15">
        <f t="shared" si="2"/>
        <v>8.1000000000000003E-2</v>
      </c>
      <c r="J10" s="15">
        <f>ROUND(G10/189860-1,2)</f>
        <v>0.02</v>
      </c>
    </row>
    <row r="11" spans="1:10" x14ac:dyDescent="0.25">
      <c r="A11" s="1" t="s">
        <v>16</v>
      </c>
      <c r="B11" s="1" t="s">
        <v>20</v>
      </c>
      <c r="C11" s="10">
        <v>215340</v>
      </c>
      <c r="D11" s="10"/>
      <c r="E11" s="10"/>
      <c r="F11" s="10"/>
      <c r="G11" s="10">
        <f t="shared" si="0"/>
        <v>215340</v>
      </c>
      <c r="H11" s="16">
        <f t="shared" si="1"/>
        <v>37.47</v>
      </c>
      <c r="I11" s="15">
        <f t="shared" si="2"/>
        <v>0.09</v>
      </c>
      <c r="J11" s="15">
        <f>ROUND(G11/220040-1,2)</f>
        <v>-0.02</v>
      </c>
    </row>
    <row r="12" spans="1:10" x14ac:dyDescent="0.25">
      <c r="A12" s="1" t="s">
        <v>16</v>
      </c>
      <c r="B12" s="1" t="s">
        <v>23</v>
      </c>
      <c r="C12" s="10"/>
      <c r="D12" s="10"/>
      <c r="E12" s="10">
        <v>96240</v>
      </c>
      <c r="F12" s="10"/>
      <c r="G12" s="10">
        <f t="shared" si="0"/>
        <v>96240</v>
      </c>
      <c r="H12" s="16">
        <f t="shared" si="1"/>
        <v>16.75</v>
      </c>
      <c r="I12" s="15">
        <f t="shared" si="2"/>
        <v>0.04</v>
      </c>
      <c r="J12" s="15">
        <f>ROUND(G12/76100-1,2)</f>
        <v>0.26</v>
      </c>
    </row>
    <row r="13" spans="1:10" x14ac:dyDescent="0.25">
      <c r="A13" s="1" t="s">
        <v>16</v>
      </c>
      <c r="B13" s="1" t="s">
        <v>24</v>
      </c>
      <c r="C13" s="10">
        <v>245610</v>
      </c>
      <c r="D13" s="10"/>
      <c r="E13" s="10">
        <v>31290</v>
      </c>
      <c r="F13" s="10"/>
      <c r="G13" s="10">
        <f t="shared" si="0"/>
        <v>276900</v>
      </c>
      <c r="H13" s="16">
        <f t="shared" si="1"/>
        <v>48.18</v>
      </c>
      <c r="I13" s="15">
        <f t="shared" si="2"/>
        <v>0.11600000000000001</v>
      </c>
      <c r="J13" s="15">
        <f>ROUND(G13/271530-1,2)</f>
        <v>0.02</v>
      </c>
    </row>
    <row r="14" spans="1:10" x14ac:dyDescent="0.25">
      <c r="A14" s="1" t="s">
        <v>16</v>
      </c>
      <c r="B14" s="1" t="s">
        <v>25</v>
      </c>
      <c r="C14" s="10"/>
      <c r="D14" s="10"/>
      <c r="E14" s="10">
        <v>12780</v>
      </c>
      <c r="F14" s="10"/>
      <c r="G14" s="10">
        <f t="shared" si="0"/>
        <v>12780</v>
      </c>
      <c r="H14" s="16">
        <f t="shared" si="1"/>
        <v>2.2200000000000002</v>
      </c>
      <c r="I14" s="15">
        <f t="shared" si="2"/>
        <v>5.0000000000000001E-3</v>
      </c>
      <c r="J14" s="15">
        <f>ROUND(G14/10880-1,2)</f>
        <v>0.17</v>
      </c>
    </row>
    <row r="15" spans="1:10" x14ac:dyDescent="0.25">
      <c r="A15" s="1" t="s">
        <v>16</v>
      </c>
      <c r="B15" s="1" t="s">
        <v>26</v>
      </c>
      <c r="C15" s="10">
        <v>450620</v>
      </c>
      <c r="D15" s="10"/>
      <c r="E15" s="10"/>
      <c r="F15" s="10">
        <v>680</v>
      </c>
      <c r="G15" s="10">
        <f t="shared" si="0"/>
        <v>451300</v>
      </c>
      <c r="H15" s="16">
        <f t="shared" si="1"/>
        <v>78.53</v>
      </c>
      <c r="I15" s="15">
        <f t="shared" si="2"/>
        <v>0.189</v>
      </c>
      <c r="J15" s="15">
        <f>ROUND(G15/477660-1,2)</f>
        <v>-0.06</v>
      </c>
    </row>
    <row r="16" spans="1:10" x14ac:dyDescent="0.25">
      <c r="A16" s="1" t="s">
        <v>16</v>
      </c>
      <c r="B16" s="1" t="s">
        <v>27</v>
      </c>
      <c r="C16" s="10"/>
      <c r="D16" s="10"/>
      <c r="E16" s="10">
        <v>575</v>
      </c>
      <c r="F16" s="10"/>
      <c r="G16" s="10">
        <f t="shared" si="0"/>
        <v>575</v>
      </c>
      <c r="H16" s="16">
        <f t="shared" si="1"/>
        <v>0.1</v>
      </c>
      <c r="I16" s="15">
        <f t="shared" si="2"/>
        <v>0</v>
      </c>
      <c r="J16" s="15">
        <f>ROUND(G16/844-1,2)</f>
        <v>-0.32</v>
      </c>
    </row>
    <row r="17" spans="1:10" x14ac:dyDescent="0.25">
      <c r="A17" s="1" t="s">
        <v>16</v>
      </c>
      <c r="B17" s="1" t="s">
        <v>28</v>
      </c>
      <c r="C17" s="10"/>
      <c r="D17" s="10"/>
      <c r="E17" s="10">
        <v>595</v>
      </c>
      <c r="F17" s="10"/>
      <c r="G17" s="10">
        <f t="shared" si="0"/>
        <v>595</v>
      </c>
      <c r="H17" s="16">
        <f t="shared" si="1"/>
        <v>0.1</v>
      </c>
      <c r="I17" s="15">
        <f t="shared" si="2"/>
        <v>0</v>
      </c>
      <c r="J17" s="15">
        <f>ROUND(G17/386-1,2)</f>
        <v>0.54</v>
      </c>
    </row>
    <row r="18" spans="1:10" x14ac:dyDescent="0.25">
      <c r="A18" s="1" t="s">
        <v>16</v>
      </c>
      <c r="B18" s="1" t="s">
        <v>29</v>
      </c>
      <c r="C18" s="10"/>
      <c r="D18" s="10"/>
      <c r="E18" s="10">
        <v>5970</v>
      </c>
      <c r="F18" s="10"/>
      <c r="G18" s="10">
        <f t="shared" si="0"/>
        <v>5970</v>
      </c>
      <c r="H18" s="16">
        <f t="shared" si="1"/>
        <v>1.04</v>
      </c>
      <c r="I18" s="15">
        <f t="shared" si="2"/>
        <v>3.0000000000000001E-3</v>
      </c>
      <c r="J18" s="15">
        <f>ROUND(G18/11320-1,2)</f>
        <v>-0.47</v>
      </c>
    </row>
    <row r="19" spans="1:10" x14ac:dyDescent="0.25">
      <c r="A19" s="1" t="s">
        <v>16</v>
      </c>
      <c r="B19" s="1" t="s">
        <v>30</v>
      </c>
      <c r="C19" s="10"/>
      <c r="D19" s="10"/>
      <c r="E19" s="10">
        <v>2560</v>
      </c>
      <c r="F19" s="10"/>
      <c r="G19" s="10">
        <f t="shared" si="0"/>
        <v>2560</v>
      </c>
      <c r="H19" s="16">
        <f t="shared" si="1"/>
        <v>0.45</v>
      </c>
      <c r="I19" s="15">
        <f t="shared" si="2"/>
        <v>1E-3</v>
      </c>
      <c r="J19" s="15">
        <f>ROUND(G19/2340-1,2)</f>
        <v>0.09</v>
      </c>
    </row>
    <row r="20" spans="1:10" x14ac:dyDescent="0.25">
      <c r="A20" s="1" t="s">
        <v>16</v>
      </c>
      <c r="B20" s="1" t="s">
        <v>31</v>
      </c>
      <c r="C20" s="10"/>
      <c r="D20" s="10"/>
      <c r="E20" s="10">
        <v>570</v>
      </c>
      <c r="F20" s="10"/>
      <c r="G20" s="10">
        <f t="shared" si="0"/>
        <v>570</v>
      </c>
      <c r="H20" s="16">
        <f t="shared" si="1"/>
        <v>0.1</v>
      </c>
      <c r="I20" s="15">
        <f t="shared" si="2"/>
        <v>0</v>
      </c>
      <c r="J20" s="15">
        <f>ROUND(G20/580-1,2)</f>
        <v>-0.02</v>
      </c>
    </row>
    <row r="21" spans="1:10" x14ac:dyDescent="0.25">
      <c r="A21" s="1" t="s">
        <v>16</v>
      </c>
      <c r="B21" s="1" t="s">
        <v>33</v>
      </c>
      <c r="C21" s="10"/>
      <c r="D21" s="10">
        <v>646</v>
      </c>
      <c r="E21" s="10">
        <v>102</v>
      </c>
      <c r="F21" s="10"/>
      <c r="G21" s="10">
        <f t="shared" si="0"/>
        <v>748</v>
      </c>
      <c r="H21" s="16">
        <f t="shared" si="1"/>
        <v>0.13</v>
      </c>
      <c r="I21" s="15">
        <f t="shared" si="2"/>
        <v>0</v>
      </c>
      <c r="J21" s="15">
        <f>ROUND(G21/771-1,2)</f>
        <v>-0.03</v>
      </c>
    </row>
    <row r="22" spans="1:10" x14ac:dyDescent="0.25">
      <c r="A22" s="1" t="s">
        <v>16</v>
      </c>
      <c r="B22" s="1" t="s">
        <v>35</v>
      </c>
      <c r="C22" s="10"/>
      <c r="D22" s="10">
        <v>180</v>
      </c>
      <c r="E22" s="10">
        <v>160</v>
      </c>
      <c r="F22" s="10"/>
      <c r="G22" s="10">
        <f t="shared" si="0"/>
        <v>340</v>
      </c>
      <c r="H22" s="16">
        <f t="shared" si="1"/>
        <v>0.06</v>
      </c>
      <c r="I22" s="15">
        <f t="shared" si="2"/>
        <v>0</v>
      </c>
      <c r="J22" s="15">
        <f>ROUND(G22/1155-1,2)</f>
        <v>-0.71</v>
      </c>
    </row>
    <row r="23" spans="1:10" x14ac:dyDescent="0.25">
      <c r="A23" s="1" t="s">
        <v>16</v>
      </c>
      <c r="B23" s="1" t="s">
        <v>34</v>
      </c>
      <c r="C23" s="10"/>
      <c r="D23" s="10"/>
      <c r="E23" s="10">
        <v>855</v>
      </c>
      <c r="F23" s="10"/>
      <c r="G23" s="10">
        <f t="shared" si="0"/>
        <v>855</v>
      </c>
      <c r="H23" s="16">
        <f t="shared" si="1"/>
        <v>0.15</v>
      </c>
      <c r="I23" s="15">
        <f t="shared" si="2"/>
        <v>0</v>
      </c>
      <c r="J23" s="15">
        <f>ROUND(G23/1960-1,2)</f>
        <v>-0.56000000000000005</v>
      </c>
    </row>
    <row r="24" spans="1:10" x14ac:dyDescent="0.25">
      <c r="A24" s="1" t="s">
        <v>16</v>
      </c>
      <c r="B24" s="1" t="s">
        <v>43</v>
      </c>
      <c r="C24" s="10"/>
      <c r="D24" s="10"/>
      <c r="E24" s="10">
        <v>7545</v>
      </c>
      <c r="F24" s="10"/>
      <c r="G24" s="10">
        <f t="shared" si="0"/>
        <v>7545</v>
      </c>
      <c r="H24" s="16">
        <f t="shared" si="1"/>
        <v>1.31</v>
      </c>
      <c r="I24" s="15">
        <f t="shared" si="2"/>
        <v>3.0000000000000001E-3</v>
      </c>
      <c r="J24" s="15">
        <f>ROUND(G24/16560-1,2)</f>
        <v>-0.54</v>
      </c>
    </row>
    <row r="25" spans="1:10" x14ac:dyDescent="0.25">
      <c r="A25" s="1" t="s">
        <v>16</v>
      </c>
      <c r="B25" s="1" t="s">
        <v>37</v>
      </c>
      <c r="C25" s="10"/>
      <c r="D25" s="10"/>
      <c r="E25" s="10">
        <v>7070</v>
      </c>
      <c r="F25" s="10"/>
      <c r="G25" s="10">
        <f t="shared" si="0"/>
        <v>7070</v>
      </c>
      <c r="H25" s="16">
        <f t="shared" si="1"/>
        <v>1.23</v>
      </c>
      <c r="I25" s="15">
        <f t="shared" si="2"/>
        <v>3.0000000000000001E-3</v>
      </c>
      <c r="J25" s="15">
        <f>ROUND(G25/14681-1,2)</f>
        <v>-0.52</v>
      </c>
    </row>
    <row r="26" spans="1:10" x14ac:dyDescent="0.25">
      <c r="A26" s="1" t="s">
        <v>16</v>
      </c>
      <c r="B26" s="1" t="s">
        <v>38</v>
      </c>
      <c r="C26" s="10"/>
      <c r="D26" s="10"/>
      <c r="E26" s="10">
        <v>171470</v>
      </c>
      <c r="F26" s="10"/>
      <c r="G26" s="10">
        <f t="shared" si="0"/>
        <v>171470</v>
      </c>
      <c r="H26" s="16">
        <f t="shared" si="1"/>
        <v>29.84</v>
      </c>
      <c r="I26" s="15">
        <f t="shared" si="2"/>
        <v>7.1999999999999995E-2</v>
      </c>
      <c r="J26" s="15">
        <f>ROUND(G26/144420-1,2)</f>
        <v>0.19</v>
      </c>
    </row>
    <row r="27" spans="1:10" x14ac:dyDescent="0.25">
      <c r="A27" s="1" t="s">
        <v>16</v>
      </c>
      <c r="B27" s="1" t="s">
        <v>39</v>
      </c>
      <c r="C27" s="10"/>
      <c r="D27" s="10"/>
      <c r="E27" s="10">
        <v>6640</v>
      </c>
      <c r="F27" s="10"/>
      <c r="G27" s="10">
        <f t="shared" si="0"/>
        <v>6640</v>
      </c>
      <c r="H27" s="16">
        <f t="shared" si="1"/>
        <v>1.1599999999999999</v>
      </c>
      <c r="I27" s="15">
        <f t="shared" si="2"/>
        <v>3.0000000000000001E-3</v>
      </c>
      <c r="J27" s="15">
        <f>ROUND(G27/6550-1,2)</f>
        <v>0.01</v>
      </c>
    </row>
    <row r="28" spans="1:10" x14ac:dyDescent="0.25">
      <c r="A28" s="1" t="s">
        <v>16</v>
      </c>
      <c r="B28" s="1" t="s">
        <v>40</v>
      </c>
      <c r="C28" s="10"/>
      <c r="D28" s="10"/>
      <c r="E28" s="10">
        <v>42440</v>
      </c>
      <c r="F28" s="10"/>
      <c r="G28" s="10">
        <f t="shared" si="0"/>
        <v>42440</v>
      </c>
      <c r="H28" s="16">
        <f t="shared" si="1"/>
        <v>7.38</v>
      </c>
      <c r="I28" s="15">
        <f t="shared" si="2"/>
        <v>1.7999999999999999E-2</v>
      </c>
      <c r="J28" s="15">
        <f>ROUND(G28/37870-1,2)</f>
        <v>0.12</v>
      </c>
    </row>
    <row r="29" spans="1:10" x14ac:dyDescent="0.25">
      <c r="A29" s="1" t="s">
        <v>16</v>
      </c>
      <c r="B29" s="1" t="s">
        <v>41</v>
      </c>
      <c r="C29" s="10"/>
      <c r="D29" s="10"/>
      <c r="E29" s="10">
        <v>222500</v>
      </c>
      <c r="F29" s="10"/>
      <c r="G29" s="10">
        <f t="shared" si="0"/>
        <v>222500</v>
      </c>
      <c r="H29" s="16">
        <f t="shared" si="1"/>
        <v>38.72</v>
      </c>
      <c r="I29" s="15">
        <f t="shared" si="2"/>
        <v>9.2999999999999999E-2</v>
      </c>
      <c r="J29" s="15">
        <f>ROUND(G29/230390-1,2)</f>
        <v>-0.03</v>
      </c>
    </row>
    <row r="30" spans="1:10" x14ac:dyDescent="0.25">
      <c r="A30" s="1" t="s">
        <v>16</v>
      </c>
      <c r="B30" s="1" t="s">
        <v>42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>
        <f>ROUND(G30/387-1,2)</f>
        <v>-1</v>
      </c>
    </row>
    <row r="31" spans="1:10" x14ac:dyDescent="0.25">
      <c r="A31" s="1" t="s">
        <v>16</v>
      </c>
      <c r="B31" s="1" t="s">
        <v>36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>
        <f>ROUND(G31/5541-1,2)</f>
        <v>-1</v>
      </c>
    </row>
    <row r="32" spans="1:10" x14ac:dyDescent="0.25">
      <c r="A32" s="1" t="s">
        <v>16</v>
      </c>
      <c r="B32" s="1" t="s">
        <v>120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/>
    </row>
    <row r="33" spans="1:10" x14ac:dyDescent="0.25">
      <c r="A33" s="1" t="s">
        <v>16</v>
      </c>
      <c r="B33" s="1" t="s">
        <v>98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>
        <f>ROUND(G33/920-1,2)</f>
        <v>-1</v>
      </c>
    </row>
    <row r="34" spans="1:10" x14ac:dyDescent="0.25">
      <c r="A34" s="1" t="s">
        <v>16</v>
      </c>
      <c r="B34" s="1" t="s">
        <v>32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/>
    </row>
    <row r="35" spans="1:10" x14ac:dyDescent="0.25">
      <c r="A35" s="1" t="s">
        <v>16</v>
      </c>
      <c r="B35" s="1" t="s">
        <v>161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16</v>
      </c>
      <c r="B36" s="1" t="s">
        <v>202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/>
    </row>
    <row r="37" spans="1:10" x14ac:dyDescent="0.25">
      <c r="A37" s="1" t="s">
        <v>44</v>
      </c>
      <c r="B37" s="1" t="s">
        <v>45</v>
      </c>
      <c r="C37" s="10">
        <v>498880</v>
      </c>
      <c r="D37" s="10"/>
      <c r="E37" s="10"/>
      <c r="F37" s="10"/>
      <c r="G37" s="10">
        <f t="shared" si="0"/>
        <v>498880</v>
      </c>
      <c r="H37" s="16">
        <f t="shared" si="1"/>
        <v>86.81</v>
      </c>
      <c r="I37" s="15">
        <f t="shared" si="2"/>
        <v>0.20899999999999999</v>
      </c>
      <c r="J37" s="15">
        <f>ROUND(G37/486200-1,2)</f>
        <v>0.03</v>
      </c>
    </row>
    <row r="38" spans="1:10" x14ac:dyDescent="0.25">
      <c r="A38" s="1" t="s">
        <v>44</v>
      </c>
      <c r="B38" s="1" t="s">
        <v>47</v>
      </c>
      <c r="C38" s="10"/>
      <c r="D38" s="10"/>
      <c r="E38" s="10"/>
      <c r="F38" s="10">
        <v>74580</v>
      </c>
      <c r="G38" s="10">
        <f t="shared" si="0"/>
        <v>74580</v>
      </c>
      <c r="H38" s="16">
        <f t="shared" si="1"/>
        <v>12.98</v>
      </c>
      <c r="I38" s="15">
        <f t="shared" si="2"/>
        <v>3.1E-2</v>
      </c>
      <c r="J38" s="15">
        <f>ROUND(G38/54940-1,2)</f>
        <v>0.36</v>
      </c>
    </row>
    <row r="39" spans="1:10" x14ac:dyDescent="0.25">
      <c r="A39" s="1" t="s">
        <v>44</v>
      </c>
      <c r="B39" s="1" t="s">
        <v>46</v>
      </c>
      <c r="C39" s="10"/>
      <c r="D39" s="10"/>
      <c r="E39" s="10">
        <v>96420</v>
      </c>
      <c r="F39" s="10"/>
      <c r="G39" s="10">
        <f t="shared" si="0"/>
        <v>96420</v>
      </c>
      <c r="H39" s="16">
        <f t="shared" si="1"/>
        <v>16.78</v>
      </c>
      <c r="I39" s="15">
        <f t="shared" si="2"/>
        <v>0.04</v>
      </c>
      <c r="J39" s="15">
        <f>ROUND(G39/91820-1,2)</f>
        <v>0.05</v>
      </c>
    </row>
    <row r="40" spans="1:10" x14ac:dyDescent="0.25">
      <c r="A40" s="1" t="s">
        <v>48</v>
      </c>
      <c r="B40" s="1" t="s">
        <v>51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/>
    </row>
    <row r="41" spans="1:10" x14ac:dyDescent="0.25">
      <c r="A41" s="1" t="s">
        <v>48</v>
      </c>
      <c r="B41" s="1" t="s">
        <v>49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>
        <f>ROUND(G41/65-1,2)</f>
        <v>-1</v>
      </c>
    </row>
    <row r="42" spans="1:10" x14ac:dyDescent="0.25">
      <c r="A42" s="1" t="s">
        <v>48</v>
      </c>
      <c r="B42" s="1" t="s">
        <v>50</v>
      </c>
      <c r="C42" s="10"/>
      <c r="D42" s="10"/>
      <c r="E42" s="10"/>
      <c r="F42" s="10"/>
      <c r="G42" s="10">
        <f t="shared" si="0"/>
        <v>0</v>
      </c>
      <c r="H42" s="16">
        <f t="shared" si="1"/>
        <v>0</v>
      </c>
      <c r="I42" s="15">
        <f t="shared" si="2"/>
        <v>0</v>
      </c>
      <c r="J42" s="15">
        <f>ROUND(G42/885-1,2)</f>
        <v>-1</v>
      </c>
    </row>
    <row r="43" spans="1:10" x14ac:dyDescent="0.25">
      <c r="A43" s="1" t="s">
        <v>48</v>
      </c>
      <c r="B43" s="1" t="s">
        <v>94</v>
      </c>
      <c r="C43" s="10"/>
      <c r="D43" s="10"/>
      <c r="E43" s="10"/>
      <c r="F43" s="10"/>
      <c r="G43" s="10">
        <f t="shared" si="0"/>
        <v>0</v>
      </c>
      <c r="H43" s="16">
        <f t="shared" si="1"/>
        <v>0</v>
      </c>
      <c r="I43" s="15">
        <f t="shared" si="2"/>
        <v>0</v>
      </c>
      <c r="J43" s="15"/>
    </row>
    <row r="44" spans="1:10" x14ac:dyDescent="0.25">
      <c r="A44" s="1" t="s">
        <v>48</v>
      </c>
      <c r="B44" s="1" t="s">
        <v>86</v>
      </c>
      <c r="C44" s="10"/>
      <c r="D44" s="10"/>
      <c r="E44" s="10"/>
      <c r="F44" s="10"/>
      <c r="G44" s="10">
        <f t="shared" si="0"/>
        <v>0</v>
      </c>
      <c r="H44" s="16">
        <f t="shared" si="1"/>
        <v>0</v>
      </c>
      <c r="I44" s="15">
        <f t="shared" si="2"/>
        <v>0</v>
      </c>
      <c r="J44" s="15"/>
    </row>
    <row r="45" spans="1:10" x14ac:dyDescent="0.25">
      <c r="A45" s="30" t="s">
        <v>12</v>
      </c>
      <c r="B45" s="30"/>
      <c r="C45" s="11">
        <f t="shared" ref="C45:H45" si="3">SUM(C8:C44)</f>
        <v>1596480</v>
      </c>
      <c r="D45" s="11">
        <f t="shared" si="3"/>
        <v>826</v>
      </c>
      <c r="E45" s="11">
        <f t="shared" si="3"/>
        <v>712711</v>
      </c>
      <c r="F45" s="11">
        <f t="shared" si="3"/>
        <v>75260</v>
      </c>
      <c r="G45" s="11">
        <f t="shared" si="3"/>
        <v>2385277</v>
      </c>
      <c r="H45" s="14">
        <f t="shared" si="3"/>
        <v>415.07000000000005</v>
      </c>
      <c r="I45" s="17"/>
      <c r="J45" s="17"/>
    </row>
    <row r="46" spans="1:10" x14ac:dyDescent="0.25">
      <c r="A46" s="30" t="s">
        <v>14</v>
      </c>
      <c r="B46" s="30"/>
      <c r="C46" s="12">
        <f>ROUND(C45/G45,2)</f>
        <v>0.67</v>
      </c>
      <c r="D46" s="12">
        <f>ROUND(D45/G45,2)</f>
        <v>0</v>
      </c>
      <c r="E46" s="12">
        <f>ROUND(E45/G45,2)</f>
        <v>0.3</v>
      </c>
      <c r="F46" s="12">
        <f>ROUND(F45/G45,2)</f>
        <v>0.03</v>
      </c>
      <c r="G46" s="13"/>
      <c r="H46" s="13"/>
      <c r="I46" s="17"/>
      <c r="J46" s="17"/>
    </row>
    <row r="47" spans="1:10" x14ac:dyDescent="0.25">
      <c r="A47" s="2" t="s">
        <v>52</v>
      </c>
      <c r="B47" s="2"/>
      <c r="C47" s="13"/>
      <c r="D47" s="13"/>
      <c r="E47" s="13"/>
      <c r="F47" s="13"/>
      <c r="G47" s="13"/>
      <c r="H47" s="13"/>
      <c r="I47" s="17"/>
      <c r="J47" s="17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A51" s="30" t="s">
        <v>53</v>
      </c>
      <c r="B51" s="30"/>
      <c r="C51" s="11" t="s">
        <v>8</v>
      </c>
      <c r="D51" s="11" t="s">
        <v>9</v>
      </c>
      <c r="E51" s="11" t="s">
        <v>10</v>
      </c>
      <c r="F51" s="11" t="s">
        <v>11</v>
      </c>
      <c r="G51" s="11" t="s">
        <v>12</v>
      </c>
      <c r="H51" s="14" t="s">
        <v>13</v>
      </c>
      <c r="I51" s="17"/>
      <c r="J51" s="17"/>
    </row>
    <row r="52" spans="1:10" x14ac:dyDescent="0.25">
      <c r="A52" s="29" t="s">
        <v>54</v>
      </c>
      <c r="B52" s="29"/>
      <c r="C52" s="10">
        <v>1097600</v>
      </c>
      <c r="D52" s="10">
        <v>826</v>
      </c>
      <c r="E52" s="10">
        <v>616291</v>
      </c>
      <c r="F52" s="10">
        <v>680</v>
      </c>
      <c r="G52" s="10">
        <f>SUM(C52:F52)</f>
        <v>1715397</v>
      </c>
      <c r="H52" s="16">
        <f>ROUND(G52/5747,2)</f>
        <v>298.49</v>
      </c>
      <c r="I52" s="9"/>
      <c r="J52" s="9"/>
    </row>
    <row r="53" spans="1:10" x14ac:dyDescent="0.25">
      <c r="A53" s="29" t="s">
        <v>55</v>
      </c>
      <c r="B53" s="29"/>
      <c r="C53" s="10">
        <v>498880</v>
      </c>
      <c r="D53" s="10">
        <v>0</v>
      </c>
      <c r="E53" s="10">
        <v>96420</v>
      </c>
      <c r="F53" s="10">
        <v>74580</v>
      </c>
      <c r="G53" s="10">
        <f>SUM(C53:F53)</f>
        <v>669880</v>
      </c>
      <c r="H53" s="16">
        <f>ROUND(G53/5747,2)</f>
        <v>116.56</v>
      </c>
      <c r="I53" s="9"/>
      <c r="J53" s="9"/>
    </row>
    <row r="54" spans="1:10" x14ac:dyDescent="0.25">
      <c r="A54" s="29" t="s">
        <v>56</v>
      </c>
      <c r="B54" s="29"/>
      <c r="C54" s="10">
        <v>0</v>
      </c>
      <c r="D54" s="10">
        <v>0</v>
      </c>
      <c r="E54" s="10">
        <v>0</v>
      </c>
      <c r="F54" s="10">
        <v>0</v>
      </c>
      <c r="G54" s="10">
        <f>SUM(C54:F54)</f>
        <v>0</v>
      </c>
      <c r="H54" s="16">
        <f>ROUND(G54/5747,2)</f>
        <v>0</v>
      </c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21"/>
      <c r="H57" s="8"/>
      <c r="I57" s="9"/>
      <c r="J57" s="9"/>
    </row>
    <row r="58" spans="1:10" x14ac:dyDescent="0.25">
      <c r="C58" s="8"/>
      <c r="D58" s="8"/>
      <c r="E58" s="8"/>
      <c r="F58" s="8"/>
      <c r="G58" s="21"/>
      <c r="H58" s="8"/>
      <c r="I58" s="9"/>
      <c r="J58" s="9"/>
    </row>
    <row r="59" spans="1:10" x14ac:dyDescent="0.25">
      <c r="A59" s="30" t="s">
        <v>57</v>
      </c>
      <c r="B59" s="30"/>
      <c r="C59" s="14" t="s">
        <v>2</v>
      </c>
      <c r="D59" s="14">
        <v>2023</v>
      </c>
      <c r="E59" s="14" t="s">
        <v>59</v>
      </c>
      <c r="F59" s="13"/>
      <c r="G59" s="14" t="s">
        <v>60</v>
      </c>
      <c r="H59" s="14" t="s">
        <v>2</v>
      </c>
      <c r="I59" s="12" t="s">
        <v>61</v>
      </c>
      <c r="J59" s="12" t="s">
        <v>59</v>
      </c>
    </row>
    <row r="60" spans="1:10" x14ac:dyDescent="0.25">
      <c r="A60" s="29" t="s">
        <v>58</v>
      </c>
      <c r="B60" s="29"/>
      <c r="C60" s="15">
        <f>ROUND(0.7769, 4)</f>
        <v>0.77690000000000003</v>
      </c>
      <c r="D60" s="15">
        <f>ROUND(0.7791, 4)</f>
        <v>0.77910000000000001</v>
      </c>
      <c r="E60" s="15">
        <f>ROUND(0.777, 4)</f>
        <v>0.77700000000000002</v>
      </c>
      <c r="F60" s="8"/>
      <c r="G60" s="14" t="s">
        <v>62</v>
      </c>
      <c r="H60" s="33" t="s">
        <v>63</v>
      </c>
      <c r="I60" s="31" t="s">
        <v>64</v>
      </c>
      <c r="J60" s="31" t="s">
        <v>65</v>
      </c>
    </row>
    <row r="61" spans="1:10" x14ac:dyDescent="0.25">
      <c r="A61" s="29" t="s">
        <v>66</v>
      </c>
      <c r="B61" s="29"/>
      <c r="C61" s="15">
        <f>ROUND(0.7661, 4)</f>
        <v>0.7661</v>
      </c>
      <c r="D61" s="15">
        <f>ROUND(0.7684, 4)</f>
        <v>0.76839999999999997</v>
      </c>
      <c r="E61" s="15">
        <f>ROUND(0.7608, 4)</f>
        <v>0.76080000000000003</v>
      </c>
      <c r="F61" s="8"/>
      <c r="G61" s="14" t="s">
        <v>67</v>
      </c>
      <c r="H61" s="34"/>
      <c r="I61" s="32"/>
      <c r="J61" s="32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A65" s="30" t="s">
        <v>68</v>
      </c>
      <c r="B65" s="30"/>
      <c r="C65" s="14" t="s">
        <v>2</v>
      </c>
      <c r="D65" s="14" t="s">
        <v>203</v>
      </c>
      <c r="E65" s="14" t="s">
        <v>70</v>
      </c>
      <c r="F65" s="14" t="s">
        <v>71</v>
      </c>
      <c r="G65" s="14" t="s">
        <v>72</v>
      </c>
      <c r="H65" s="13"/>
      <c r="I65" s="17"/>
      <c r="J65" s="17"/>
    </row>
    <row r="66" spans="1:10" x14ac:dyDescent="0.25">
      <c r="A66" s="29" t="s">
        <v>73</v>
      </c>
      <c r="B66" s="29"/>
      <c r="C66" s="16">
        <v>86.81</v>
      </c>
      <c r="D66" s="16">
        <v>81.17</v>
      </c>
      <c r="E66" s="16">
        <v>93.87</v>
      </c>
      <c r="F66" s="16">
        <v>57.16</v>
      </c>
      <c r="G66" s="16">
        <f>12/12*C66</f>
        <v>86.81</v>
      </c>
      <c r="H66" s="8"/>
      <c r="I66" s="9"/>
      <c r="J66" s="9"/>
    </row>
    <row r="67" spans="1:10" x14ac:dyDescent="0.25">
      <c r="A67" s="29" t="s">
        <v>74</v>
      </c>
      <c r="B67" s="29"/>
      <c r="C67" s="16">
        <v>78.53</v>
      </c>
      <c r="D67" s="16">
        <v>81.680000000000007</v>
      </c>
      <c r="E67" s="16">
        <v>62.84</v>
      </c>
      <c r="F67" s="16">
        <v>65.39</v>
      </c>
      <c r="G67" s="16">
        <f>12/12*C67</f>
        <v>78.53</v>
      </c>
      <c r="H67" s="8"/>
      <c r="I67" s="9"/>
      <c r="J67" s="9"/>
    </row>
    <row r="68" spans="1:10" x14ac:dyDescent="0.25">
      <c r="A68" s="29" t="s">
        <v>75</v>
      </c>
      <c r="B68" s="29"/>
      <c r="C68" s="16">
        <v>298.49</v>
      </c>
      <c r="D68" s="16">
        <v>310.94</v>
      </c>
      <c r="E68" s="16">
        <v>295.08999999999997</v>
      </c>
      <c r="F68" s="16">
        <v>289.06</v>
      </c>
      <c r="G68" s="16">
        <f>12/12*C68</f>
        <v>298.49</v>
      </c>
      <c r="H68" s="8"/>
      <c r="I68" s="9"/>
      <c r="J68" s="9"/>
    </row>
    <row r="69" spans="1:10" x14ac:dyDescent="0.25">
      <c r="A69" s="29" t="s">
        <v>76</v>
      </c>
      <c r="B69" s="29"/>
      <c r="C69" s="16">
        <v>116.56</v>
      </c>
      <c r="D69" s="16">
        <v>116.27</v>
      </c>
      <c r="E69" s="16">
        <v>118.05</v>
      </c>
      <c r="F69" s="16">
        <v>81.41</v>
      </c>
      <c r="G69" s="16">
        <f>12/12*C69</f>
        <v>116.56</v>
      </c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  <row r="71" spans="1:10" x14ac:dyDescent="0.25">
      <c r="C71" s="8"/>
      <c r="D71" s="8"/>
      <c r="E71" s="8"/>
      <c r="F71" s="8"/>
      <c r="G71" s="8"/>
      <c r="H71" s="8"/>
      <c r="I71" s="9"/>
      <c r="J71" s="9"/>
    </row>
    <row r="72" spans="1:10" x14ac:dyDescent="0.25">
      <c r="A72" s="28" t="s">
        <v>60</v>
      </c>
      <c r="B72" s="35"/>
      <c r="C72" s="8"/>
      <c r="D72" s="8"/>
      <c r="E72" s="8"/>
      <c r="F72" s="8"/>
      <c r="G72" s="8"/>
      <c r="H72" s="8"/>
      <c r="I72" s="9"/>
      <c r="J72" s="9"/>
    </row>
    <row r="73" spans="1:10" x14ac:dyDescent="0.25">
      <c r="A73" s="3" t="s">
        <v>77</v>
      </c>
      <c r="B73" s="1" t="s">
        <v>204</v>
      </c>
      <c r="C73" s="8"/>
      <c r="D73" s="8"/>
      <c r="E73" s="8"/>
      <c r="F73" s="8"/>
      <c r="G73" s="8"/>
      <c r="H73" s="8"/>
      <c r="I73" s="9"/>
      <c r="J73" s="9"/>
    </row>
    <row r="74" spans="1:10" x14ac:dyDescent="0.25">
      <c r="A74" s="3" t="s">
        <v>70</v>
      </c>
      <c r="B74" s="1" t="s">
        <v>79</v>
      </c>
      <c r="C74" s="8"/>
      <c r="D74" s="8"/>
      <c r="E74" s="8"/>
      <c r="F74" s="8"/>
      <c r="G74" s="8"/>
      <c r="H74" s="8"/>
      <c r="I74" s="9"/>
      <c r="J74" s="9"/>
    </row>
    <row r="75" spans="1:10" x14ac:dyDescent="0.25">
      <c r="A75" s="3" t="s">
        <v>71</v>
      </c>
      <c r="B75" s="1" t="s">
        <v>80</v>
      </c>
      <c r="C75" s="8"/>
      <c r="D75" s="8"/>
      <c r="E75" s="8"/>
      <c r="F75" s="8"/>
      <c r="G75" s="8"/>
      <c r="H75" s="8"/>
      <c r="I75" s="9"/>
      <c r="J75" s="9"/>
    </row>
    <row r="76" spans="1:10" x14ac:dyDescent="0.25">
      <c r="A76" s="3" t="s">
        <v>72</v>
      </c>
      <c r="B76" s="1" t="s">
        <v>81</v>
      </c>
    </row>
  </sheetData>
  <mergeCells count="19">
    <mergeCell ref="A67:B67"/>
    <mergeCell ref="A68:B68"/>
    <mergeCell ref="A69:B69"/>
    <mergeCell ref="A72:B72"/>
    <mergeCell ref="I60:I61"/>
    <mergeCell ref="J60:J61"/>
    <mergeCell ref="A61:B61"/>
    <mergeCell ref="A65:B65"/>
    <mergeCell ref="A66:B66"/>
    <mergeCell ref="A53:B53"/>
    <mergeCell ref="A54:B54"/>
    <mergeCell ref="A59:B59"/>
    <mergeCell ref="A60:B60"/>
    <mergeCell ref="H60:H61"/>
    <mergeCell ref="C7:G7"/>
    <mergeCell ref="A45:B45"/>
    <mergeCell ref="A46:B46"/>
    <mergeCell ref="A51:B51"/>
    <mergeCell ref="A52:B5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J75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8.285156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205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6862</v>
      </c>
    </row>
    <row r="7" spans="1:10" x14ac:dyDescent="0.25">
      <c r="C7" s="28" t="s">
        <v>5</v>
      </c>
      <c r="D7" s="29"/>
      <c r="E7" s="29"/>
      <c r="F7" s="29"/>
      <c r="G7" s="29"/>
    </row>
    <row r="8" spans="1:10" x14ac:dyDescent="0.25">
      <c r="A8" s="25" t="s">
        <v>6</v>
      </c>
      <c r="B8" s="25" t="s">
        <v>7</v>
      </c>
      <c r="C8" s="27" t="s">
        <v>8</v>
      </c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</row>
    <row r="9" spans="1:10" x14ac:dyDescent="0.25">
      <c r="A9" s="1" t="s">
        <v>48</v>
      </c>
      <c r="B9" s="1" t="s">
        <v>50</v>
      </c>
      <c r="C9" s="10"/>
      <c r="D9" s="10"/>
      <c r="E9" s="10"/>
      <c r="F9" s="10">
        <v>173</v>
      </c>
      <c r="G9" s="10">
        <f t="shared" ref="G9:G43" si="0">SUM(C9:F9)</f>
        <v>173</v>
      </c>
      <c r="H9" s="16">
        <f t="shared" ref="H9:H43" si="1">ROUND(G9/6862,2)</f>
        <v>0.03</v>
      </c>
      <c r="I9" s="15">
        <f t="shared" ref="I9:I43" si="2">ROUND(G9/$G$44,3)</f>
        <v>0</v>
      </c>
      <c r="J9" s="15"/>
    </row>
    <row r="10" spans="1:10" x14ac:dyDescent="0.25">
      <c r="A10" s="1" t="s">
        <v>48</v>
      </c>
      <c r="B10" s="1" t="s">
        <v>51</v>
      </c>
      <c r="C10" s="10"/>
      <c r="D10" s="10"/>
      <c r="E10" s="10"/>
      <c r="F10" s="10"/>
      <c r="G10" s="10">
        <f t="shared" si="0"/>
        <v>0</v>
      </c>
      <c r="H10" s="16">
        <f t="shared" si="1"/>
        <v>0</v>
      </c>
      <c r="I10" s="15">
        <f t="shared" si="2"/>
        <v>0</v>
      </c>
      <c r="J10" s="15"/>
    </row>
    <row r="11" spans="1:10" x14ac:dyDescent="0.25">
      <c r="A11" s="1" t="s">
        <v>48</v>
      </c>
      <c r="B11" s="1" t="s">
        <v>49</v>
      </c>
      <c r="C11" s="10"/>
      <c r="D11" s="10"/>
      <c r="E11" s="10"/>
      <c r="F11" s="10"/>
      <c r="G11" s="10">
        <f t="shared" si="0"/>
        <v>0</v>
      </c>
      <c r="H11" s="16">
        <f t="shared" si="1"/>
        <v>0</v>
      </c>
      <c r="I11" s="15">
        <f t="shared" si="2"/>
        <v>0</v>
      </c>
      <c r="J11" s="15">
        <f>ROUND(G11/20-1,2)</f>
        <v>-1</v>
      </c>
    </row>
    <row r="12" spans="1:10" x14ac:dyDescent="0.25">
      <c r="A12" s="1" t="s">
        <v>48</v>
      </c>
      <c r="B12" s="1" t="s">
        <v>86</v>
      </c>
      <c r="C12" s="10"/>
      <c r="D12" s="10"/>
      <c r="E12" s="10"/>
      <c r="F12" s="10"/>
      <c r="G12" s="10">
        <f t="shared" si="0"/>
        <v>0</v>
      </c>
      <c r="H12" s="16">
        <f t="shared" si="1"/>
        <v>0</v>
      </c>
      <c r="I12" s="15">
        <f t="shared" si="2"/>
        <v>0</v>
      </c>
      <c r="J12" s="15"/>
    </row>
    <row r="13" spans="1:10" x14ac:dyDescent="0.25">
      <c r="A13" s="1" t="s">
        <v>16</v>
      </c>
      <c r="B13" s="1" t="s">
        <v>17</v>
      </c>
      <c r="C13" s="10"/>
      <c r="D13" s="10"/>
      <c r="E13" s="10">
        <v>228</v>
      </c>
      <c r="F13" s="10"/>
      <c r="G13" s="10">
        <f t="shared" si="0"/>
        <v>228</v>
      </c>
      <c r="H13" s="16">
        <f t="shared" si="1"/>
        <v>0.03</v>
      </c>
      <c r="I13" s="15">
        <f t="shared" si="2"/>
        <v>0</v>
      </c>
      <c r="J13" s="15">
        <f>ROUND(G13/90-1,2)</f>
        <v>1.53</v>
      </c>
    </row>
    <row r="14" spans="1:10" x14ac:dyDescent="0.25">
      <c r="A14" s="1" t="s">
        <v>16</v>
      </c>
      <c r="B14" s="1" t="s">
        <v>19</v>
      </c>
      <c r="C14" s="10">
        <v>198170</v>
      </c>
      <c r="D14" s="10"/>
      <c r="E14" s="10">
        <v>15980</v>
      </c>
      <c r="F14" s="10">
        <v>340</v>
      </c>
      <c r="G14" s="10">
        <f t="shared" si="0"/>
        <v>214490</v>
      </c>
      <c r="H14" s="16">
        <f t="shared" si="1"/>
        <v>31.26</v>
      </c>
      <c r="I14" s="15">
        <f t="shared" si="2"/>
        <v>7.0999999999999994E-2</v>
      </c>
      <c r="J14" s="15">
        <f>ROUND(G14/204010-1,2)</f>
        <v>0.05</v>
      </c>
    </row>
    <row r="15" spans="1:10" x14ac:dyDescent="0.25">
      <c r="A15" s="1" t="s">
        <v>16</v>
      </c>
      <c r="B15" s="1" t="s">
        <v>20</v>
      </c>
      <c r="C15" s="10">
        <v>259430</v>
      </c>
      <c r="D15" s="10"/>
      <c r="E15" s="10"/>
      <c r="F15" s="10"/>
      <c r="G15" s="10">
        <f t="shared" si="0"/>
        <v>259430</v>
      </c>
      <c r="H15" s="16">
        <f t="shared" si="1"/>
        <v>37.81</v>
      </c>
      <c r="I15" s="15">
        <f t="shared" si="2"/>
        <v>8.5000000000000006E-2</v>
      </c>
      <c r="J15" s="15">
        <f>ROUND(G15/267110-1,2)</f>
        <v>-0.03</v>
      </c>
    </row>
    <row r="16" spans="1:10" x14ac:dyDescent="0.25">
      <c r="A16" s="1" t="s">
        <v>16</v>
      </c>
      <c r="B16" s="1" t="s">
        <v>95</v>
      </c>
      <c r="C16" s="10"/>
      <c r="D16" s="10"/>
      <c r="E16" s="10">
        <v>132</v>
      </c>
      <c r="F16" s="10"/>
      <c r="G16" s="10">
        <f t="shared" si="0"/>
        <v>132</v>
      </c>
      <c r="H16" s="16">
        <f t="shared" si="1"/>
        <v>0.02</v>
      </c>
      <c r="I16" s="15">
        <f t="shared" si="2"/>
        <v>0</v>
      </c>
      <c r="J16" s="15">
        <f>ROUND(G16/224-1,2)</f>
        <v>-0.41</v>
      </c>
    </row>
    <row r="17" spans="1:10" x14ac:dyDescent="0.25">
      <c r="A17" s="1" t="s">
        <v>16</v>
      </c>
      <c r="B17" s="1" t="s">
        <v>21</v>
      </c>
      <c r="C17" s="10"/>
      <c r="D17" s="10"/>
      <c r="E17" s="10">
        <v>339</v>
      </c>
      <c r="F17" s="10"/>
      <c r="G17" s="10">
        <f t="shared" si="0"/>
        <v>339</v>
      </c>
      <c r="H17" s="16">
        <f t="shared" si="1"/>
        <v>0.05</v>
      </c>
      <c r="I17" s="15">
        <f t="shared" si="2"/>
        <v>0</v>
      </c>
      <c r="J17" s="15">
        <f>ROUND(G17/464-1,2)</f>
        <v>-0.27</v>
      </c>
    </row>
    <row r="18" spans="1:10" x14ac:dyDescent="0.25">
      <c r="A18" s="1" t="s">
        <v>16</v>
      </c>
      <c r="B18" s="1" t="s">
        <v>22</v>
      </c>
      <c r="C18" s="10"/>
      <c r="D18" s="10"/>
      <c r="E18" s="10">
        <v>3460</v>
      </c>
      <c r="F18" s="10"/>
      <c r="G18" s="10">
        <f t="shared" si="0"/>
        <v>3460</v>
      </c>
      <c r="H18" s="16">
        <f t="shared" si="1"/>
        <v>0.5</v>
      </c>
      <c r="I18" s="15">
        <f t="shared" si="2"/>
        <v>1E-3</v>
      </c>
      <c r="J18" s="15">
        <f>ROUND(G18/2860-1,2)</f>
        <v>0.21</v>
      </c>
    </row>
    <row r="19" spans="1:10" x14ac:dyDescent="0.25">
      <c r="A19" s="1" t="s">
        <v>16</v>
      </c>
      <c r="B19" s="1" t="s">
        <v>98</v>
      </c>
      <c r="C19" s="10"/>
      <c r="D19" s="10"/>
      <c r="E19" s="10"/>
      <c r="F19" s="10">
        <v>43</v>
      </c>
      <c r="G19" s="10">
        <f t="shared" si="0"/>
        <v>43</v>
      </c>
      <c r="H19" s="16">
        <f t="shared" si="1"/>
        <v>0.01</v>
      </c>
      <c r="I19" s="15">
        <f t="shared" si="2"/>
        <v>0</v>
      </c>
      <c r="J19" s="15"/>
    </row>
    <row r="20" spans="1:10" x14ac:dyDescent="0.25">
      <c r="A20" s="1" t="s">
        <v>16</v>
      </c>
      <c r="B20" s="1" t="s">
        <v>23</v>
      </c>
      <c r="C20" s="10"/>
      <c r="D20" s="10"/>
      <c r="E20" s="10">
        <v>280300</v>
      </c>
      <c r="F20" s="10"/>
      <c r="G20" s="10">
        <f t="shared" si="0"/>
        <v>280300</v>
      </c>
      <c r="H20" s="16">
        <f t="shared" si="1"/>
        <v>40.85</v>
      </c>
      <c r="I20" s="15">
        <f t="shared" si="2"/>
        <v>9.1999999999999998E-2</v>
      </c>
      <c r="J20" s="15">
        <f>ROUND(G20/194180-1,2)</f>
        <v>0.44</v>
      </c>
    </row>
    <row r="21" spans="1:10" x14ac:dyDescent="0.25">
      <c r="A21" s="1" t="s">
        <v>16</v>
      </c>
      <c r="B21" s="1" t="s">
        <v>24</v>
      </c>
      <c r="C21" s="10">
        <v>290280</v>
      </c>
      <c r="D21" s="10"/>
      <c r="E21" s="10">
        <v>67120</v>
      </c>
      <c r="F21" s="10">
        <v>11480</v>
      </c>
      <c r="G21" s="10">
        <f t="shared" si="0"/>
        <v>368880</v>
      </c>
      <c r="H21" s="16">
        <f t="shared" si="1"/>
        <v>53.76</v>
      </c>
      <c r="I21" s="15">
        <f t="shared" si="2"/>
        <v>0.122</v>
      </c>
      <c r="J21" s="15">
        <f>ROUND(G21/363330-1,2)</f>
        <v>0.02</v>
      </c>
    </row>
    <row r="22" spans="1:10" x14ac:dyDescent="0.25">
      <c r="A22" s="1" t="s">
        <v>16</v>
      </c>
      <c r="B22" s="1" t="s">
        <v>25</v>
      </c>
      <c r="C22" s="10"/>
      <c r="D22" s="10"/>
      <c r="E22" s="10">
        <v>13970</v>
      </c>
      <c r="F22" s="10"/>
      <c r="G22" s="10">
        <f t="shared" si="0"/>
        <v>13970</v>
      </c>
      <c r="H22" s="16">
        <f t="shared" si="1"/>
        <v>2.04</v>
      </c>
      <c r="I22" s="15">
        <f t="shared" si="2"/>
        <v>5.0000000000000001E-3</v>
      </c>
      <c r="J22" s="15">
        <f>ROUND(G22/12000-1,2)</f>
        <v>0.16</v>
      </c>
    </row>
    <row r="23" spans="1:10" x14ac:dyDescent="0.25">
      <c r="A23" s="1" t="s">
        <v>16</v>
      </c>
      <c r="B23" s="1" t="s">
        <v>26</v>
      </c>
      <c r="C23" s="10">
        <v>428020</v>
      </c>
      <c r="D23" s="10"/>
      <c r="E23" s="10"/>
      <c r="F23" s="10">
        <v>1380</v>
      </c>
      <c r="G23" s="10">
        <f t="shared" si="0"/>
        <v>429400</v>
      </c>
      <c r="H23" s="16">
        <f t="shared" si="1"/>
        <v>62.58</v>
      </c>
      <c r="I23" s="15">
        <f t="shared" si="2"/>
        <v>0.14199999999999999</v>
      </c>
      <c r="J23" s="15">
        <f>ROUND(G23/432640-1,2)</f>
        <v>-0.01</v>
      </c>
    </row>
    <row r="24" spans="1:10" x14ac:dyDescent="0.25">
      <c r="A24" s="1" t="s">
        <v>16</v>
      </c>
      <c r="B24" s="1" t="s">
        <v>27</v>
      </c>
      <c r="C24" s="10"/>
      <c r="D24" s="10"/>
      <c r="E24" s="10">
        <v>7410</v>
      </c>
      <c r="F24" s="10"/>
      <c r="G24" s="10">
        <f t="shared" si="0"/>
        <v>7410</v>
      </c>
      <c r="H24" s="16">
        <f t="shared" si="1"/>
        <v>1.08</v>
      </c>
      <c r="I24" s="15">
        <f t="shared" si="2"/>
        <v>2E-3</v>
      </c>
      <c r="J24" s="15">
        <f>ROUND(G24/2859-1,2)</f>
        <v>1.59</v>
      </c>
    </row>
    <row r="25" spans="1:10" x14ac:dyDescent="0.25">
      <c r="A25" s="1" t="s">
        <v>16</v>
      </c>
      <c r="B25" s="1" t="s">
        <v>28</v>
      </c>
      <c r="C25" s="10"/>
      <c r="D25" s="10"/>
      <c r="E25" s="10">
        <v>1400</v>
      </c>
      <c r="F25" s="10"/>
      <c r="G25" s="10">
        <f t="shared" si="0"/>
        <v>1400</v>
      </c>
      <c r="H25" s="16">
        <f t="shared" si="1"/>
        <v>0.2</v>
      </c>
      <c r="I25" s="15">
        <f t="shared" si="2"/>
        <v>0</v>
      </c>
      <c r="J25" s="15">
        <f>ROUND(G25/1735-1,2)</f>
        <v>-0.19</v>
      </c>
    </row>
    <row r="26" spans="1:10" x14ac:dyDescent="0.25">
      <c r="A26" s="1" t="s">
        <v>16</v>
      </c>
      <c r="B26" s="1" t="s">
        <v>29</v>
      </c>
      <c r="C26" s="10"/>
      <c r="D26" s="10"/>
      <c r="E26" s="10">
        <v>5420</v>
      </c>
      <c r="F26" s="10"/>
      <c r="G26" s="10">
        <f t="shared" si="0"/>
        <v>5420</v>
      </c>
      <c r="H26" s="16">
        <f t="shared" si="1"/>
        <v>0.79</v>
      </c>
      <c r="I26" s="15">
        <f t="shared" si="2"/>
        <v>2E-3</v>
      </c>
      <c r="J26" s="15">
        <f>ROUND(G26/11430-1,2)</f>
        <v>-0.53</v>
      </c>
    </row>
    <row r="27" spans="1:10" x14ac:dyDescent="0.25">
      <c r="A27" s="1" t="s">
        <v>16</v>
      </c>
      <c r="B27" s="1" t="s">
        <v>30</v>
      </c>
      <c r="C27" s="10"/>
      <c r="D27" s="10"/>
      <c r="E27" s="10">
        <v>3190</v>
      </c>
      <c r="F27" s="10"/>
      <c r="G27" s="10">
        <f t="shared" si="0"/>
        <v>3190</v>
      </c>
      <c r="H27" s="16">
        <f t="shared" si="1"/>
        <v>0.46</v>
      </c>
      <c r="I27" s="15">
        <f t="shared" si="2"/>
        <v>1E-3</v>
      </c>
      <c r="J27" s="15">
        <f>ROUND(G27/2920-1,2)</f>
        <v>0.09</v>
      </c>
    </row>
    <row r="28" spans="1:10" x14ac:dyDescent="0.25">
      <c r="A28" s="1" t="s">
        <v>16</v>
      </c>
      <c r="B28" s="1" t="s">
        <v>31</v>
      </c>
      <c r="C28" s="10"/>
      <c r="D28" s="10"/>
      <c r="E28" s="10">
        <v>1370</v>
      </c>
      <c r="F28" s="10"/>
      <c r="G28" s="10">
        <f t="shared" si="0"/>
        <v>1370</v>
      </c>
      <c r="H28" s="16">
        <f t="shared" si="1"/>
        <v>0.2</v>
      </c>
      <c r="I28" s="15">
        <f t="shared" si="2"/>
        <v>0</v>
      </c>
      <c r="J28" s="15">
        <f>ROUND(G28/550-1,2)</f>
        <v>1.49</v>
      </c>
    </row>
    <row r="29" spans="1:10" x14ac:dyDescent="0.25">
      <c r="A29" s="1" t="s">
        <v>16</v>
      </c>
      <c r="B29" s="1" t="s">
        <v>32</v>
      </c>
      <c r="C29" s="10"/>
      <c r="D29" s="10"/>
      <c r="E29" s="10">
        <v>3640</v>
      </c>
      <c r="F29" s="10"/>
      <c r="G29" s="10">
        <f t="shared" si="0"/>
        <v>3640</v>
      </c>
      <c r="H29" s="16">
        <f t="shared" si="1"/>
        <v>0.53</v>
      </c>
      <c r="I29" s="15">
        <f t="shared" si="2"/>
        <v>1E-3</v>
      </c>
      <c r="J29" s="15">
        <f>ROUND(G29/5240-1,2)</f>
        <v>-0.31</v>
      </c>
    </row>
    <row r="30" spans="1:10" x14ac:dyDescent="0.25">
      <c r="A30" s="1" t="s">
        <v>16</v>
      </c>
      <c r="B30" s="1" t="s">
        <v>33</v>
      </c>
      <c r="C30" s="10"/>
      <c r="D30" s="10">
        <v>481</v>
      </c>
      <c r="E30" s="10">
        <v>152</v>
      </c>
      <c r="F30" s="10"/>
      <c r="G30" s="10">
        <f t="shared" si="0"/>
        <v>633</v>
      </c>
      <c r="H30" s="16">
        <f t="shared" si="1"/>
        <v>0.09</v>
      </c>
      <c r="I30" s="15">
        <f t="shared" si="2"/>
        <v>0</v>
      </c>
      <c r="J30" s="15">
        <f>ROUND(G30/702-1,2)</f>
        <v>-0.1</v>
      </c>
    </row>
    <row r="31" spans="1:10" x14ac:dyDescent="0.25">
      <c r="A31" s="1" t="s">
        <v>16</v>
      </c>
      <c r="B31" s="1" t="s">
        <v>35</v>
      </c>
      <c r="C31" s="10"/>
      <c r="D31" s="10"/>
      <c r="E31" s="10">
        <v>570</v>
      </c>
      <c r="F31" s="10"/>
      <c r="G31" s="10">
        <f t="shared" si="0"/>
        <v>570</v>
      </c>
      <c r="H31" s="16">
        <f t="shared" si="1"/>
        <v>0.08</v>
      </c>
      <c r="I31" s="15">
        <f t="shared" si="2"/>
        <v>0</v>
      </c>
      <c r="J31" s="15">
        <f>ROUND(G31/1934-1,2)</f>
        <v>-0.71</v>
      </c>
    </row>
    <row r="32" spans="1:10" x14ac:dyDescent="0.25">
      <c r="A32" s="1" t="s">
        <v>16</v>
      </c>
      <c r="B32" s="1" t="s">
        <v>37</v>
      </c>
      <c r="C32" s="10"/>
      <c r="D32" s="10"/>
      <c r="E32" s="10">
        <v>5280</v>
      </c>
      <c r="F32" s="10"/>
      <c r="G32" s="10">
        <f t="shared" si="0"/>
        <v>5280</v>
      </c>
      <c r="H32" s="16">
        <f t="shared" si="1"/>
        <v>0.77</v>
      </c>
      <c r="I32" s="15">
        <f t="shared" si="2"/>
        <v>2E-3</v>
      </c>
      <c r="J32" s="15">
        <f>ROUND(G32/13000-1,2)</f>
        <v>-0.59</v>
      </c>
    </row>
    <row r="33" spans="1:10" x14ac:dyDescent="0.25">
      <c r="A33" s="1" t="s">
        <v>16</v>
      </c>
      <c r="B33" s="1" t="s">
        <v>43</v>
      </c>
      <c r="C33" s="10"/>
      <c r="D33" s="10"/>
      <c r="E33" s="10">
        <v>10650</v>
      </c>
      <c r="F33" s="10"/>
      <c r="G33" s="10">
        <f t="shared" si="0"/>
        <v>10650</v>
      </c>
      <c r="H33" s="16">
        <f t="shared" si="1"/>
        <v>1.55</v>
      </c>
      <c r="I33" s="15">
        <f t="shared" si="2"/>
        <v>4.0000000000000001E-3</v>
      </c>
      <c r="J33" s="15">
        <f>ROUND(G33/18655-1,2)</f>
        <v>-0.43</v>
      </c>
    </row>
    <row r="34" spans="1:10" x14ac:dyDescent="0.25">
      <c r="A34" s="1" t="s">
        <v>16</v>
      </c>
      <c r="B34" s="1" t="s">
        <v>38</v>
      </c>
      <c r="C34" s="10"/>
      <c r="D34" s="10"/>
      <c r="E34" s="10">
        <v>231330</v>
      </c>
      <c r="F34" s="10"/>
      <c r="G34" s="10">
        <f t="shared" si="0"/>
        <v>231330</v>
      </c>
      <c r="H34" s="16">
        <f t="shared" si="1"/>
        <v>33.71</v>
      </c>
      <c r="I34" s="15">
        <f t="shared" si="2"/>
        <v>7.5999999999999998E-2</v>
      </c>
      <c r="J34" s="15">
        <f>ROUND(G34/174290-1,2)</f>
        <v>0.33</v>
      </c>
    </row>
    <row r="35" spans="1:10" x14ac:dyDescent="0.25">
      <c r="A35" s="1" t="s">
        <v>16</v>
      </c>
      <c r="B35" s="1" t="s">
        <v>39</v>
      </c>
      <c r="C35" s="10"/>
      <c r="D35" s="10"/>
      <c r="E35" s="10">
        <v>10500</v>
      </c>
      <c r="F35" s="10"/>
      <c r="G35" s="10">
        <f t="shared" si="0"/>
        <v>10500</v>
      </c>
      <c r="H35" s="16">
        <f t="shared" si="1"/>
        <v>1.53</v>
      </c>
      <c r="I35" s="15">
        <f t="shared" si="2"/>
        <v>3.0000000000000001E-3</v>
      </c>
      <c r="J35" s="15">
        <f>ROUND(G35/10175-1,2)</f>
        <v>0.03</v>
      </c>
    </row>
    <row r="36" spans="1:10" x14ac:dyDescent="0.25">
      <c r="A36" s="1" t="s">
        <v>16</v>
      </c>
      <c r="B36" s="1" t="s">
        <v>40</v>
      </c>
      <c r="C36" s="10"/>
      <c r="D36" s="10"/>
      <c r="E36" s="10">
        <v>52720</v>
      </c>
      <c r="F36" s="10"/>
      <c r="G36" s="10">
        <f t="shared" si="0"/>
        <v>52720</v>
      </c>
      <c r="H36" s="16">
        <f t="shared" si="1"/>
        <v>7.68</v>
      </c>
      <c r="I36" s="15">
        <f t="shared" si="2"/>
        <v>1.7000000000000001E-2</v>
      </c>
      <c r="J36" s="15">
        <f>ROUND(G36/40220-1,2)</f>
        <v>0.31</v>
      </c>
    </row>
    <row r="37" spans="1:10" x14ac:dyDescent="0.25">
      <c r="A37" s="1" t="s">
        <v>16</v>
      </c>
      <c r="B37" s="1" t="s">
        <v>41</v>
      </c>
      <c r="C37" s="10"/>
      <c r="D37" s="10"/>
      <c r="E37" s="10">
        <v>426760</v>
      </c>
      <c r="F37" s="10">
        <v>5220</v>
      </c>
      <c r="G37" s="10">
        <f t="shared" si="0"/>
        <v>431980</v>
      </c>
      <c r="H37" s="16">
        <f t="shared" si="1"/>
        <v>62.95</v>
      </c>
      <c r="I37" s="15">
        <f t="shared" si="2"/>
        <v>0.14199999999999999</v>
      </c>
      <c r="J37" s="15">
        <f>ROUND(G37/347540-1,2)</f>
        <v>0.24</v>
      </c>
    </row>
    <row r="38" spans="1:10" x14ac:dyDescent="0.25">
      <c r="A38" s="1" t="s">
        <v>16</v>
      </c>
      <c r="B38" s="1" t="s">
        <v>42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>
        <f>ROUND(G38/315-1,2)</f>
        <v>-1</v>
      </c>
    </row>
    <row r="39" spans="1:10" x14ac:dyDescent="0.25">
      <c r="A39" s="1" t="s">
        <v>16</v>
      </c>
      <c r="B39" s="1" t="s">
        <v>36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>
        <f>ROUND(G39/7425-1,2)</f>
        <v>-1</v>
      </c>
    </row>
    <row r="40" spans="1:10" x14ac:dyDescent="0.25">
      <c r="A40" s="1" t="s">
        <v>16</v>
      </c>
      <c r="B40" s="1" t="s">
        <v>34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/>
    </row>
    <row r="41" spans="1:10" x14ac:dyDescent="0.25">
      <c r="A41" s="1" t="s">
        <v>44</v>
      </c>
      <c r="B41" s="1" t="s">
        <v>45</v>
      </c>
      <c r="C41" s="10">
        <v>455390</v>
      </c>
      <c r="D41" s="10"/>
      <c r="E41" s="10"/>
      <c r="F41" s="10"/>
      <c r="G41" s="10">
        <f t="shared" si="0"/>
        <v>455390</v>
      </c>
      <c r="H41" s="16">
        <f t="shared" si="1"/>
        <v>66.36</v>
      </c>
      <c r="I41" s="15">
        <f t="shared" si="2"/>
        <v>0.15</v>
      </c>
      <c r="J41" s="15">
        <f>ROUND(G41/444380-1,2)</f>
        <v>0.02</v>
      </c>
    </row>
    <row r="42" spans="1:10" x14ac:dyDescent="0.25">
      <c r="A42" s="1" t="s">
        <v>44</v>
      </c>
      <c r="B42" s="1" t="s">
        <v>47</v>
      </c>
      <c r="C42" s="10"/>
      <c r="D42" s="10"/>
      <c r="E42" s="10"/>
      <c r="F42" s="10">
        <v>64760</v>
      </c>
      <c r="G42" s="10">
        <f t="shared" si="0"/>
        <v>64760</v>
      </c>
      <c r="H42" s="16">
        <f t="shared" si="1"/>
        <v>9.44</v>
      </c>
      <c r="I42" s="15">
        <f t="shared" si="2"/>
        <v>2.1000000000000001E-2</v>
      </c>
      <c r="J42" s="15">
        <f>ROUND(G42/69320-1,2)</f>
        <v>-7.0000000000000007E-2</v>
      </c>
    </row>
    <row r="43" spans="1:10" x14ac:dyDescent="0.25">
      <c r="A43" s="1" t="s">
        <v>44</v>
      </c>
      <c r="B43" s="1" t="s">
        <v>46</v>
      </c>
      <c r="C43" s="10"/>
      <c r="D43" s="10"/>
      <c r="E43" s="10">
        <v>177370</v>
      </c>
      <c r="F43" s="10"/>
      <c r="G43" s="10">
        <f t="shared" si="0"/>
        <v>177370</v>
      </c>
      <c r="H43" s="16">
        <f t="shared" si="1"/>
        <v>25.85</v>
      </c>
      <c r="I43" s="15">
        <f t="shared" si="2"/>
        <v>5.8000000000000003E-2</v>
      </c>
      <c r="J43" s="15">
        <f>ROUND(G43/137240-1,2)</f>
        <v>0.28999999999999998</v>
      </c>
    </row>
    <row r="44" spans="1:10" x14ac:dyDescent="0.25">
      <c r="A44" s="30" t="s">
        <v>12</v>
      </c>
      <c r="B44" s="30"/>
      <c r="C44" s="11">
        <f t="shared" ref="C44:H44" si="3">SUM(C8:C43)</f>
        <v>1631290</v>
      </c>
      <c r="D44" s="11">
        <f t="shared" si="3"/>
        <v>481</v>
      </c>
      <c r="E44" s="11">
        <f t="shared" si="3"/>
        <v>1319291</v>
      </c>
      <c r="F44" s="11">
        <f t="shared" si="3"/>
        <v>83396</v>
      </c>
      <c r="G44" s="11">
        <f t="shared" si="3"/>
        <v>3034458</v>
      </c>
      <c r="H44" s="14">
        <f t="shared" si="3"/>
        <v>442.21000000000004</v>
      </c>
      <c r="I44" s="17"/>
      <c r="J44" s="17"/>
    </row>
    <row r="45" spans="1:10" x14ac:dyDescent="0.25">
      <c r="A45" s="30" t="s">
        <v>14</v>
      </c>
      <c r="B45" s="30"/>
      <c r="C45" s="12">
        <f>ROUND(C44/G44,2)</f>
        <v>0.54</v>
      </c>
      <c r="D45" s="12">
        <f>ROUND(D44/G44,2)</f>
        <v>0</v>
      </c>
      <c r="E45" s="12">
        <f>ROUND(E44/G44,2)</f>
        <v>0.43</v>
      </c>
      <c r="F45" s="12">
        <f>ROUND(F44/G44,2)</f>
        <v>0.03</v>
      </c>
      <c r="G45" s="13"/>
      <c r="H45" s="13"/>
      <c r="I45" s="17"/>
      <c r="J45" s="17"/>
    </row>
    <row r="46" spans="1:10" x14ac:dyDescent="0.25">
      <c r="A46" s="2" t="s">
        <v>52</v>
      </c>
      <c r="B46" s="2"/>
      <c r="C46" s="13"/>
      <c r="D46" s="13"/>
      <c r="E46" s="13"/>
      <c r="F46" s="13"/>
      <c r="G46" s="13"/>
      <c r="H46" s="13"/>
      <c r="I46" s="17"/>
      <c r="J46" s="17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A50" s="30" t="s">
        <v>53</v>
      </c>
      <c r="B50" s="30"/>
      <c r="C50" s="11" t="s">
        <v>8</v>
      </c>
      <c r="D50" s="11" t="s">
        <v>9</v>
      </c>
      <c r="E50" s="11" t="s">
        <v>10</v>
      </c>
      <c r="F50" s="11" t="s">
        <v>11</v>
      </c>
      <c r="G50" s="11" t="s">
        <v>12</v>
      </c>
      <c r="H50" s="14" t="s">
        <v>13</v>
      </c>
      <c r="I50" s="17"/>
      <c r="J50" s="17"/>
    </row>
    <row r="51" spans="1:10" x14ac:dyDescent="0.25">
      <c r="A51" s="29" t="s">
        <v>54</v>
      </c>
      <c r="B51" s="29"/>
      <c r="C51" s="10">
        <v>1175900</v>
      </c>
      <c r="D51" s="10">
        <v>481</v>
      </c>
      <c r="E51" s="10">
        <v>1141921</v>
      </c>
      <c r="F51" s="10">
        <v>18463</v>
      </c>
      <c r="G51" s="10">
        <f>SUM(C51:F51)</f>
        <v>2336765</v>
      </c>
      <c r="H51" s="16">
        <f>ROUND(G51/6862,2)</f>
        <v>340.54</v>
      </c>
      <c r="I51" s="9"/>
      <c r="J51" s="9"/>
    </row>
    <row r="52" spans="1:10" x14ac:dyDescent="0.25">
      <c r="A52" s="29" t="s">
        <v>55</v>
      </c>
      <c r="B52" s="29"/>
      <c r="C52" s="10">
        <v>455390</v>
      </c>
      <c r="D52" s="10">
        <v>0</v>
      </c>
      <c r="E52" s="10">
        <v>177370</v>
      </c>
      <c r="F52" s="10">
        <v>64760</v>
      </c>
      <c r="G52" s="10">
        <f>SUM(C52:F52)</f>
        <v>697520</v>
      </c>
      <c r="H52" s="16">
        <f>ROUND(G52/6862,2)</f>
        <v>101.65</v>
      </c>
      <c r="I52" s="9"/>
      <c r="J52" s="9"/>
    </row>
    <row r="53" spans="1:10" x14ac:dyDescent="0.25">
      <c r="A53" s="29" t="s">
        <v>56</v>
      </c>
      <c r="B53" s="29"/>
      <c r="C53" s="10">
        <v>0</v>
      </c>
      <c r="D53" s="10">
        <v>0</v>
      </c>
      <c r="E53" s="10">
        <v>0</v>
      </c>
      <c r="F53" s="10">
        <v>173</v>
      </c>
      <c r="G53" s="10">
        <f>SUM(C53:F53)</f>
        <v>173</v>
      </c>
      <c r="H53" s="16">
        <f>ROUND(G53/6862,2)</f>
        <v>0.03</v>
      </c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21"/>
      <c r="H57" s="8"/>
      <c r="I57" s="9"/>
      <c r="J57" s="9"/>
    </row>
    <row r="58" spans="1:10" x14ac:dyDescent="0.25">
      <c r="A58" s="30" t="s">
        <v>57</v>
      </c>
      <c r="B58" s="30"/>
      <c r="C58" s="14" t="s">
        <v>2</v>
      </c>
      <c r="D58" s="14">
        <v>2023</v>
      </c>
      <c r="E58" s="14" t="s">
        <v>59</v>
      </c>
      <c r="F58" s="13"/>
      <c r="G58" s="20" t="s">
        <v>60</v>
      </c>
      <c r="H58" s="14" t="s">
        <v>2</v>
      </c>
      <c r="I58" s="12" t="s">
        <v>61</v>
      </c>
      <c r="J58" s="12" t="s">
        <v>59</v>
      </c>
    </row>
    <row r="59" spans="1:10" x14ac:dyDescent="0.25">
      <c r="A59" s="29" t="s">
        <v>58</v>
      </c>
      <c r="B59" s="29"/>
      <c r="C59" s="15">
        <f>ROUND(0.8285, 4)</f>
        <v>0.82850000000000001</v>
      </c>
      <c r="D59" s="15">
        <f>ROUND(0.8175, 4)</f>
        <v>0.8175</v>
      </c>
      <c r="E59" s="15">
        <f>ROUND(0.777, 4)</f>
        <v>0.77700000000000002</v>
      </c>
      <c r="F59" s="8"/>
      <c r="G59" s="14" t="s">
        <v>62</v>
      </c>
      <c r="H59" s="33" t="s">
        <v>63</v>
      </c>
      <c r="I59" s="31" t="s">
        <v>64</v>
      </c>
      <c r="J59" s="31" t="s">
        <v>65</v>
      </c>
    </row>
    <row r="60" spans="1:10" x14ac:dyDescent="0.25">
      <c r="A60" s="29" t="s">
        <v>66</v>
      </c>
      <c r="B60" s="29"/>
      <c r="C60" s="15">
        <f>ROUND(0.8185, 4)</f>
        <v>0.81850000000000001</v>
      </c>
      <c r="D60" s="15">
        <f>ROUND(0.8073, 4)</f>
        <v>0.80730000000000002</v>
      </c>
      <c r="E60" s="15">
        <f>ROUND(0.7608, 4)</f>
        <v>0.76080000000000003</v>
      </c>
      <c r="F60" s="8"/>
      <c r="G60" s="14" t="s">
        <v>67</v>
      </c>
      <c r="H60" s="34"/>
      <c r="I60" s="32"/>
      <c r="J60" s="32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A64" s="30" t="s">
        <v>68</v>
      </c>
      <c r="B64" s="30"/>
      <c r="C64" s="14" t="s">
        <v>2</v>
      </c>
      <c r="D64" s="14" t="s">
        <v>206</v>
      </c>
      <c r="E64" s="14" t="s">
        <v>70</v>
      </c>
      <c r="F64" s="14" t="s">
        <v>71</v>
      </c>
      <c r="G64" s="14" t="s">
        <v>72</v>
      </c>
      <c r="H64" s="13"/>
      <c r="I64" s="17"/>
      <c r="J64" s="17"/>
    </row>
    <row r="65" spans="1:10" x14ac:dyDescent="0.25">
      <c r="A65" s="29" t="s">
        <v>73</v>
      </c>
      <c r="B65" s="29"/>
      <c r="C65" s="16">
        <v>66.36</v>
      </c>
      <c r="D65" s="16">
        <v>63.31</v>
      </c>
      <c r="E65" s="16">
        <v>93.87</v>
      </c>
      <c r="F65" s="16">
        <v>57.16</v>
      </c>
      <c r="G65" s="16">
        <f>12/12*C65</f>
        <v>66.36</v>
      </c>
      <c r="H65" s="8"/>
      <c r="I65" s="9"/>
      <c r="J65" s="9"/>
    </row>
    <row r="66" spans="1:10" x14ac:dyDescent="0.25">
      <c r="A66" s="29" t="s">
        <v>74</v>
      </c>
      <c r="B66" s="29"/>
      <c r="C66" s="16">
        <v>62.58</v>
      </c>
      <c r="D66" s="16">
        <v>62.29</v>
      </c>
      <c r="E66" s="16">
        <v>62.84</v>
      </c>
      <c r="F66" s="16">
        <v>65.39</v>
      </c>
      <c r="G66" s="16">
        <f>12/12*C66</f>
        <v>62.58</v>
      </c>
      <c r="H66" s="8"/>
      <c r="I66" s="9"/>
      <c r="J66" s="9"/>
    </row>
    <row r="67" spans="1:10" x14ac:dyDescent="0.25">
      <c r="A67" s="29" t="s">
        <v>75</v>
      </c>
      <c r="B67" s="29"/>
      <c r="C67" s="16">
        <v>340.54</v>
      </c>
      <c r="D67" s="16">
        <v>302.66000000000003</v>
      </c>
      <c r="E67" s="16">
        <v>295.08999999999997</v>
      </c>
      <c r="F67" s="16">
        <v>289.06</v>
      </c>
      <c r="G67" s="16">
        <f>12/12*C67</f>
        <v>340.54</v>
      </c>
      <c r="H67" s="8"/>
      <c r="I67" s="9"/>
      <c r="J67" s="9"/>
    </row>
    <row r="68" spans="1:10" x14ac:dyDescent="0.25">
      <c r="A68" s="29" t="s">
        <v>76</v>
      </c>
      <c r="B68" s="29"/>
      <c r="C68" s="16">
        <v>101.65</v>
      </c>
      <c r="D68" s="16">
        <v>93.18</v>
      </c>
      <c r="E68" s="16">
        <v>118.05</v>
      </c>
      <c r="F68" s="16">
        <v>81.41</v>
      </c>
      <c r="G68" s="16">
        <f>12/12*C68</f>
        <v>101.65</v>
      </c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28" t="s">
        <v>60</v>
      </c>
      <c r="B71" s="35"/>
      <c r="C71" s="8"/>
      <c r="D71" s="8"/>
      <c r="E71" s="8"/>
      <c r="F71" s="8"/>
      <c r="G71" s="8"/>
      <c r="H71" s="8"/>
      <c r="I71" s="9"/>
      <c r="J71" s="9"/>
    </row>
    <row r="72" spans="1:10" x14ac:dyDescent="0.25">
      <c r="A72" s="3" t="s">
        <v>77</v>
      </c>
      <c r="B72" s="1" t="s">
        <v>207</v>
      </c>
    </row>
    <row r="73" spans="1:10" x14ac:dyDescent="0.25">
      <c r="A73" s="3" t="s">
        <v>70</v>
      </c>
      <c r="B73" s="1" t="s">
        <v>79</v>
      </c>
    </row>
    <row r="74" spans="1:10" x14ac:dyDescent="0.25">
      <c r="A74" s="3" t="s">
        <v>71</v>
      </c>
      <c r="B74" s="1" t="s">
        <v>80</v>
      </c>
    </row>
    <row r="75" spans="1:10" x14ac:dyDescent="0.25">
      <c r="A75" s="3" t="s">
        <v>72</v>
      </c>
      <c r="B75" s="1" t="s">
        <v>81</v>
      </c>
    </row>
  </sheetData>
  <mergeCells count="19">
    <mergeCell ref="A66:B66"/>
    <mergeCell ref="A67:B67"/>
    <mergeCell ref="A68:B68"/>
    <mergeCell ref="A71:B71"/>
    <mergeCell ref="I59:I60"/>
    <mergeCell ref="J59:J60"/>
    <mergeCell ref="A60:B60"/>
    <mergeCell ref="A64:B64"/>
    <mergeCell ref="A65:B65"/>
    <mergeCell ref="A52:B52"/>
    <mergeCell ref="A53:B53"/>
    <mergeCell ref="A58:B58"/>
    <mergeCell ref="A59:B59"/>
    <mergeCell ref="H59:H60"/>
    <mergeCell ref="C7:G7"/>
    <mergeCell ref="A44:B44"/>
    <mergeCell ref="A45:B45"/>
    <mergeCell ref="A50:B50"/>
    <mergeCell ref="A51:B5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2:J71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31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208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1613</v>
      </c>
    </row>
    <row r="7" spans="1:10" x14ac:dyDescent="0.25">
      <c r="C7" s="28" t="s">
        <v>5</v>
      </c>
      <c r="D7" s="29"/>
      <c r="E7" s="29"/>
      <c r="F7" s="29"/>
      <c r="G7" s="29"/>
    </row>
    <row r="8" spans="1:10" x14ac:dyDescent="0.25">
      <c r="A8" s="25" t="s">
        <v>6</v>
      </c>
      <c r="B8" s="25" t="s">
        <v>7</v>
      </c>
      <c r="C8" s="27" t="s">
        <v>8</v>
      </c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52</v>
      </c>
      <c r="F9" s="10"/>
      <c r="G9" s="10">
        <f t="shared" ref="G9:G39" si="0">SUM(C9:F9)</f>
        <v>52</v>
      </c>
      <c r="H9" s="16">
        <f t="shared" ref="H9:H39" si="1">ROUND(G9/1613,2)</f>
        <v>0.03</v>
      </c>
      <c r="I9" s="15">
        <f t="shared" ref="I9:I39" si="2">ROUND(G9/$G$40,3)</f>
        <v>0</v>
      </c>
      <c r="J9" s="15">
        <f>ROUND(G9/87-1,2)</f>
        <v>-0.4</v>
      </c>
    </row>
    <row r="10" spans="1:10" x14ac:dyDescent="0.25">
      <c r="A10" s="1" t="s">
        <v>16</v>
      </c>
      <c r="B10" s="1" t="s">
        <v>19</v>
      </c>
      <c r="C10" s="10">
        <v>3780</v>
      </c>
      <c r="D10" s="10">
        <v>51490</v>
      </c>
      <c r="E10" s="10"/>
      <c r="F10" s="10"/>
      <c r="G10" s="10">
        <f t="shared" si="0"/>
        <v>55270</v>
      </c>
      <c r="H10" s="16">
        <f t="shared" si="1"/>
        <v>34.270000000000003</v>
      </c>
      <c r="I10" s="15">
        <f t="shared" si="2"/>
        <v>6.2E-2</v>
      </c>
      <c r="J10" s="15">
        <f>ROUND(G10/59075-1,2)</f>
        <v>-0.06</v>
      </c>
    </row>
    <row r="11" spans="1:10" x14ac:dyDescent="0.25">
      <c r="A11" s="1" t="s">
        <v>16</v>
      </c>
      <c r="B11" s="1" t="s">
        <v>20</v>
      </c>
      <c r="C11" s="10"/>
      <c r="D11" s="10">
        <v>67620</v>
      </c>
      <c r="E11" s="10"/>
      <c r="F11" s="10"/>
      <c r="G11" s="10">
        <f t="shared" si="0"/>
        <v>67620</v>
      </c>
      <c r="H11" s="16">
        <f t="shared" si="1"/>
        <v>41.92</v>
      </c>
      <c r="I11" s="15">
        <f t="shared" si="2"/>
        <v>7.5999999999999998E-2</v>
      </c>
      <c r="J11" s="15">
        <f>ROUND(G11/63920-1,2)</f>
        <v>0.06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196</v>
      </c>
      <c r="F12" s="10"/>
      <c r="G12" s="10">
        <f t="shared" si="0"/>
        <v>196</v>
      </c>
      <c r="H12" s="16">
        <f t="shared" si="1"/>
        <v>0.12</v>
      </c>
      <c r="I12" s="15">
        <f t="shared" si="2"/>
        <v>0</v>
      </c>
      <c r="J12" s="15">
        <f>ROUND(G12/107-1,2)</f>
        <v>0.83</v>
      </c>
    </row>
    <row r="13" spans="1:10" x14ac:dyDescent="0.25">
      <c r="A13" s="1" t="s">
        <v>16</v>
      </c>
      <c r="B13" s="1" t="s">
        <v>22</v>
      </c>
      <c r="C13" s="10"/>
      <c r="D13" s="10"/>
      <c r="E13" s="10">
        <v>2100</v>
      </c>
      <c r="F13" s="10"/>
      <c r="G13" s="10">
        <f t="shared" si="0"/>
        <v>2100</v>
      </c>
      <c r="H13" s="16">
        <f t="shared" si="1"/>
        <v>1.3</v>
      </c>
      <c r="I13" s="15">
        <f t="shared" si="2"/>
        <v>2E-3</v>
      </c>
      <c r="J13" s="15">
        <f>ROUND(G13/4800-1,2)</f>
        <v>-0.56000000000000005</v>
      </c>
    </row>
    <row r="14" spans="1:10" x14ac:dyDescent="0.25">
      <c r="A14" s="1" t="s">
        <v>16</v>
      </c>
      <c r="B14" s="1" t="s">
        <v>98</v>
      </c>
      <c r="C14" s="10"/>
      <c r="D14" s="10"/>
      <c r="E14" s="10"/>
      <c r="F14" s="10">
        <v>286</v>
      </c>
      <c r="G14" s="10">
        <f t="shared" si="0"/>
        <v>286</v>
      </c>
      <c r="H14" s="16">
        <f t="shared" si="1"/>
        <v>0.18</v>
      </c>
      <c r="I14" s="15">
        <f t="shared" si="2"/>
        <v>0</v>
      </c>
      <c r="J14" s="15"/>
    </row>
    <row r="15" spans="1:10" x14ac:dyDescent="0.25">
      <c r="A15" s="1" t="s">
        <v>16</v>
      </c>
      <c r="B15" s="1" t="s">
        <v>23</v>
      </c>
      <c r="C15" s="10"/>
      <c r="D15" s="10"/>
      <c r="E15" s="10">
        <v>76660</v>
      </c>
      <c r="F15" s="10"/>
      <c r="G15" s="10">
        <f t="shared" si="0"/>
        <v>76660</v>
      </c>
      <c r="H15" s="16">
        <f t="shared" si="1"/>
        <v>47.53</v>
      </c>
      <c r="I15" s="15">
        <f t="shared" si="2"/>
        <v>8.5999999999999993E-2</v>
      </c>
      <c r="J15" s="15">
        <f>ROUND(G15/75640-1,2)</f>
        <v>0.01</v>
      </c>
    </row>
    <row r="16" spans="1:10" x14ac:dyDescent="0.25">
      <c r="A16" s="1" t="s">
        <v>16</v>
      </c>
      <c r="B16" s="1" t="s">
        <v>24</v>
      </c>
      <c r="C16" s="10">
        <v>4555</v>
      </c>
      <c r="D16" s="10">
        <v>65785</v>
      </c>
      <c r="E16" s="10">
        <v>9380</v>
      </c>
      <c r="F16" s="10"/>
      <c r="G16" s="10">
        <f t="shared" si="0"/>
        <v>79720</v>
      </c>
      <c r="H16" s="16">
        <f t="shared" si="1"/>
        <v>49.42</v>
      </c>
      <c r="I16" s="15">
        <f t="shared" si="2"/>
        <v>0.09</v>
      </c>
      <c r="J16" s="15">
        <f>ROUND(G16/78260-1,2)</f>
        <v>0.02</v>
      </c>
    </row>
    <row r="17" spans="1:10" x14ac:dyDescent="0.25">
      <c r="A17" s="1" t="s">
        <v>16</v>
      </c>
      <c r="B17" s="1" t="s">
        <v>25</v>
      </c>
      <c r="C17" s="10"/>
      <c r="D17" s="10"/>
      <c r="E17" s="10">
        <v>3185</v>
      </c>
      <c r="F17" s="10"/>
      <c r="G17" s="10">
        <f t="shared" si="0"/>
        <v>3185</v>
      </c>
      <c r="H17" s="16">
        <f t="shared" si="1"/>
        <v>1.97</v>
      </c>
      <c r="I17" s="15">
        <f t="shared" si="2"/>
        <v>4.0000000000000001E-3</v>
      </c>
      <c r="J17" s="15">
        <f>ROUND(G17/3515-1,2)</f>
        <v>-0.09</v>
      </c>
    </row>
    <row r="18" spans="1:10" x14ac:dyDescent="0.25">
      <c r="A18" s="1" t="s">
        <v>16</v>
      </c>
      <c r="B18" s="1" t="s">
        <v>26</v>
      </c>
      <c r="C18" s="10"/>
      <c r="D18" s="10">
        <v>74280</v>
      </c>
      <c r="E18" s="10"/>
      <c r="F18" s="10">
        <v>960</v>
      </c>
      <c r="G18" s="10">
        <f t="shared" si="0"/>
        <v>75240</v>
      </c>
      <c r="H18" s="16">
        <f t="shared" si="1"/>
        <v>46.65</v>
      </c>
      <c r="I18" s="15">
        <f t="shared" si="2"/>
        <v>8.5000000000000006E-2</v>
      </c>
      <c r="J18" s="15">
        <f>ROUND(G18/87290-1,2)</f>
        <v>-0.14000000000000001</v>
      </c>
    </row>
    <row r="19" spans="1:10" x14ac:dyDescent="0.25">
      <c r="A19" s="1" t="s">
        <v>16</v>
      </c>
      <c r="B19" s="1" t="s">
        <v>27</v>
      </c>
      <c r="C19" s="10"/>
      <c r="D19" s="10"/>
      <c r="E19" s="10">
        <v>279</v>
      </c>
      <c r="F19" s="10"/>
      <c r="G19" s="10">
        <f t="shared" si="0"/>
        <v>279</v>
      </c>
      <c r="H19" s="16">
        <f t="shared" si="1"/>
        <v>0.17</v>
      </c>
      <c r="I19" s="15">
        <f t="shared" si="2"/>
        <v>0</v>
      </c>
      <c r="J19" s="15"/>
    </row>
    <row r="20" spans="1:10" x14ac:dyDescent="0.25">
      <c r="A20" s="1" t="s">
        <v>16</v>
      </c>
      <c r="B20" s="1" t="s">
        <v>28</v>
      </c>
      <c r="C20" s="10"/>
      <c r="D20" s="10"/>
      <c r="E20" s="10">
        <v>80</v>
      </c>
      <c r="F20" s="10"/>
      <c r="G20" s="10">
        <f t="shared" si="0"/>
        <v>80</v>
      </c>
      <c r="H20" s="16">
        <f t="shared" si="1"/>
        <v>0.05</v>
      </c>
      <c r="I20" s="15">
        <f t="shared" si="2"/>
        <v>0</v>
      </c>
      <c r="J20" s="15"/>
    </row>
    <row r="21" spans="1:10" x14ac:dyDescent="0.25">
      <c r="A21" s="1" t="s">
        <v>16</v>
      </c>
      <c r="B21" s="1" t="s">
        <v>29</v>
      </c>
      <c r="C21" s="10"/>
      <c r="D21" s="10"/>
      <c r="E21" s="10">
        <v>1170</v>
      </c>
      <c r="F21" s="10"/>
      <c r="G21" s="10">
        <f t="shared" si="0"/>
        <v>1170</v>
      </c>
      <c r="H21" s="16">
        <f t="shared" si="1"/>
        <v>0.73</v>
      </c>
      <c r="I21" s="15">
        <f t="shared" si="2"/>
        <v>1E-3</v>
      </c>
      <c r="J21" s="15">
        <f>ROUND(G21/1910-1,2)</f>
        <v>-0.39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150</v>
      </c>
      <c r="F22" s="10"/>
      <c r="G22" s="10">
        <f t="shared" si="0"/>
        <v>150</v>
      </c>
      <c r="H22" s="16">
        <f t="shared" si="1"/>
        <v>0.09</v>
      </c>
      <c r="I22" s="15">
        <f t="shared" si="2"/>
        <v>0</v>
      </c>
      <c r="J22" s="15">
        <f>ROUND(G22/410-1,2)</f>
        <v>-0.63</v>
      </c>
    </row>
    <row r="23" spans="1:10" x14ac:dyDescent="0.25">
      <c r="A23" s="1" t="s">
        <v>16</v>
      </c>
      <c r="B23" s="1" t="s">
        <v>31</v>
      </c>
      <c r="C23" s="10"/>
      <c r="D23" s="10"/>
      <c r="E23" s="10">
        <v>1560</v>
      </c>
      <c r="F23" s="10"/>
      <c r="G23" s="10">
        <f t="shared" si="0"/>
        <v>1560</v>
      </c>
      <c r="H23" s="16">
        <f t="shared" si="1"/>
        <v>0.97</v>
      </c>
      <c r="I23" s="15">
        <f t="shared" si="2"/>
        <v>2E-3</v>
      </c>
      <c r="J23" s="15">
        <f>ROUND(G23/420-1,2)</f>
        <v>2.71</v>
      </c>
    </row>
    <row r="24" spans="1:10" x14ac:dyDescent="0.25">
      <c r="A24" s="1" t="s">
        <v>16</v>
      </c>
      <c r="B24" s="1" t="s">
        <v>32</v>
      </c>
      <c r="C24" s="10"/>
      <c r="D24" s="10"/>
      <c r="E24" s="10">
        <v>2555</v>
      </c>
      <c r="F24" s="10">
        <v>570</v>
      </c>
      <c r="G24" s="10">
        <f t="shared" si="0"/>
        <v>3125</v>
      </c>
      <c r="H24" s="16">
        <f t="shared" si="1"/>
        <v>1.94</v>
      </c>
      <c r="I24" s="15">
        <f t="shared" si="2"/>
        <v>4.0000000000000001E-3</v>
      </c>
      <c r="J24" s="15">
        <f>ROUND(G24/1305-1,2)</f>
        <v>1.39</v>
      </c>
    </row>
    <row r="25" spans="1:10" x14ac:dyDescent="0.25">
      <c r="A25" s="1" t="s">
        <v>16</v>
      </c>
      <c r="B25" s="1" t="s">
        <v>33</v>
      </c>
      <c r="C25" s="10"/>
      <c r="D25" s="10">
        <v>169</v>
      </c>
      <c r="E25" s="10">
        <v>62</v>
      </c>
      <c r="F25" s="10"/>
      <c r="G25" s="10">
        <f t="shared" si="0"/>
        <v>231</v>
      </c>
      <c r="H25" s="16">
        <f t="shared" si="1"/>
        <v>0.14000000000000001</v>
      </c>
      <c r="I25" s="15">
        <f t="shared" si="2"/>
        <v>0</v>
      </c>
      <c r="J25" s="15">
        <f>ROUND(G25/167-1,2)</f>
        <v>0.38</v>
      </c>
    </row>
    <row r="26" spans="1:10" x14ac:dyDescent="0.25">
      <c r="A26" s="1" t="s">
        <v>16</v>
      </c>
      <c r="B26" s="1" t="s">
        <v>35</v>
      </c>
      <c r="C26" s="10"/>
      <c r="D26" s="10">
        <v>50</v>
      </c>
      <c r="E26" s="10">
        <v>70</v>
      </c>
      <c r="F26" s="10"/>
      <c r="G26" s="10">
        <f t="shared" si="0"/>
        <v>120</v>
      </c>
      <c r="H26" s="16">
        <f t="shared" si="1"/>
        <v>7.0000000000000007E-2</v>
      </c>
      <c r="I26" s="15">
        <f t="shared" si="2"/>
        <v>0</v>
      </c>
      <c r="J26" s="15">
        <f>ROUND(G26/304-1,2)</f>
        <v>-0.61</v>
      </c>
    </row>
    <row r="27" spans="1:10" x14ac:dyDescent="0.25">
      <c r="A27" s="1" t="s">
        <v>16</v>
      </c>
      <c r="B27" s="1" t="s">
        <v>34</v>
      </c>
      <c r="C27" s="10"/>
      <c r="D27" s="10"/>
      <c r="E27" s="10">
        <v>2090</v>
      </c>
      <c r="F27" s="10"/>
      <c r="G27" s="10">
        <f t="shared" si="0"/>
        <v>2090</v>
      </c>
      <c r="H27" s="16">
        <f t="shared" si="1"/>
        <v>1.3</v>
      </c>
      <c r="I27" s="15">
        <f t="shared" si="2"/>
        <v>2E-3</v>
      </c>
      <c r="J27" s="15">
        <f>ROUND(G27/1340-1,2)</f>
        <v>0.56000000000000005</v>
      </c>
    </row>
    <row r="28" spans="1:10" x14ac:dyDescent="0.25">
      <c r="A28" s="1" t="s">
        <v>16</v>
      </c>
      <c r="B28" s="1" t="s">
        <v>36</v>
      </c>
      <c r="C28" s="10"/>
      <c r="D28" s="10"/>
      <c r="E28" s="10">
        <v>663</v>
      </c>
      <c r="F28" s="10"/>
      <c r="G28" s="10">
        <f t="shared" si="0"/>
        <v>663</v>
      </c>
      <c r="H28" s="16">
        <f t="shared" si="1"/>
        <v>0.41</v>
      </c>
      <c r="I28" s="15">
        <f t="shared" si="2"/>
        <v>1E-3</v>
      </c>
      <c r="J28" s="15">
        <f>ROUND(G28/2289-1,2)</f>
        <v>-0.71</v>
      </c>
    </row>
    <row r="29" spans="1:10" x14ac:dyDescent="0.25">
      <c r="A29" s="1" t="s">
        <v>16</v>
      </c>
      <c r="B29" s="1" t="s">
        <v>43</v>
      </c>
      <c r="C29" s="10"/>
      <c r="D29" s="10"/>
      <c r="E29" s="10">
        <v>2045</v>
      </c>
      <c r="F29" s="10"/>
      <c r="G29" s="10">
        <f t="shared" si="0"/>
        <v>2045</v>
      </c>
      <c r="H29" s="16">
        <f t="shared" si="1"/>
        <v>1.27</v>
      </c>
      <c r="I29" s="15">
        <f t="shared" si="2"/>
        <v>2E-3</v>
      </c>
      <c r="J29" s="15">
        <f>ROUND(G29/3113-1,2)</f>
        <v>-0.34</v>
      </c>
    </row>
    <row r="30" spans="1:10" x14ac:dyDescent="0.25">
      <c r="A30" s="1" t="s">
        <v>16</v>
      </c>
      <c r="B30" s="1" t="s">
        <v>37</v>
      </c>
      <c r="C30" s="10"/>
      <c r="D30" s="10"/>
      <c r="E30" s="10">
        <v>2373</v>
      </c>
      <c r="F30" s="10"/>
      <c r="G30" s="10">
        <f t="shared" si="0"/>
        <v>2373</v>
      </c>
      <c r="H30" s="16">
        <f t="shared" si="1"/>
        <v>1.47</v>
      </c>
      <c r="I30" s="15">
        <f t="shared" si="2"/>
        <v>3.0000000000000001E-3</v>
      </c>
      <c r="J30" s="15">
        <f>ROUND(G30/5822-1,2)</f>
        <v>-0.59</v>
      </c>
    </row>
    <row r="31" spans="1:10" x14ac:dyDescent="0.25">
      <c r="A31" s="1" t="s">
        <v>16</v>
      </c>
      <c r="B31" s="1" t="s">
        <v>38</v>
      </c>
      <c r="C31" s="10"/>
      <c r="D31" s="10"/>
      <c r="E31" s="10">
        <v>49965</v>
      </c>
      <c r="F31" s="10"/>
      <c r="G31" s="10">
        <f t="shared" si="0"/>
        <v>49965</v>
      </c>
      <c r="H31" s="16">
        <f t="shared" si="1"/>
        <v>30.98</v>
      </c>
      <c r="I31" s="15">
        <f t="shared" si="2"/>
        <v>5.6000000000000001E-2</v>
      </c>
      <c r="J31" s="15">
        <f>ROUND(G31/46405-1,2)</f>
        <v>0.08</v>
      </c>
    </row>
    <row r="32" spans="1:10" x14ac:dyDescent="0.25">
      <c r="A32" s="1" t="s">
        <v>16</v>
      </c>
      <c r="B32" s="1" t="s">
        <v>39</v>
      </c>
      <c r="C32" s="10"/>
      <c r="D32" s="10"/>
      <c r="E32" s="10">
        <v>6920</v>
      </c>
      <c r="F32" s="10"/>
      <c r="G32" s="10">
        <f t="shared" si="0"/>
        <v>6920</v>
      </c>
      <c r="H32" s="16">
        <f t="shared" si="1"/>
        <v>4.29</v>
      </c>
      <c r="I32" s="15">
        <f t="shared" si="2"/>
        <v>8.0000000000000002E-3</v>
      </c>
      <c r="J32" s="15">
        <f>ROUND(G32/5610-1,2)</f>
        <v>0.23</v>
      </c>
    </row>
    <row r="33" spans="1:10" x14ac:dyDescent="0.25">
      <c r="A33" s="1" t="s">
        <v>16</v>
      </c>
      <c r="B33" s="1" t="s">
        <v>40</v>
      </c>
      <c r="C33" s="10"/>
      <c r="D33" s="10"/>
      <c r="E33" s="10">
        <v>26780</v>
      </c>
      <c r="F33" s="10"/>
      <c r="G33" s="10">
        <f t="shared" si="0"/>
        <v>26780</v>
      </c>
      <c r="H33" s="16">
        <f t="shared" si="1"/>
        <v>16.600000000000001</v>
      </c>
      <c r="I33" s="15">
        <f t="shared" si="2"/>
        <v>0.03</v>
      </c>
      <c r="J33" s="15">
        <f>ROUND(G33/14930-1,2)</f>
        <v>0.79</v>
      </c>
    </row>
    <row r="34" spans="1:10" x14ac:dyDescent="0.25">
      <c r="A34" s="1" t="s">
        <v>16</v>
      </c>
      <c r="B34" s="1" t="s">
        <v>41</v>
      </c>
      <c r="C34" s="10"/>
      <c r="D34" s="10"/>
      <c r="E34" s="10">
        <v>82220</v>
      </c>
      <c r="F34" s="10"/>
      <c r="G34" s="10">
        <f t="shared" si="0"/>
        <v>82220</v>
      </c>
      <c r="H34" s="16">
        <f t="shared" si="1"/>
        <v>50.97</v>
      </c>
      <c r="I34" s="15">
        <f t="shared" si="2"/>
        <v>9.2999999999999999E-2</v>
      </c>
      <c r="J34" s="15">
        <f>ROUND(G34/64410-1,2)</f>
        <v>0.28000000000000003</v>
      </c>
    </row>
    <row r="35" spans="1:10" x14ac:dyDescent="0.25">
      <c r="A35" s="1" t="s">
        <v>16</v>
      </c>
      <c r="B35" s="1" t="s">
        <v>42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>
        <f>ROUND(G35/212-1,2)</f>
        <v>-1</v>
      </c>
    </row>
    <row r="36" spans="1:10" x14ac:dyDescent="0.25">
      <c r="A36" s="1" t="s">
        <v>44</v>
      </c>
      <c r="B36" s="1" t="s">
        <v>45</v>
      </c>
      <c r="C36" s="10"/>
      <c r="D36" s="10">
        <v>322790</v>
      </c>
      <c r="E36" s="10"/>
      <c r="F36" s="10"/>
      <c r="G36" s="10">
        <f t="shared" si="0"/>
        <v>322790</v>
      </c>
      <c r="H36" s="16">
        <f t="shared" si="1"/>
        <v>200.12</v>
      </c>
      <c r="I36" s="15">
        <f t="shared" si="2"/>
        <v>0.36399999999999999</v>
      </c>
      <c r="J36" s="15">
        <f>ROUND(G36/322135-1,2)</f>
        <v>0</v>
      </c>
    </row>
    <row r="37" spans="1:10" x14ac:dyDescent="0.25">
      <c r="A37" s="1" t="s">
        <v>44</v>
      </c>
      <c r="B37" s="1" t="s">
        <v>46</v>
      </c>
      <c r="C37" s="10"/>
      <c r="D37" s="10"/>
      <c r="E37" s="10">
        <v>24580</v>
      </c>
      <c r="F37" s="10"/>
      <c r="G37" s="10">
        <f t="shared" si="0"/>
        <v>24580</v>
      </c>
      <c r="H37" s="16">
        <f t="shared" si="1"/>
        <v>15.24</v>
      </c>
      <c r="I37" s="15">
        <f t="shared" si="2"/>
        <v>2.8000000000000001E-2</v>
      </c>
      <c r="J37" s="15">
        <f>ROUND(G37/31980-1,2)</f>
        <v>-0.23</v>
      </c>
    </row>
    <row r="38" spans="1:10" x14ac:dyDescent="0.25">
      <c r="A38" s="1" t="s">
        <v>44</v>
      </c>
      <c r="B38" s="1" t="s">
        <v>47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1" t="s">
        <v>48</v>
      </c>
      <c r="B39" s="1" t="s">
        <v>86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30" t="s">
        <v>12</v>
      </c>
      <c r="B40" s="30"/>
      <c r="C40" s="11">
        <f t="shared" ref="C40:H40" si="3">SUM(C8:C39)</f>
        <v>8335</v>
      </c>
      <c r="D40" s="11">
        <f t="shared" si="3"/>
        <v>582184</v>
      </c>
      <c r="E40" s="11">
        <f t="shared" si="3"/>
        <v>295135</v>
      </c>
      <c r="F40" s="11">
        <f t="shared" si="3"/>
        <v>1816</v>
      </c>
      <c r="G40" s="11">
        <f t="shared" si="3"/>
        <v>887470</v>
      </c>
      <c r="H40" s="14">
        <f t="shared" si="3"/>
        <v>550.20000000000005</v>
      </c>
      <c r="I40" s="17"/>
      <c r="J40" s="17"/>
    </row>
    <row r="41" spans="1:10" x14ac:dyDescent="0.25">
      <c r="A41" s="30" t="s">
        <v>14</v>
      </c>
      <c r="B41" s="30"/>
      <c r="C41" s="12">
        <f>ROUND(C40/G40,2)</f>
        <v>0.01</v>
      </c>
      <c r="D41" s="12">
        <f>ROUND(D40/G40,2)</f>
        <v>0.66</v>
      </c>
      <c r="E41" s="12">
        <f>ROUND(E40/G40,2)</f>
        <v>0.33</v>
      </c>
      <c r="F41" s="12">
        <f>ROUND(F40/G40,2)</f>
        <v>0</v>
      </c>
      <c r="G41" s="13"/>
      <c r="H41" s="13"/>
      <c r="I41" s="17"/>
      <c r="J41" s="17"/>
    </row>
    <row r="42" spans="1:10" x14ac:dyDescent="0.25">
      <c r="A42" s="2" t="s">
        <v>52</v>
      </c>
      <c r="B42" s="2"/>
      <c r="C42" s="13"/>
      <c r="D42" s="13"/>
      <c r="E42" s="13"/>
      <c r="F42" s="13"/>
      <c r="G42" s="13"/>
      <c r="H42" s="13"/>
      <c r="I42" s="17"/>
      <c r="J42" s="17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A46" s="30" t="s">
        <v>53</v>
      </c>
      <c r="B46" s="30"/>
      <c r="C46" s="11" t="s">
        <v>8</v>
      </c>
      <c r="D46" s="11" t="s">
        <v>9</v>
      </c>
      <c r="E46" s="11" t="s">
        <v>10</v>
      </c>
      <c r="F46" s="11" t="s">
        <v>11</v>
      </c>
      <c r="G46" s="11" t="s">
        <v>12</v>
      </c>
      <c r="H46" s="14" t="s">
        <v>13</v>
      </c>
      <c r="I46" s="17"/>
      <c r="J46" s="17"/>
    </row>
    <row r="47" spans="1:10" x14ac:dyDescent="0.25">
      <c r="A47" s="29" t="s">
        <v>54</v>
      </c>
      <c r="B47" s="29"/>
      <c r="C47" s="10">
        <v>8335</v>
      </c>
      <c r="D47" s="10">
        <v>259394</v>
      </c>
      <c r="E47" s="10">
        <v>270555</v>
      </c>
      <c r="F47" s="10">
        <v>1816</v>
      </c>
      <c r="G47" s="10">
        <f>SUM(C47:F47)</f>
        <v>540100</v>
      </c>
      <c r="H47" s="16">
        <f>ROUND(G47/1613,2)</f>
        <v>334.84</v>
      </c>
      <c r="I47" s="9"/>
      <c r="J47" s="9"/>
    </row>
    <row r="48" spans="1:10" x14ac:dyDescent="0.25">
      <c r="A48" s="29" t="s">
        <v>55</v>
      </c>
      <c r="B48" s="29"/>
      <c r="C48" s="10">
        <v>0</v>
      </c>
      <c r="D48" s="10">
        <v>322790</v>
      </c>
      <c r="E48" s="10">
        <v>24580</v>
      </c>
      <c r="F48" s="10">
        <v>0</v>
      </c>
      <c r="G48" s="10">
        <f>SUM(C48:F48)</f>
        <v>347370</v>
      </c>
      <c r="H48" s="16">
        <f>ROUND(G48/1613,2)</f>
        <v>215.36</v>
      </c>
      <c r="I48" s="9"/>
      <c r="J48" s="9"/>
    </row>
    <row r="49" spans="1:10" x14ac:dyDescent="0.25">
      <c r="A49" s="29" t="s">
        <v>56</v>
      </c>
      <c r="B49" s="29"/>
      <c r="C49" s="10">
        <v>0</v>
      </c>
      <c r="D49" s="10">
        <v>0</v>
      </c>
      <c r="E49" s="10">
        <v>0</v>
      </c>
      <c r="F49" s="10">
        <v>0</v>
      </c>
      <c r="G49" s="10">
        <f>SUM(C49:F49)</f>
        <v>0</v>
      </c>
      <c r="H49" s="16">
        <f>ROUND(G49/1613,2)</f>
        <v>0</v>
      </c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A54" s="30" t="s">
        <v>57</v>
      </c>
      <c r="B54" s="30"/>
      <c r="C54" s="14" t="s">
        <v>2</v>
      </c>
      <c r="D54" s="14">
        <v>2023</v>
      </c>
      <c r="E54" s="14" t="s">
        <v>59</v>
      </c>
      <c r="F54" s="13"/>
      <c r="G54" s="14" t="s">
        <v>60</v>
      </c>
      <c r="H54" s="14" t="s">
        <v>2</v>
      </c>
      <c r="I54" s="12" t="s">
        <v>61</v>
      </c>
      <c r="J54" s="12" t="s">
        <v>59</v>
      </c>
    </row>
    <row r="55" spans="1:10" x14ac:dyDescent="0.25">
      <c r="A55" s="29" t="s">
        <v>58</v>
      </c>
      <c r="B55" s="29"/>
      <c r="C55" s="15">
        <f>ROUND(0.5976, 4)</f>
        <v>0.59760000000000002</v>
      </c>
      <c r="D55" s="15">
        <f>ROUND(0.5905, 4)</f>
        <v>0.59050000000000002</v>
      </c>
      <c r="E55" s="15">
        <f>ROUND(0.777, 4)</f>
        <v>0.77700000000000002</v>
      </c>
      <c r="F55" s="8"/>
      <c r="G55" s="14" t="s">
        <v>62</v>
      </c>
      <c r="H55" s="33" t="s">
        <v>63</v>
      </c>
      <c r="I55" s="31" t="s">
        <v>64</v>
      </c>
      <c r="J55" s="31" t="s">
        <v>65</v>
      </c>
    </row>
    <row r="56" spans="1:10" x14ac:dyDescent="0.25">
      <c r="A56" s="29" t="s">
        <v>66</v>
      </c>
      <c r="B56" s="29"/>
      <c r="C56" s="15">
        <f>ROUND(0.5722, 4)</f>
        <v>0.57220000000000004</v>
      </c>
      <c r="D56" s="15">
        <f>ROUND(0.5628, 4)</f>
        <v>0.56279999999999997</v>
      </c>
      <c r="E56" s="15">
        <f>ROUND(0.7608, 4)</f>
        <v>0.76080000000000003</v>
      </c>
      <c r="F56" s="8"/>
      <c r="G56" s="14" t="s">
        <v>67</v>
      </c>
      <c r="H56" s="34"/>
      <c r="I56" s="32"/>
      <c r="J56" s="32"/>
    </row>
    <row r="57" spans="1:10" x14ac:dyDescent="0.25">
      <c r="C57" s="8"/>
      <c r="D57" s="8"/>
      <c r="E57" s="8"/>
      <c r="F57" s="8"/>
      <c r="G57" s="21"/>
      <c r="H57" s="8"/>
      <c r="I57" s="9"/>
      <c r="J57" s="9"/>
    </row>
    <row r="58" spans="1:10" x14ac:dyDescent="0.25">
      <c r="C58" s="8"/>
      <c r="D58" s="8"/>
      <c r="E58" s="8"/>
      <c r="F58" s="8"/>
      <c r="G58" s="21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A60" s="30" t="s">
        <v>68</v>
      </c>
      <c r="B60" s="30"/>
      <c r="C60" s="14" t="s">
        <v>2</v>
      </c>
      <c r="D60" s="14" t="s">
        <v>209</v>
      </c>
      <c r="E60" s="14" t="s">
        <v>70</v>
      </c>
      <c r="F60" s="14" t="s">
        <v>71</v>
      </c>
      <c r="G60" s="14" t="s">
        <v>72</v>
      </c>
      <c r="H60" s="13"/>
      <c r="I60" s="17"/>
      <c r="J60" s="17"/>
    </row>
    <row r="61" spans="1:10" x14ac:dyDescent="0.25">
      <c r="A61" s="29" t="s">
        <v>73</v>
      </c>
      <c r="B61" s="29"/>
      <c r="C61" s="16">
        <v>200.12</v>
      </c>
      <c r="D61" s="16">
        <v>185.43</v>
      </c>
      <c r="E61" s="16">
        <v>93.87</v>
      </c>
      <c r="F61" s="16">
        <v>57.16</v>
      </c>
      <c r="G61" s="16">
        <f>12/12*C61</f>
        <v>200.12</v>
      </c>
      <c r="H61" s="8"/>
      <c r="I61" s="9"/>
      <c r="J61" s="9"/>
    </row>
    <row r="62" spans="1:10" x14ac:dyDescent="0.25">
      <c r="A62" s="29" t="s">
        <v>74</v>
      </c>
      <c r="B62" s="29"/>
      <c r="C62" s="16">
        <v>46.65</v>
      </c>
      <c r="D62" s="16">
        <v>54.89</v>
      </c>
      <c r="E62" s="16">
        <v>62.84</v>
      </c>
      <c r="F62" s="16">
        <v>65.39</v>
      </c>
      <c r="G62" s="16">
        <f>12/12*C62</f>
        <v>46.65</v>
      </c>
      <c r="H62" s="8"/>
      <c r="I62" s="9"/>
      <c r="J62" s="9"/>
    </row>
    <row r="63" spans="1:10" x14ac:dyDescent="0.25">
      <c r="A63" s="29" t="s">
        <v>75</v>
      </c>
      <c r="B63" s="29"/>
      <c r="C63" s="16">
        <v>334.84</v>
      </c>
      <c r="D63" s="16">
        <v>332.18</v>
      </c>
      <c r="E63" s="16">
        <v>295.08999999999997</v>
      </c>
      <c r="F63" s="16">
        <v>289.06</v>
      </c>
      <c r="G63" s="16">
        <f>12/12*C63</f>
        <v>334.84</v>
      </c>
      <c r="H63" s="8"/>
      <c r="I63" s="9"/>
      <c r="J63" s="9"/>
    </row>
    <row r="64" spans="1:10" x14ac:dyDescent="0.25">
      <c r="A64" s="29" t="s">
        <v>76</v>
      </c>
      <c r="B64" s="29"/>
      <c r="C64" s="16">
        <v>215.36</v>
      </c>
      <c r="D64" s="16">
        <v>205.51</v>
      </c>
      <c r="E64" s="16">
        <v>118.05</v>
      </c>
      <c r="F64" s="16">
        <v>81.41</v>
      </c>
      <c r="G64" s="16">
        <f>12/12*C64</f>
        <v>215.36</v>
      </c>
      <c r="H64" s="8"/>
      <c r="I64" s="9"/>
      <c r="J64" s="9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28" t="s">
        <v>60</v>
      </c>
      <c r="B67" s="35"/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77</v>
      </c>
      <c r="B68" s="1" t="s">
        <v>210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70</v>
      </c>
      <c r="B69" s="1" t="s">
        <v>79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71</v>
      </c>
      <c r="B70" s="1" t="s">
        <v>80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3" t="s">
        <v>72</v>
      </c>
      <c r="B71" s="1" t="s">
        <v>81</v>
      </c>
      <c r="C71" s="8"/>
      <c r="D71" s="8"/>
      <c r="E71" s="8"/>
      <c r="F71" s="8"/>
      <c r="G71" s="8"/>
      <c r="H71" s="8"/>
      <c r="I71" s="9"/>
      <c r="J71" s="9"/>
    </row>
  </sheetData>
  <mergeCells count="19">
    <mergeCell ref="A62:B62"/>
    <mergeCell ref="A63:B63"/>
    <mergeCell ref="A64:B64"/>
    <mergeCell ref="A67:B67"/>
    <mergeCell ref="I55:I56"/>
    <mergeCell ref="J55:J56"/>
    <mergeCell ref="A56:B56"/>
    <mergeCell ref="A60:B60"/>
    <mergeCell ref="A61:B61"/>
    <mergeCell ref="A48:B48"/>
    <mergeCell ref="A49:B49"/>
    <mergeCell ref="A54:B54"/>
    <mergeCell ref="A55:B55"/>
    <mergeCell ref="H55:H56"/>
    <mergeCell ref="C7:G7"/>
    <mergeCell ref="A40:B40"/>
    <mergeCell ref="A41:B41"/>
    <mergeCell ref="A46:B46"/>
    <mergeCell ref="A47:B47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2:J71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5.1406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211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1602</v>
      </c>
    </row>
    <row r="7" spans="1:10" x14ac:dyDescent="0.25">
      <c r="C7" s="28" t="s">
        <v>5</v>
      </c>
      <c r="D7" s="29"/>
      <c r="E7" s="29"/>
      <c r="F7" s="29"/>
      <c r="G7" s="29"/>
    </row>
    <row r="8" spans="1:10" x14ac:dyDescent="0.25">
      <c r="A8" s="25" t="s">
        <v>6</v>
      </c>
      <c r="B8" s="25" t="s">
        <v>7</v>
      </c>
      <c r="C8" s="27" t="s">
        <v>8</v>
      </c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75</v>
      </c>
      <c r="F9" s="10"/>
      <c r="G9" s="10">
        <f t="shared" ref="G9:G39" si="0">SUM(C9:F9)</f>
        <v>75</v>
      </c>
      <c r="H9" s="16">
        <f t="shared" ref="H9:H39" si="1">ROUND(G9/1602,2)</f>
        <v>0.05</v>
      </c>
      <c r="I9" s="15">
        <f t="shared" ref="I9:I39" si="2">ROUND(G9/$G$40,3)</f>
        <v>0</v>
      </c>
      <c r="J9" s="15"/>
    </row>
    <row r="10" spans="1:10" x14ac:dyDescent="0.25">
      <c r="A10" s="1" t="s">
        <v>16</v>
      </c>
      <c r="B10" s="1" t="s">
        <v>19</v>
      </c>
      <c r="C10" s="10">
        <v>44010</v>
      </c>
      <c r="D10" s="10"/>
      <c r="E10" s="10"/>
      <c r="F10" s="10">
        <v>210</v>
      </c>
      <c r="G10" s="10">
        <f t="shared" si="0"/>
        <v>44220</v>
      </c>
      <c r="H10" s="16">
        <f t="shared" si="1"/>
        <v>27.6</v>
      </c>
      <c r="I10" s="15">
        <f t="shared" si="2"/>
        <v>9.1999999999999998E-2</v>
      </c>
      <c r="J10" s="15">
        <f>ROUND(G10/43180-1,2)</f>
        <v>0.02</v>
      </c>
    </row>
    <row r="11" spans="1:10" x14ac:dyDescent="0.25">
      <c r="A11" s="1" t="s">
        <v>16</v>
      </c>
      <c r="B11" s="1" t="s">
        <v>20</v>
      </c>
      <c r="C11" s="10">
        <v>58950</v>
      </c>
      <c r="D11" s="10"/>
      <c r="E11" s="10"/>
      <c r="F11" s="10"/>
      <c r="G11" s="10">
        <f t="shared" si="0"/>
        <v>58950</v>
      </c>
      <c r="H11" s="16">
        <f t="shared" si="1"/>
        <v>36.799999999999997</v>
      </c>
      <c r="I11" s="15">
        <f t="shared" si="2"/>
        <v>0.123</v>
      </c>
      <c r="J11" s="15">
        <f>ROUND(G11/58840-1,2)</f>
        <v>0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64</v>
      </c>
      <c r="F12" s="10">
        <v>32</v>
      </c>
      <c r="G12" s="10">
        <f t="shared" si="0"/>
        <v>96</v>
      </c>
      <c r="H12" s="16">
        <f t="shared" si="1"/>
        <v>0.06</v>
      </c>
      <c r="I12" s="15">
        <f t="shared" si="2"/>
        <v>0</v>
      </c>
      <c r="J12" s="15">
        <f>ROUND(G12/179-1,2)</f>
        <v>-0.46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118</v>
      </c>
      <c r="F13" s="10"/>
      <c r="G13" s="10">
        <f t="shared" si="0"/>
        <v>118</v>
      </c>
      <c r="H13" s="16">
        <f t="shared" si="1"/>
        <v>7.0000000000000007E-2</v>
      </c>
      <c r="I13" s="15">
        <f t="shared" si="2"/>
        <v>0</v>
      </c>
      <c r="J13" s="15">
        <f>ROUND(G13/48-1,2)</f>
        <v>1.46</v>
      </c>
    </row>
    <row r="14" spans="1:10" x14ac:dyDescent="0.25">
      <c r="A14" s="1" t="s">
        <v>16</v>
      </c>
      <c r="B14" s="1" t="s">
        <v>22</v>
      </c>
      <c r="C14" s="10"/>
      <c r="D14" s="10"/>
      <c r="E14" s="10">
        <v>1100</v>
      </c>
      <c r="F14" s="10"/>
      <c r="G14" s="10">
        <f t="shared" si="0"/>
        <v>1100</v>
      </c>
      <c r="H14" s="16">
        <f t="shared" si="1"/>
        <v>0.69</v>
      </c>
      <c r="I14" s="15">
        <f t="shared" si="2"/>
        <v>2E-3</v>
      </c>
      <c r="J14" s="15"/>
    </row>
    <row r="15" spans="1:10" x14ac:dyDescent="0.25">
      <c r="A15" s="1" t="s">
        <v>16</v>
      </c>
      <c r="B15" s="1" t="s">
        <v>23</v>
      </c>
      <c r="C15" s="10"/>
      <c r="D15" s="10"/>
      <c r="E15" s="10">
        <v>14260</v>
      </c>
      <c r="F15" s="10"/>
      <c r="G15" s="10">
        <f t="shared" si="0"/>
        <v>14260</v>
      </c>
      <c r="H15" s="16">
        <f t="shared" si="1"/>
        <v>8.9</v>
      </c>
      <c r="I15" s="15">
        <f t="shared" si="2"/>
        <v>0.03</v>
      </c>
      <c r="J15" s="15">
        <f>ROUND(G15/18480-1,2)</f>
        <v>-0.23</v>
      </c>
    </row>
    <row r="16" spans="1:10" x14ac:dyDescent="0.25">
      <c r="A16" s="1" t="s">
        <v>16</v>
      </c>
      <c r="B16" s="1" t="s">
        <v>24</v>
      </c>
      <c r="C16" s="10">
        <v>54410</v>
      </c>
      <c r="D16" s="10"/>
      <c r="E16" s="10"/>
      <c r="F16" s="10">
        <v>330</v>
      </c>
      <c r="G16" s="10">
        <f t="shared" si="0"/>
        <v>54740</v>
      </c>
      <c r="H16" s="16">
        <f t="shared" si="1"/>
        <v>34.17</v>
      </c>
      <c r="I16" s="15">
        <f t="shared" si="2"/>
        <v>0.114</v>
      </c>
      <c r="J16" s="15">
        <f>ROUND(G16/51320-1,2)</f>
        <v>7.0000000000000007E-2</v>
      </c>
    </row>
    <row r="17" spans="1:10" x14ac:dyDescent="0.25">
      <c r="A17" s="1" t="s">
        <v>16</v>
      </c>
      <c r="B17" s="1" t="s">
        <v>25</v>
      </c>
      <c r="C17" s="10"/>
      <c r="D17" s="10"/>
      <c r="E17" s="10">
        <v>1440</v>
      </c>
      <c r="F17" s="10"/>
      <c r="G17" s="10">
        <f t="shared" si="0"/>
        <v>1440</v>
      </c>
      <c r="H17" s="16">
        <f t="shared" si="1"/>
        <v>0.9</v>
      </c>
      <c r="I17" s="15">
        <f t="shared" si="2"/>
        <v>3.0000000000000001E-3</v>
      </c>
      <c r="J17" s="15"/>
    </row>
    <row r="18" spans="1:10" x14ac:dyDescent="0.25">
      <c r="A18" s="1" t="s">
        <v>16</v>
      </c>
      <c r="B18" s="1" t="s">
        <v>26</v>
      </c>
      <c r="C18" s="10">
        <v>120900</v>
      </c>
      <c r="D18" s="10"/>
      <c r="E18" s="10"/>
      <c r="F18" s="10">
        <v>840</v>
      </c>
      <c r="G18" s="10">
        <f t="shared" si="0"/>
        <v>121740</v>
      </c>
      <c r="H18" s="16">
        <f t="shared" si="1"/>
        <v>75.989999999999995</v>
      </c>
      <c r="I18" s="15">
        <f t="shared" si="2"/>
        <v>0.254</v>
      </c>
      <c r="J18" s="15">
        <f>ROUND(G18/135100-1,2)</f>
        <v>-0.1</v>
      </c>
    </row>
    <row r="19" spans="1:10" x14ac:dyDescent="0.25">
      <c r="A19" s="1" t="s">
        <v>16</v>
      </c>
      <c r="B19" s="1" t="s">
        <v>27</v>
      </c>
      <c r="C19" s="10"/>
      <c r="D19" s="10"/>
      <c r="E19" s="10">
        <v>731</v>
      </c>
      <c r="F19" s="10"/>
      <c r="G19" s="10">
        <f t="shared" si="0"/>
        <v>731</v>
      </c>
      <c r="H19" s="16">
        <f t="shared" si="1"/>
        <v>0.46</v>
      </c>
      <c r="I19" s="15">
        <f t="shared" si="2"/>
        <v>2E-3</v>
      </c>
      <c r="J19" s="15"/>
    </row>
    <row r="20" spans="1:10" x14ac:dyDescent="0.25">
      <c r="A20" s="1" t="s">
        <v>16</v>
      </c>
      <c r="B20" s="1" t="s">
        <v>28</v>
      </c>
      <c r="C20" s="10"/>
      <c r="D20" s="10"/>
      <c r="E20" s="10">
        <v>334</v>
      </c>
      <c r="F20" s="10"/>
      <c r="G20" s="10">
        <f t="shared" si="0"/>
        <v>334</v>
      </c>
      <c r="H20" s="16">
        <f t="shared" si="1"/>
        <v>0.21</v>
      </c>
      <c r="I20" s="15">
        <f t="shared" si="2"/>
        <v>1E-3</v>
      </c>
      <c r="J20" s="15"/>
    </row>
    <row r="21" spans="1:10" x14ac:dyDescent="0.25">
      <c r="A21" s="1" t="s">
        <v>16</v>
      </c>
      <c r="B21" s="1" t="s">
        <v>29</v>
      </c>
      <c r="C21" s="10"/>
      <c r="D21" s="10"/>
      <c r="E21" s="10">
        <v>860</v>
      </c>
      <c r="F21" s="10"/>
      <c r="G21" s="10">
        <f t="shared" si="0"/>
        <v>860</v>
      </c>
      <c r="H21" s="16">
        <f t="shared" si="1"/>
        <v>0.54</v>
      </c>
      <c r="I21" s="15">
        <f t="shared" si="2"/>
        <v>2E-3</v>
      </c>
      <c r="J21" s="15">
        <f>ROUND(G21/800-1,2)</f>
        <v>0.08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780</v>
      </c>
      <c r="F22" s="10"/>
      <c r="G22" s="10">
        <f t="shared" si="0"/>
        <v>780</v>
      </c>
      <c r="H22" s="16">
        <f t="shared" si="1"/>
        <v>0.49</v>
      </c>
      <c r="I22" s="15">
        <f t="shared" si="2"/>
        <v>2E-3</v>
      </c>
      <c r="J22" s="15">
        <f>ROUND(G22/610-1,2)</f>
        <v>0.28000000000000003</v>
      </c>
    </row>
    <row r="23" spans="1:10" x14ac:dyDescent="0.25">
      <c r="A23" s="1" t="s">
        <v>16</v>
      </c>
      <c r="B23" s="1" t="s">
        <v>32</v>
      </c>
      <c r="C23" s="10"/>
      <c r="D23" s="10"/>
      <c r="E23" s="10">
        <v>815</v>
      </c>
      <c r="F23" s="10">
        <v>410</v>
      </c>
      <c r="G23" s="10">
        <f t="shared" si="0"/>
        <v>1225</v>
      </c>
      <c r="H23" s="16">
        <f t="shared" si="1"/>
        <v>0.76</v>
      </c>
      <c r="I23" s="15">
        <f t="shared" si="2"/>
        <v>3.0000000000000001E-3</v>
      </c>
      <c r="J23" s="15">
        <f>ROUND(G23/640-1,2)</f>
        <v>0.91</v>
      </c>
    </row>
    <row r="24" spans="1:10" x14ac:dyDescent="0.25">
      <c r="A24" s="1" t="s">
        <v>16</v>
      </c>
      <c r="B24" s="1" t="s">
        <v>33</v>
      </c>
      <c r="C24" s="10"/>
      <c r="D24" s="10">
        <v>113</v>
      </c>
      <c r="E24" s="10">
        <v>76</v>
      </c>
      <c r="F24" s="10"/>
      <c r="G24" s="10">
        <f t="shared" si="0"/>
        <v>189</v>
      </c>
      <c r="H24" s="16">
        <f t="shared" si="1"/>
        <v>0.12</v>
      </c>
      <c r="I24" s="15">
        <f t="shared" si="2"/>
        <v>0</v>
      </c>
      <c r="J24" s="15">
        <f>ROUND(G24/207-1,2)</f>
        <v>-0.09</v>
      </c>
    </row>
    <row r="25" spans="1:10" x14ac:dyDescent="0.25">
      <c r="A25" s="1" t="s">
        <v>16</v>
      </c>
      <c r="B25" s="1" t="s">
        <v>34</v>
      </c>
      <c r="C25" s="10"/>
      <c r="D25" s="10"/>
      <c r="E25" s="10">
        <v>890</v>
      </c>
      <c r="F25" s="10"/>
      <c r="G25" s="10">
        <f t="shared" si="0"/>
        <v>890</v>
      </c>
      <c r="H25" s="16">
        <f t="shared" si="1"/>
        <v>0.56000000000000005</v>
      </c>
      <c r="I25" s="15">
        <f t="shared" si="2"/>
        <v>2E-3</v>
      </c>
      <c r="J25" s="15"/>
    </row>
    <row r="26" spans="1:10" x14ac:dyDescent="0.25">
      <c r="A26" s="1" t="s">
        <v>16</v>
      </c>
      <c r="B26" s="1" t="s">
        <v>35</v>
      </c>
      <c r="C26" s="10"/>
      <c r="D26" s="10"/>
      <c r="E26" s="10">
        <v>150</v>
      </c>
      <c r="F26" s="10"/>
      <c r="G26" s="10">
        <f t="shared" si="0"/>
        <v>150</v>
      </c>
      <c r="H26" s="16">
        <f t="shared" si="1"/>
        <v>0.09</v>
      </c>
      <c r="I26" s="15">
        <f t="shared" si="2"/>
        <v>0</v>
      </c>
      <c r="J26" s="15">
        <f>ROUND(G26/810-1,2)</f>
        <v>-0.81</v>
      </c>
    </row>
    <row r="27" spans="1:10" x14ac:dyDescent="0.25">
      <c r="A27" s="1" t="s">
        <v>16</v>
      </c>
      <c r="B27" s="1" t="s">
        <v>37</v>
      </c>
      <c r="C27" s="10"/>
      <c r="D27" s="10"/>
      <c r="E27" s="10">
        <v>2110</v>
      </c>
      <c r="F27" s="10"/>
      <c r="G27" s="10">
        <f t="shared" si="0"/>
        <v>2110</v>
      </c>
      <c r="H27" s="16">
        <f t="shared" si="1"/>
        <v>1.32</v>
      </c>
      <c r="I27" s="15">
        <f t="shared" si="2"/>
        <v>4.0000000000000001E-3</v>
      </c>
      <c r="J27" s="15">
        <f>ROUND(G27/1732-1,2)</f>
        <v>0.22</v>
      </c>
    </row>
    <row r="28" spans="1:10" x14ac:dyDescent="0.25">
      <c r="A28" s="1" t="s">
        <v>16</v>
      </c>
      <c r="B28" s="1" t="s">
        <v>43</v>
      </c>
      <c r="C28" s="10"/>
      <c r="D28" s="10"/>
      <c r="E28" s="10">
        <v>2020</v>
      </c>
      <c r="F28" s="10"/>
      <c r="G28" s="10">
        <f t="shared" si="0"/>
        <v>2020</v>
      </c>
      <c r="H28" s="16">
        <f t="shared" si="1"/>
        <v>1.26</v>
      </c>
      <c r="I28" s="15">
        <f t="shared" si="2"/>
        <v>4.0000000000000001E-3</v>
      </c>
      <c r="J28" s="15">
        <f>ROUND(G28/2360-1,2)</f>
        <v>-0.14000000000000001</v>
      </c>
    </row>
    <row r="29" spans="1:10" x14ac:dyDescent="0.25">
      <c r="A29" s="1" t="s">
        <v>16</v>
      </c>
      <c r="B29" s="1" t="s">
        <v>38</v>
      </c>
      <c r="C29" s="10"/>
      <c r="D29" s="10"/>
      <c r="E29" s="10">
        <v>28270</v>
      </c>
      <c r="F29" s="10"/>
      <c r="G29" s="10">
        <f t="shared" si="0"/>
        <v>28270</v>
      </c>
      <c r="H29" s="16">
        <f t="shared" si="1"/>
        <v>17.649999999999999</v>
      </c>
      <c r="I29" s="15">
        <f t="shared" si="2"/>
        <v>5.8999999999999997E-2</v>
      </c>
      <c r="J29" s="15">
        <f>ROUND(G29/16750-1,2)</f>
        <v>0.69</v>
      </c>
    </row>
    <row r="30" spans="1:10" x14ac:dyDescent="0.25">
      <c r="A30" s="1" t="s">
        <v>16</v>
      </c>
      <c r="B30" s="1" t="s">
        <v>39</v>
      </c>
      <c r="C30" s="10"/>
      <c r="D30" s="10"/>
      <c r="E30" s="10">
        <v>1940</v>
      </c>
      <c r="F30" s="10"/>
      <c r="G30" s="10">
        <f t="shared" si="0"/>
        <v>1940</v>
      </c>
      <c r="H30" s="16">
        <f t="shared" si="1"/>
        <v>1.21</v>
      </c>
      <c r="I30" s="15">
        <f t="shared" si="2"/>
        <v>4.0000000000000001E-3</v>
      </c>
      <c r="J30" s="15"/>
    </row>
    <row r="31" spans="1:10" x14ac:dyDescent="0.25">
      <c r="A31" s="1" t="s">
        <v>16</v>
      </c>
      <c r="B31" s="1" t="s">
        <v>40</v>
      </c>
      <c r="C31" s="10"/>
      <c r="D31" s="10"/>
      <c r="E31" s="10">
        <v>8520</v>
      </c>
      <c r="F31" s="10"/>
      <c r="G31" s="10">
        <f t="shared" si="0"/>
        <v>8520</v>
      </c>
      <c r="H31" s="16">
        <f t="shared" si="1"/>
        <v>5.32</v>
      </c>
      <c r="I31" s="15">
        <f t="shared" si="2"/>
        <v>1.7999999999999999E-2</v>
      </c>
      <c r="J31" s="15">
        <f>ROUND(G31/3700-1,2)</f>
        <v>1.3</v>
      </c>
    </row>
    <row r="32" spans="1:10" x14ac:dyDescent="0.25">
      <c r="A32" s="1" t="s">
        <v>16</v>
      </c>
      <c r="B32" s="1" t="s">
        <v>41</v>
      </c>
      <c r="C32" s="10"/>
      <c r="D32" s="10"/>
      <c r="E32" s="10">
        <v>46660</v>
      </c>
      <c r="F32" s="10"/>
      <c r="G32" s="10">
        <f t="shared" si="0"/>
        <v>46660</v>
      </c>
      <c r="H32" s="16">
        <f t="shared" si="1"/>
        <v>29.13</v>
      </c>
      <c r="I32" s="15">
        <f t="shared" si="2"/>
        <v>9.7000000000000003E-2</v>
      </c>
      <c r="J32" s="15">
        <f>ROUND(G32/43870-1,2)</f>
        <v>0.06</v>
      </c>
    </row>
    <row r="33" spans="1:10" x14ac:dyDescent="0.25">
      <c r="A33" s="1" t="s">
        <v>16</v>
      </c>
      <c r="B33" s="1" t="s">
        <v>42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>
        <f>ROUND(G33/110-1,2)</f>
        <v>-1</v>
      </c>
    </row>
    <row r="34" spans="1:10" x14ac:dyDescent="0.25">
      <c r="A34" s="1" t="s">
        <v>16</v>
      </c>
      <c r="B34" s="1" t="s">
        <v>31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ROUND(G34/270-1,2)</f>
        <v>-1</v>
      </c>
    </row>
    <row r="35" spans="1:10" x14ac:dyDescent="0.25">
      <c r="A35" s="1" t="s">
        <v>16</v>
      </c>
      <c r="B35" s="1" t="s">
        <v>36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>
        <f>ROUND(G35/650-1,2)</f>
        <v>-1</v>
      </c>
    </row>
    <row r="36" spans="1:10" x14ac:dyDescent="0.25">
      <c r="A36" s="1" t="s">
        <v>44</v>
      </c>
      <c r="B36" s="1" t="s">
        <v>45</v>
      </c>
      <c r="C36" s="10">
        <v>56965</v>
      </c>
      <c r="D36" s="10"/>
      <c r="E36" s="10"/>
      <c r="F36" s="10"/>
      <c r="G36" s="10">
        <f t="shared" si="0"/>
        <v>56965</v>
      </c>
      <c r="H36" s="16">
        <f t="shared" si="1"/>
        <v>35.56</v>
      </c>
      <c r="I36" s="15">
        <f t="shared" si="2"/>
        <v>0.11899999999999999</v>
      </c>
      <c r="J36" s="15">
        <f>ROUND(G36/55120-1,2)</f>
        <v>0.03</v>
      </c>
    </row>
    <row r="37" spans="1:10" x14ac:dyDescent="0.25">
      <c r="A37" s="1" t="s">
        <v>44</v>
      </c>
      <c r="B37" s="1" t="s">
        <v>47</v>
      </c>
      <c r="C37" s="10"/>
      <c r="D37" s="10"/>
      <c r="E37" s="10"/>
      <c r="F37" s="10">
        <v>10720</v>
      </c>
      <c r="G37" s="10">
        <f t="shared" si="0"/>
        <v>10720</v>
      </c>
      <c r="H37" s="16">
        <f t="shared" si="1"/>
        <v>6.69</v>
      </c>
      <c r="I37" s="15">
        <f t="shared" si="2"/>
        <v>2.1999999999999999E-2</v>
      </c>
      <c r="J37" s="15">
        <f>ROUND(G37/29100-1,2)</f>
        <v>-0.63</v>
      </c>
    </row>
    <row r="38" spans="1:10" x14ac:dyDescent="0.25">
      <c r="A38" s="1" t="s">
        <v>44</v>
      </c>
      <c r="B38" s="1" t="s">
        <v>46</v>
      </c>
      <c r="C38" s="10"/>
      <c r="D38" s="10"/>
      <c r="E38" s="10">
        <v>20790</v>
      </c>
      <c r="F38" s="10"/>
      <c r="G38" s="10">
        <f t="shared" si="0"/>
        <v>20790</v>
      </c>
      <c r="H38" s="16">
        <f t="shared" si="1"/>
        <v>12.98</v>
      </c>
      <c r="I38" s="15">
        <f t="shared" si="2"/>
        <v>4.2999999999999997E-2</v>
      </c>
      <c r="J38" s="15">
        <f>ROUND(G38/9090-1,2)</f>
        <v>1.29</v>
      </c>
    </row>
    <row r="39" spans="1:10" x14ac:dyDescent="0.25">
      <c r="A39" s="1" t="s">
        <v>48</v>
      </c>
      <c r="B39" s="1" t="s">
        <v>51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30" t="s">
        <v>12</v>
      </c>
      <c r="B40" s="30"/>
      <c r="C40" s="11">
        <f t="shared" ref="C40:H40" si="3">SUM(C8:C39)</f>
        <v>335235</v>
      </c>
      <c r="D40" s="11">
        <f t="shared" si="3"/>
        <v>113</v>
      </c>
      <c r="E40" s="11">
        <f t="shared" si="3"/>
        <v>132003</v>
      </c>
      <c r="F40" s="11">
        <f t="shared" si="3"/>
        <v>12542</v>
      </c>
      <c r="G40" s="11">
        <f t="shared" si="3"/>
        <v>479893</v>
      </c>
      <c r="H40" s="14">
        <f t="shared" si="3"/>
        <v>299.58000000000004</v>
      </c>
      <c r="I40" s="17"/>
      <c r="J40" s="17"/>
    </row>
    <row r="41" spans="1:10" x14ac:dyDescent="0.25">
      <c r="A41" s="30" t="s">
        <v>14</v>
      </c>
      <c r="B41" s="30"/>
      <c r="C41" s="12">
        <f>ROUND(C40/G40,2)</f>
        <v>0.7</v>
      </c>
      <c r="D41" s="12">
        <f>ROUND(D40/G40,2)</f>
        <v>0</v>
      </c>
      <c r="E41" s="12">
        <f>ROUND(E40/G40,2)</f>
        <v>0.28000000000000003</v>
      </c>
      <c r="F41" s="12">
        <f>ROUND(F40/G40,2)</f>
        <v>0.03</v>
      </c>
      <c r="G41" s="13"/>
      <c r="H41" s="13"/>
      <c r="I41" s="17"/>
      <c r="J41" s="17"/>
    </row>
    <row r="42" spans="1:10" x14ac:dyDescent="0.25">
      <c r="A42" s="2" t="s">
        <v>52</v>
      </c>
      <c r="B42" s="2"/>
      <c r="C42" s="13"/>
      <c r="D42" s="13"/>
      <c r="E42" s="13"/>
      <c r="F42" s="13"/>
      <c r="G42" s="13"/>
      <c r="H42" s="13"/>
      <c r="I42" s="17"/>
      <c r="J42" s="17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A46" s="30" t="s">
        <v>53</v>
      </c>
      <c r="B46" s="30"/>
      <c r="C46" s="11" t="s">
        <v>8</v>
      </c>
      <c r="D46" s="11" t="s">
        <v>9</v>
      </c>
      <c r="E46" s="11" t="s">
        <v>10</v>
      </c>
      <c r="F46" s="11" t="s">
        <v>11</v>
      </c>
      <c r="G46" s="11" t="s">
        <v>12</v>
      </c>
      <c r="H46" s="14" t="s">
        <v>13</v>
      </c>
      <c r="I46" s="17"/>
      <c r="J46" s="17"/>
    </row>
    <row r="47" spans="1:10" x14ac:dyDescent="0.25">
      <c r="A47" s="29" t="s">
        <v>54</v>
      </c>
      <c r="B47" s="29"/>
      <c r="C47" s="10">
        <v>278270</v>
      </c>
      <c r="D47" s="10">
        <v>113</v>
      </c>
      <c r="E47" s="10">
        <v>111213</v>
      </c>
      <c r="F47" s="10">
        <v>1822</v>
      </c>
      <c r="G47" s="10">
        <f>SUM(C47:F47)</f>
        <v>391418</v>
      </c>
      <c r="H47" s="16">
        <f>ROUND(G47/1602,2)</f>
        <v>244.33</v>
      </c>
      <c r="I47" s="9"/>
      <c r="J47" s="9"/>
    </row>
    <row r="48" spans="1:10" x14ac:dyDescent="0.25">
      <c r="A48" s="29" t="s">
        <v>55</v>
      </c>
      <c r="B48" s="29"/>
      <c r="C48" s="10">
        <v>56965</v>
      </c>
      <c r="D48" s="10">
        <v>0</v>
      </c>
      <c r="E48" s="10">
        <v>20790</v>
      </c>
      <c r="F48" s="10">
        <v>10720</v>
      </c>
      <c r="G48" s="10">
        <f>SUM(C48:F48)</f>
        <v>88475</v>
      </c>
      <c r="H48" s="16">
        <f>ROUND(G48/1602,2)</f>
        <v>55.23</v>
      </c>
      <c r="I48" s="9"/>
      <c r="J48" s="9"/>
    </row>
    <row r="49" spans="1:10" x14ac:dyDescent="0.25">
      <c r="A49" s="29" t="s">
        <v>56</v>
      </c>
      <c r="B49" s="29"/>
      <c r="C49" s="10">
        <v>0</v>
      </c>
      <c r="D49" s="10">
        <v>0</v>
      </c>
      <c r="E49" s="10">
        <v>0</v>
      </c>
      <c r="F49" s="10">
        <v>0</v>
      </c>
      <c r="G49" s="10">
        <f>SUM(C49:F49)</f>
        <v>0</v>
      </c>
      <c r="H49" s="16">
        <f>ROUND(G49/1602,2)</f>
        <v>0</v>
      </c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A54" s="30" t="s">
        <v>57</v>
      </c>
      <c r="B54" s="30"/>
      <c r="C54" s="14" t="s">
        <v>2</v>
      </c>
      <c r="D54" s="14">
        <v>2023</v>
      </c>
      <c r="E54" s="14" t="s">
        <v>59</v>
      </c>
      <c r="F54" s="13"/>
      <c r="G54" s="14" t="s">
        <v>60</v>
      </c>
      <c r="H54" s="14" t="s">
        <v>2</v>
      </c>
      <c r="I54" s="12" t="s">
        <v>61</v>
      </c>
      <c r="J54" s="12" t="s">
        <v>59</v>
      </c>
    </row>
    <row r="55" spans="1:10" x14ac:dyDescent="0.25">
      <c r="A55" s="29" t="s">
        <v>58</v>
      </c>
      <c r="B55" s="29"/>
      <c r="C55" s="15">
        <f>ROUND(0.8693, 4)</f>
        <v>0.86929999999999996</v>
      </c>
      <c r="D55" s="15">
        <f>ROUND(0.8675, 4)</f>
        <v>0.86750000000000005</v>
      </c>
      <c r="E55" s="15">
        <f>ROUND(0.777, 4)</f>
        <v>0.77700000000000002</v>
      </c>
      <c r="F55" s="8"/>
      <c r="G55" s="14" t="s">
        <v>62</v>
      </c>
      <c r="H55" s="33" t="s">
        <v>63</v>
      </c>
      <c r="I55" s="31" t="s">
        <v>64</v>
      </c>
      <c r="J55" s="31" t="s">
        <v>65</v>
      </c>
    </row>
    <row r="56" spans="1:10" x14ac:dyDescent="0.25">
      <c r="A56" s="29" t="s">
        <v>66</v>
      </c>
      <c r="B56" s="29"/>
      <c r="C56" s="15">
        <f>ROUND(0.857, 4)</f>
        <v>0.85699999999999998</v>
      </c>
      <c r="D56" s="15">
        <f>ROUND(0.8552, 4)</f>
        <v>0.85519999999999996</v>
      </c>
      <c r="E56" s="15">
        <f>ROUND(0.7608, 4)</f>
        <v>0.76080000000000003</v>
      </c>
      <c r="F56" s="8"/>
      <c r="G56" s="14" t="s">
        <v>67</v>
      </c>
      <c r="H56" s="34"/>
      <c r="I56" s="32"/>
      <c r="J56" s="32"/>
    </row>
    <row r="57" spans="1:10" x14ac:dyDescent="0.25">
      <c r="C57" s="8"/>
      <c r="D57" s="8"/>
      <c r="E57" s="8"/>
      <c r="F57" s="8"/>
      <c r="G57" s="21"/>
      <c r="H57" s="8"/>
      <c r="I57" s="9"/>
      <c r="J57" s="9"/>
    </row>
    <row r="58" spans="1:10" x14ac:dyDescent="0.25">
      <c r="C58" s="8"/>
      <c r="D58" s="8"/>
      <c r="E58" s="8"/>
      <c r="F58" s="8"/>
      <c r="G58" s="21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A60" s="30" t="s">
        <v>68</v>
      </c>
      <c r="B60" s="30"/>
      <c r="C60" s="14" t="s">
        <v>2</v>
      </c>
      <c r="D60" s="14" t="s">
        <v>212</v>
      </c>
      <c r="E60" s="14" t="s">
        <v>70</v>
      </c>
      <c r="F60" s="14" t="s">
        <v>71</v>
      </c>
      <c r="G60" s="14" t="s">
        <v>72</v>
      </c>
      <c r="H60" s="13"/>
      <c r="I60" s="17"/>
      <c r="J60" s="17"/>
    </row>
    <row r="61" spans="1:10" x14ac:dyDescent="0.25">
      <c r="A61" s="29" t="s">
        <v>73</v>
      </c>
      <c r="B61" s="29"/>
      <c r="C61" s="16">
        <v>35.56</v>
      </c>
      <c r="D61" s="16">
        <v>43.38</v>
      </c>
      <c r="E61" s="16">
        <v>93.87</v>
      </c>
      <c r="F61" s="16">
        <v>57.16</v>
      </c>
      <c r="G61" s="16">
        <f>12/12*C61</f>
        <v>35.56</v>
      </c>
      <c r="H61" s="8"/>
      <c r="I61" s="9"/>
      <c r="J61" s="9"/>
    </row>
    <row r="62" spans="1:10" x14ac:dyDescent="0.25">
      <c r="A62" s="29" t="s">
        <v>74</v>
      </c>
      <c r="B62" s="29"/>
      <c r="C62" s="16">
        <v>75.989999999999995</v>
      </c>
      <c r="D62" s="16">
        <v>83.15</v>
      </c>
      <c r="E62" s="16">
        <v>62.84</v>
      </c>
      <c r="F62" s="16">
        <v>65.39</v>
      </c>
      <c r="G62" s="16">
        <f>12/12*C62</f>
        <v>75.989999999999995</v>
      </c>
      <c r="H62" s="8"/>
      <c r="I62" s="9"/>
      <c r="J62" s="9"/>
    </row>
    <row r="63" spans="1:10" x14ac:dyDescent="0.25">
      <c r="A63" s="29" t="s">
        <v>75</v>
      </c>
      <c r="B63" s="29"/>
      <c r="C63" s="16">
        <v>244.33</v>
      </c>
      <c r="D63" s="16">
        <v>247.06</v>
      </c>
      <c r="E63" s="16">
        <v>295.08999999999997</v>
      </c>
      <c r="F63" s="16">
        <v>289.06</v>
      </c>
      <c r="G63" s="16">
        <f>12/12*C63</f>
        <v>244.33</v>
      </c>
      <c r="H63" s="8"/>
      <c r="I63" s="9"/>
      <c r="J63" s="9"/>
    </row>
    <row r="64" spans="1:10" x14ac:dyDescent="0.25">
      <c r="A64" s="29" t="s">
        <v>76</v>
      </c>
      <c r="B64" s="29"/>
      <c r="C64" s="16">
        <v>55.23</v>
      </c>
      <c r="D64" s="16">
        <v>63.58</v>
      </c>
      <c r="E64" s="16">
        <v>118.05</v>
      </c>
      <c r="F64" s="16">
        <v>81.41</v>
      </c>
      <c r="G64" s="16">
        <f>12/12*C64</f>
        <v>55.23</v>
      </c>
      <c r="H64" s="8"/>
      <c r="I64" s="9"/>
      <c r="J64" s="9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28" t="s">
        <v>60</v>
      </c>
      <c r="B67" s="35"/>
    </row>
    <row r="68" spans="1:10" x14ac:dyDescent="0.25">
      <c r="A68" s="3" t="s">
        <v>77</v>
      </c>
      <c r="B68" s="1" t="s">
        <v>213</v>
      </c>
    </row>
    <row r="69" spans="1:10" x14ac:dyDescent="0.25">
      <c r="A69" s="3" t="s">
        <v>70</v>
      </c>
      <c r="B69" s="1" t="s">
        <v>79</v>
      </c>
    </row>
    <row r="70" spans="1:10" x14ac:dyDescent="0.25">
      <c r="A70" s="3" t="s">
        <v>71</v>
      </c>
      <c r="B70" s="1" t="s">
        <v>80</v>
      </c>
    </row>
    <row r="71" spans="1:10" x14ac:dyDescent="0.25">
      <c r="A71" s="3" t="s">
        <v>72</v>
      </c>
      <c r="B71" s="1" t="s">
        <v>81</v>
      </c>
    </row>
  </sheetData>
  <mergeCells count="19">
    <mergeCell ref="A62:B62"/>
    <mergeCell ref="A63:B63"/>
    <mergeCell ref="A64:B64"/>
    <mergeCell ref="A67:B67"/>
    <mergeCell ref="I55:I56"/>
    <mergeCell ref="J55:J56"/>
    <mergeCell ref="A56:B56"/>
    <mergeCell ref="A60:B60"/>
    <mergeCell ref="A61:B61"/>
    <mergeCell ref="A48:B48"/>
    <mergeCell ref="A49:B49"/>
    <mergeCell ref="A54:B54"/>
    <mergeCell ref="A55:B55"/>
    <mergeCell ref="H55:H56"/>
    <mergeCell ref="C7:G7"/>
    <mergeCell ref="A40:B40"/>
    <mergeCell ref="A41:B41"/>
    <mergeCell ref="A46:B46"/>
    <mergeCell ref="A47:B47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2:J75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6.1406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214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483</v>
      </c>
    </row>
    <row r="7" spans="1:10" x14ac:dyDescent="0.25">
      <c r="C7" s="28" t="s">
        <v>5</v>
      </c>
      <c r="D7" s="29"/>
      <c r="E7" s="29"/>
      <c r="F7" s="29"/>
      <c r="G7" s="29"/>
    </row>
    <row r="8" spans="1:10" x14ac:dyDescent="0.25">
      <c r="A8" s="25" t="s">
        <v>6</v>
      </c>
      <c r="B8" s="25" t="s">
        <v>7</v>
      </c>
      <c r="C8" s="27" t="s">
        <v>8</v>
      </c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</row>
    <row r="9" spans="1:10" x14ac:dyDescent="0.25">
      <c r="A9" s="1" t="s">
        <v>16</v>
      </c>
      <c r="B9" s="1" t="s">
        <v>19</v>
      </c>
      <c r="C9" s="10">
        <v>14160</v>
      </c>
      <c r="D9" s="10"/>
      <c r="E9" s="10"/>
      <c r="F9" s="10"/>
      <c r="G9" s="10">
        <f t="shared" ref="G9:G34" si="0">SUM(C9:F9)</f>
        <v>14160</v>
      </c>
      <c r="H9" s="16">
        <f t="shared" ref="H9:H34" si="1">ROUND(G9/483,2)</f>
        <v>29.32</v>
      </c>
      <c r="I9" s="15">
        <f t="shared" ref="I9:I34" si="2">ROUND(G9/$G$35,3)</f>
        <v>8.3000000000000004E-2</v>
      </c>
      <c r="J9" s="15">
        <f>ROUND(G9/12550-1,2)</f>
        <v>0.13</v>
      </c>
    </row>
    <row r="10" spans="1:10" x14ac:dyDescent="0.25">
      <c r="A10" s="1" t="s">
        <v>16</v>
      </c>
      <c r="B10" s="1" t="s">
        <v>20</v>
      </c>
      <c r="C10" s="10">
        <v>20540</v>
      </c>
      <c r="D10" s="10"/>
      <c r="E10" s="10"/>
      <c r="F10" s="10"/>
      <c r="G10" s="10">
        <f t="shared" si="0"/>
        <v>20540</v>
      </c>
      <c r="H10" s="16">
        <f t="shared" si="1"/>
        <v>42.53</v>
      </c>
      <c r="I10" s="15">
        <f t="shared" si="2"/>
        <v>0.12</v>
      </c>
      <c r="J10" s="15">
        <f>ROUND(G10/20180-1,2)</f>
        <v>0.02</v>
      </c>
    </row>
    <row r="11" spans="1:10" x14ac:dyDescent="0.25">
      <c r="A11" s="1" t="s">
        <v>16</v>
      </c>
      <c r="B11" s="1" t="s">
        <v>21</v>
      </c>
      <c r="C11" s="10"/>
      <c r="D11" s="10"/>
      <c r="E11" s="10">
        <v>50</v>
      </c>
      <c r="F11" s="10"/>
      <c r="G11" s="10">
        <f t="shared" si="0"/>
        <v>50</v>
      </c>
      <c r="H11" s="16">
        <f t="shared" si="1"/>
        <v>0.1</v>
      </c>
      <c r="I11" s="15">
        <f t="shared" si="2"/>
        <v>0</v>
      </c>
      <c r="J11" s="15">
        <f>ROUND(G11/67-1,2)</f>
        <v>-0.25</v>
      </c>
    </row>
    <row r="12" spans="1:10" x14ac:dyDescent="0.25">
      <c r="A12" s="1" t="s">
        <v>16</v>
      </c>
      <c r="B12" s="1" t="s">
        <v>22</v>
      </c>
      <c r="C12" s="10"/>
      <c r="D12" s="10"/>
      <c r="E12" s="10">
        <v>700</v>
      </c>
      <c r="F12" s="10"/>
      <c r="G12" s="10">
        <f t="shared" si="0"/>
        <v>700</v>
      </c>
      <c r="H12" s="16">
        <f t="shared" si="1"/>
        <v>1.45</v>
      </c>
      <c r="I12" s="15">
        <f t="shared" si="2"/>
        <v>4.0000000000000001E-3</v>
      </c>
      <c r="J12" s="15">
        <f>ROUND(G12/840-1,2)</f>
        <v>-0.17</v>
      </c>
    </row>
    <row r="13" spans="1:10" x14ac:dyDescent="0.25">
      <c r="A13" s="1" t="s">
        <v>16</v>
      </c>
      <c r="B13" s="1" t="s">
        <v>24</v>
      </c>
      <c r="C13" s="10">
        <v>17590</v>
      </c>
      <c r="D13" s="10"/>
      <c r="E13" s="10"/>
      <c r="F13" s="10"/>
      <c r="G13" s="10">
        <f t="shared" si="0"/>
        <v>17590</v>
      </c>
      <c r="H13" s="16">
        <f t="shared" si="1"/>
        <v>36.42</v>
      </c>
      <c r="I13" s="15">
        <f t="shared" si="2"/>
        <v>0.10299999999999999</v>
      </c>
      <c r="J13" s="15">
        <f>ROUND(G13/17290-1,2)</f>
        <v>0.02</v>
      </c>
    </row>
    <row r="14" spans="1:10" x14ac:dyDescent="0.25">
      <c r="A14" s="1" t="s">
        <v>16</v>
      </c>
      <c r="B14" s="1" t="s">
        <v>25</v>
      </c>
      <c r="C14" s="10"/>
      <c r="D14" s="10"/>
      <c r="E14" s="10">
        <v>1190</v>
      </c>
      <c r="F14" s="10"/>
      <c r="G14" s="10">
        <f t="shared" si="0"/>
        <v>1190</v>
      </c>
      <c r="H14" s="16">
        <f t="shared" si="1"/>
        <v>2.46</v>
      </c>
      <c r="I14" s="15">
        <f t="shared" si="2"/>
        <v>7.0000000000000001E-3</v>
      </c>
      <c r="J14" s="15"/>
    </row>
    <row r="15" spans="1:10" x14ac:dyDescent="0.25">
      <c r="A15" s="1" t="s">
        <v>16</v>
      </c>
      <c r="B15" s="1" t="s">
        <v>26</v>
      </c>
      <c r="C15" s="10">
        <v>12760</v>
      </c>
      <c r="D15" s="10"/>
      <c r="E15" s="10"/>
      <c r="F15" s="10">
        <v>220</v>
      </c>
      <c r="G15" s="10">
        <f t="shared" si="0"/>
        <v>12980</v>
      </c>
      <c r="H15" s="16">
        <f t="shared" si="1"/>
        <v>26.87</v>
      </c>
      <c r="I15" s="15">
        <f t="shared" si="2"/>
        <v>7.5999999999999998E-2</v>
      </c>
      <c r="J15" s="15">
        <f>ROUND(G15/12160-1,2)</f>
        <v>7.0000000000000007E-2</v>
      </c>
    </row>
    <row r="16" spans="1:10" x14ac:dyDescent="0.25">
      <c r="A16" s="1" t="s">
        <v>16</v>
      </c>
      <c r="B16" s="1" t="s">
        <v>29</v>
      </c>
      <c r="C16" s="10"/>
      <c r="D16" s="10"/>
      <c r="E16" s="10">
        <v>480</v>
      </c>
      <c r="F16" s="10"/>
      <c r="G16" s="10">
        <f t="shared" si="0"/>
        <v>480</v>
      </c>
      <c r="H16" s="16">
        <f t="shared" si="1"/>
        <v>0.99</v>
      </c>
      <c r="I16" s="15">
        <f t="shared" si="2"/>
        <v>3.0000000000000001E-3</v>
      </c>
      <c r="J16" s="15">
        <f>ROUND(G16/1550-1,2)</f>
        <v>-0.69</v>
      </c>
    </row>
    <row r="17" spans="1:10" x14ac:dyDescent="0.25">
      <c r="A17" s="1" t="s">
        <v>16</v>
      </c>
      <c r="B17" s="1" t="s">
        <v>30</v>
      </c>
      <c r="C17" s="10"/>
      <c r="D17" s="10"/>
      <c r="E17" s="10">
        <v>410</v>
      </c>
      <c r="F17" s="10"/>
      <c r="G17" s="10">
        <f t="shared" si="0"/>
        <v>410</v>
      </c>
      <c r="H17" s="16">
        <f t="shared" si="1"/>
        <v>0.85</v>
      </c>
      <c r="I17" s="15">
        <f t="shared" si="2"/>
        <v>2E-3</v>
      </c>
      <c r="J17" s="15"/>
    </row>
    <row r="18" spans="1:10" x14ac:dyDescent="0.25">
      <c r="A18" s="1" t="s">
        <v>16</v>
      </c>
      <c r="B18" s="1" t="s">
        <v>32</v>
      </c>
      <c r="C18" s="10"/>
      <c r="D18" s="10"/>
      <c r="E18" s="10">
        <v>540</v>
      </c>
      <c r="F18" s="10"/>
      <c r="G18" s="10">
        <f t="shared" si="0"/>
        <v>540</v>
      </c>
      <c r="H18" s="16">
        <f t="shared" si="1"/>
        <v>1.1200000000000001</v>
      </c>
      <c r="I18" s="15">
        <f t="shared" si="2"/>
        <v>3.0000000000000001E-3</v>
      </c>
      <c r="J18" s="15">
        <f>ROUND(G18/1015-1,2)</f>
        <v>-0.47</v>
      </c>
    </row>
    <row r="19" spans="1:10" x14ac:dyDescent="0.25">
      <c r="A19" s="1" t="s">
        <v>16</v>
      </c>
      <c r="B19" s="1" t="s">
        <v>33</v>
      </c>
      <c r="C19" s="10"/>
      <c r="D19" s="10">
        <v>55</v>
      </c>
      <c r="E19" s="10">
        <v>24</v>
      </c>
      <c r="F19" s="10"/>
      <c r="G19" s="10">
        <f t="shared" si="0"/>
        <v>79</v>
      </c>
      <c r="H19" s="16">
        <f t="shared" si="1"/>
        <v>0.16</v>
      </c>
      <c r="I19" s="15">
        <f t="shared" si="2"/>
        <v>0</v>
      </c>
      <c r="J19" s="15">
        <f>ROUND(G19/46-1,2)</f>
        <v>0.72</v>
      </c>
    </row>
    <row r="20" spans="1:10" x14ac:dyDescent="0.25">
      <c r="A20" s="1" t="s">
        <v>16</v>
      </c>
      <c r="B20" s="1" t="s">
        <v>34</v>
      </c>
      <c r="C20" s="10"/>
      <c r="D20" s="10"/>
      <c r="E20" s="10">
        <v>540</v>
      </c>
      <c r="F20" s="10"/>
      <c r="G20" s="10">
        <f t="shared" si="0"/>
        <v>540</v>
      </c>
      <c r="H20" s="16">
        <f t="shared" si="1"/>
        <v>1.1200000000000001</v>
      </c>
      <c r="I20" s="15">
        <f t="shared" si="2"/>
        <v>3.0000000000000001E-3</v>
      </c>
      <c r="J20" s="15"/>
    </row>
    <row r="21" spans="1:10" x14ac:dyDescent="0.25">
      <c r="A21" s="1" t="s">
        <v>16</v>
      </c>
      <c r="B21" s="1" t="s">
        <v>35</v>
      </c>
      <c r="C21" s="10"/>
      <c r="D21" s="10">
        <v>160</v>
      </c>
      <c r="E21" s="10"/>
      <c r="F21" s="10"/>
      <c r="G21" s="10">
        <f t="shared" si="0"/>
        <v>160</v>
      </c>
      <c r="H21" s="16">
        <f t="shared" si="1"/>
        <v>0.33</v>
      </c>
      <c r="I21" s="15">
        <f t="shared" si="2"/>
        <v>1E-3</v>
      </c>
      <c r="J21" s="15"/>
    </row>
    <row r="22" spans="1:10" x14ac:dyDescent="0.25">
      <c r="A22" s="1" t="s">
        <v>16</v>
      </c>
      <c r="B22" s="1" t="s">
        <v>37</v>
      </c>
      <c r="C22" s="10"/>
      <c r="D22" s="10"/>
      <c r="E22" s="10">
        <v>690</v>
      </c>
      <c r="F22" s="10"/>
      <c r="G22" s="10">
        <f t="shared" si="0"/>
        <v>690</v>
      </c>
      <c r="H22" s="16">
        <f t="shared" si="1"/>
        <v>1.43</v>
      </c>
      <c r="I22" s="15">
        <f t="shared" si="2"/>
        <v>4.0000000000000001E-3</v>
      </c>
      <c r="J22" s="15">
        <f>ROUND(G22/500-1,2)</f>
        <v>0.38</v>
      </c>
    </row>
    <row r="23" spans="1:10" x14ac:dyDescent="0.25">
      <c r="A23" s="1" t="s">
        <v>16</v>
      </c>
      <c r="B23" s="1" t="s">
        <v>38</v>
      </c>
      <c r="C23" s="10"/>
      <c r="D23" s="10"/>
      <c r="E23" s="10">
        <v>24295</v>
      </c>
      <c r="F23" s="10"/>
      <c r="G23" s="10">
        <f t="shared" si="0"/>
        <v>24295</v>
      </c>
      <c r="H23" s="16">
        <f t="shared" si="1"/>
        <v>50.3</v>
      </c>
      <c r="I23" s="15">
        <f t="shared" si="2"/>
        <v>0.14199999999999999</v>
      </c>
      <c r="J23" s="15">
        <f>ROUND(G23/18190-1,2)</f>
        <v>0.34</v>
      </c>
    </row>
    <row r="24" spans="1:10" x14ac:dyDescent="0.25">
      <c r="A24" s="1" t="s">
        <v>16</v>
      </c>
      <c r="B24" s="1" t="s">
        <v>39</v>
      </c>
      <c r="C24" s="10"/>
      <c r="D24" s="10"/>
      <c r="E24" s="10">
        <v>1410</v>
      </c>
      <c r="F24" s="10"/>
      <c r="G24" s="10">
        <f t="shared" si="0"/>
        <v>1410</v>
      </c>
      <c r="H24" s="16">
        <f t="shared" si="1"/>
        <v>2.92</v>
      </c>
      <c r="I24" s="15">
        <f t="shared" si="2"/>
        <v>8.0000000000000002E-3</v>
      </c>
      <c r="J24" s="15">
        <f>ROUND(G24/3610-1,2)</f>
        <v>-0.61</v>
      </c>
    </row>
    <row r="25" spans="1:10" x14ac:dyDescent="0.25">
      <c r="A25" s="1" t="s">
        <v>16</v>
      </c>
      <c r="B25" s="1" t="s">
        <v>40</v>
      </c>
      <c r="C25" s="10"/>
      <c r="D25" s="10"/>
      <c r="E25" s="10">
        <v>9140</v>
      </c>
      <c r="F25" s="10"/>
      <c r="G25" s="10">
        <f t="shared" si="0"/>
        <v>9140</v>
      </c>
      <c r="H25" s="16">
        <f t="shared" si="1"/>
        <v>18.920000000000002</v>
      </c>
      <c r="I25" s="15">
        <f t="shared" si="2"/>
        <v>5.2999999999999999E-2</v>
      </c>
      <c r="J25" s="15">
        <f>ROUND(G25/7340-1,2)</f>
        <v>0.25</v>
      </c>
    </row>
    <row r="26" spans="1:10" x14ac:dyDescent="0.25">
      <c r="A26" s="1" t="s">
        <v>16</v>
      </c>
      <c r="B26" s="1" t="s">
        <v>41</v>
      </c>
      <c r="C26" s="10"/>
      <c r="D26" s="10"/>
      <c r="E26" s="10"/>
      <c r="F26" s="10">
        <v>11820</v>
      </c>
      <c r="G26" s="10">
        <f t="shared" si="0"/>
        <v>11820</v>
      </c>
      <c r="H26" s="16">
        <f t="shared" si="1"/>
        <v>24.47</v>
      </c>
      <c r="I26" s="15">
        <f t="shared" si="2"/>
        <v>6.9000000000000006E-2</v>
      </c>
      <c r="J26" s="15"/>
    </row>
    <row r="27" spans="1:10" x14ac:dyDescent="0.25">
      <c r="A27" s="1" t="s">
        <v>16</v>
      </c>
      <c r="B27" s="1" t="s">
        <v>36</v>
      </c>
      <c r="C27" s="10"/>
      <c r="D27" s="10"/>
      <c r="E27" s="10"/>
      <c r="F27" s="10"/>
      <c r="G27" s="10">
        <f t="shared" si="0"/>
        <v>0</v>
      </c>
      <c r="H27" s="16">
        <f t="shared" si="1"/>
        <v>0</v>
      </c>
      <c r="I27" s="15">
        <f t="shared" si="2"/>
        <v>0</v>
      </c>
      <c r="J27" s="15">
        <f>ROUND(G27/663-1,2)</f>
        <v>-1</v>
      </c>
    </row>
    <row r="28" spans="1:10" x14ac:dyDescent="0.25">
      <c r="A28" s="1" t="s">
        <v>16</v>
      </c>
      <c r="B28" s="1" t="s">
        <v>43</v>
      </c>
      <c r="C28" s="10"/>
      <c r="D28" s="10"/>
      <c r="E28" s="10"/>
      <c r="F28" s="10"/>
      <c r="G28" s="10">
        <f t="shared" si="0"/>
        <v>0</v>
      </c>
      <c r="H28" s="16">
        <f t="shared" si="1"/>
        <v>0</v>
      </c>
      <c r="I28" s="15">
        <f t="shared" si="2"/>
        <v>0</v>
      </c>
      <c r="J28" s="15">
        <f>ROUND(G28/2040-1,2)</f>
        <v>-1</v>
      </c>
    </row>
    <row r="29" spans="1:10" x14ac:dyDescent="0.25">
      <c r="A29" s="1" t="s">
        <v>16</v>
      </c>
      <c r="B29" s="1" t="s">
        <v>17</v>
      </c>
      <c r="C29" s="10"/>
      <c r="D29" s="10"/>
      <c r="E29" s="10"/>
      <c r="F29" s="10"/>
      <c r="G29" s="10">
        <f t="shared" si="0"/>
        <v>0</v>
      </c>
      <c r="H29" s="16">
        <f t="shared" si="1"/>
        <v>0</v>
      </c>
      <c r="I29" s="15">
        <f t="shared" si="2"/>
        <v>0</v>
      </c>
      <c r="J29" s="15"/>
    </row>
    <row r="30" spans="1:10" x14ac:dyDescent="0.25">
      <c r="A30" s="1" t="s">
        <v>16</v>
      </c>
      <c r="B30" s="1" t="s">
        <v>23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/>
    </row>
    <row r="31" spans="1:10" x14ac:dyDescent="0.25">
      <c r="A31" s="1" t="s">
        <v>16</v>
      </c>
      <c r="B31" s="1" t="s">
        <v>31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>
        <f>ROUND(G31/270-1,2)</f>
        <v>-1</v>
      </c>
    </row>
    <row r="32" spans="1:10" x14ac:dyDescent="0.25">
      <c r="A32" s="1" t="s">
        <v>16</v>
      </c>
      <c r="B32" s="1" t="s">
        <v>42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/>
    </row>
    <row r="33" spans="1:10" x14ac:dyDescent="0.25">
      <c r="A33" s="1" t="s">
        <v>44</v>
      </c>
      <c r="B33" s="1" t="s">
        <v>45</v>
      </c>
      <c r="C33" s="10">
        <v>41660</v>
      </c>
      <c r="D33" s="10"/>
      <c r="E33" s="10"/>
      <c r="F33" s="10">
        <v>140</v>
      </c>
      <c r="G33" s="10">
        <f t="shared" si="0"/>
        <v>41800</v>
      </c>
      <c r="H33" s="16">
        <f t="shared" si="1"/>
        <v>86.54</v>
      </c>
      <c r="I33" s="15">
        <f t="shared" si="2"/>
        <v>0.24399999999999999</v>
      </c>
      <c r="J33" s="15">
        <f>ROUND(G33/55080-1,2)</f>
        <v>-0.24</v>
      </c>
    </row>
    <row r="34" spans="1:10" x14ac:dyDescent="0.25">
      <c r="A34" s="1" t="s">
        <v>44</v>
      </c>
      <c r="B34" s="1" t="s">
        <v>46</v>
      </c>
      <c r="C34" s="10"/>
      <c r="D34" s="10"/>
      <c r="E34" s="10">
        <v>12660</v>
      </c>
      <c r="F34" s="10"/>
      <c r="G34" s="10">
        <f t="shared" si="0"/>
        <v>12660</v>
      </c>
      <c r="H34" s="16">
        <f t="shared" si="1"/>
        <v>26.21</v>
      </c>
      <c r="I34" s="15">
        <f t="shared" si="2"/>
        <v>7.3999999999999996E-2</v>
      </c>
      <c r="J34" s="15">
        <f>ROUND(G34/7560-1,2)</f>
        <v>0.67</v>
      </c>
    </row>
    <row r="35" spans="1:10" x14ac:dyDescent="0.25">
      <c r="A35" s="30" t="s">
        <v>12</v>
      </c>
      <c r="B35" s="30"/>
      <c r="C35" s="11">
        <f t="shared" ref="C35:H35" si="3">SUM(C8:C34)</f>
        <v>106710</v>
      </c>
      <c r="D35" s="11">
        <f t="shared" si="3"/>
        <v>215</v>
      </c>
      <c r="E35" s="11">
        <f t="shared" si="3"/>
        <v>52129</v>
      </c>
      <c r="F35" s="11">
        <f t="shared" si="3"/>
        <v>12180</v>
      </c>
      <c r="G35" s="11">
        <f t="shared" si="3"/>
        <v>171234</v>
      </c>
      <c r="H35" s="14">
        <f t="shared" si="3"/>
        <v>354.50999999999993</v>
      </c>
      <c r="I35" s="17"/>
      <c r="J35" s="17"/>
    </row>
    <row r="36" spans="1:10" x14ac:dyDescent="0.25">
      <c r="A36" s="30" t="s">
        <v>14</v>
      </c>
      <c r="B36" s="30"/>
      <c r="C36" s="12">
        <f>ROUND(C35/G35,2)</f>
        <v>0.62</v>
      </c>
      <c r="D36" s="12">
        <f>ROUND(D35/G35,2)</f>
        <v>0</v>
      </c>
      <c r="E36" s="12">
        <f>ROUND(E35/G35,2)</f>
        <v>0.3</v>
      </c>
      <c r="F36" s="12">
        <f>ROUND(F35/G35,2)</f>
        <v>7.0000000000000007E-2</v>
      </c>
      <c r="G36" s="13"/>
      <c r="H36" s="13"/>
      <c r="I36" s="17"/>
      <c r="J36" s="17"/>
    </row>
    <row r="37" spans="1:10" x14ac:dyDescent="0.25">
      <c r="A37" s="2" t="s">
        <v>52</v>
      </c>
      <c r="B37" s="2"/>
      <c r="C37" s="13"/>
      <c r="D37" s="13"/>
      <c r="E37" s="13"/>
      <c r="F37" s="13"/>
      <c r="G37" s="13"/>
      <c r="H37" s="13"/>
      <c r="I37" s="17"/>
      <c r="J37" s="17"/>
    </row>
    <row r="38" spans="1:10" x14ac:dyDescent="0.25">
      <c r="C38" s="8"/>
      <c r="D38" s="8"/>
      <c r="E38" s="8"/>
      <c r="F38" s="8"/>
      <c r="G38" s="8"/>
      <c r="H38" s="8"/>
      <c r="I38" s="9"/>
      <c r="J38" s="9"/>
    </row>
    <row r="39" spans="1:10" x14ac:dyDescent="0.25">
      <c r="C39" s="8"/>
      <c r="D39" s="8"/>
      <c r="E39" s="8"/>
      <c r="F39" s="8"/>
      <c r="G39" s="8"/>
      <c r="H39" s="8"/>
      <c r="I39" s="9"/>
      <c r="J39" s="9"/>
    </row>
    <row r="40" spans="1:10" x14ac:dyDescent="0.25">
      <c r="C40" s="8"/>
      <c r="D40" s="8"/>
      <c r="E40" s="8"/>
      <c r="F40" s="8"/>
      <c r="G40" s="8"/>
      <c r="H40" s="8"/>
      <c r="I40" s="9"/>
      <c r="J40" s="9"/>
    </row>
    <row r="41" spans="1:10" x14ac:dyDescent="0.25">
      <c r="A41" s="30" t="s">
        <v>53</v>
      </c>
      <c r="B41" s="30"/>
      <c r="C41" s="11" t="s">
        <v>8</v>
      </c>
      <c r="D41" s="11" t="s">
        <v>9</v>
      </c>
      <c r="E41" s="11" t="s">
        <v>10</v>
      </c>
      <c r="F41" s="11" t="s">
        <v>11</v>
      </c>
      <c r="G41" s="11" t="s">
        <v>12</v>
      </c>
      <c r="H41" s="14" t="s">
        <v>13</v>
      </c>
      <c r="I41" s="17"/>
      <c r="J41" s="17"/>
    </row>
    <row r="42" spans="1:10" x14ac:dyDescent="0.25">
      <c r="A42" s="29" t="s">
        <v>54</v>
      </c>
      <c r="B42" s="29"/>
      <c r="C42" s="10">
        <v>65050</v>
      </c>
      <c r="D42" s="10">
        <v>215</v>
      </c>
      <c r="E42" s="10">
        <v>39469</v>
      </c>
      <c r="F42" s="10">
        <v>12040</v>
      </c>
      <c r="G42" s="10">
        <f>SUM(C42:F42)</f>
        <v>116774</v>
      </c>
      <c r="H42" s="16">
        <f>ROUND(G42/483,2)</f>
        <v>241.77</v>
      </c>
      <c r="I42" s="9"/>
      <c r="J42" s="9"/>
    </row>
    <row r="43" spans="1:10" x14ac:dyDescent="0.25">
      <c r="A43" s="29" t="s">
        <v>55</v>
      </c>
      <c r="B43" s="29"/>
      <c r="C43" s="10">
        <v>41660</v>
      </c>
      <c r="D43" s="10">
        <v>0</v>
      </c>
      <c r="E43" s="10">
        <v>12660</v>
      </c>
      <c r="F43" s="10">
        <v>140</v>
      </c>
      <c r="G43" s="10">
        <f>SUM(C43:F43)</f>
        <v>54460</v>
      </c>
      <c r="H43" s="16">
        <f>ROUND(G43/483,2)</f>
        <v>112.75</v>
      </c>
      <c r="I43" s="9"/>
      <c r="J43" s="9"/>
    </row>
    <row r="44" spans="1:10" x14ac:dyDescent="0.25">
      <c r="A44" s="29" t="s">
        <v>56</v>
      </c>
      <c r="B44" s="29"/>
      <c r="C44" s="10"/>
      <c r="D44" s="10"/>
      <c r="E44" s="10"/>
      <c r="F44" s="10"/>
      <c r="G44" s="10">
        <f>SUM(C44:F44)</f>
        <v>0</v>
      </c>
      <c r="H44" s="16">
        <f>ROUND(G44/483,2)</f>
        <v>0</v>
      </c>
      <c r="I44" s="9"/>
      <c r="J44" s="9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A49" s="30" t="s">
        <v>57</v>
      </c>
      <c r="B49" s="30"/>
      <c r="C49" s="14" t="s">
        <v>2</v>
      </c>
      <c r="D49" s="14">
        <v>2023</v>
      </c>
      <c r="E49" s="14" t="s">
        <v>59</v>
      </c>
      <c r="F49" s="13"/>
      <c r="G49" s="14" t="s">
        <v>60</v>
      </c>
      <c r="H49" s="14" t="s">
        <v>2</v>
      </c>
      <c r="I49" s="12" t="s">
        <v>61</v>
      </c>
      <c r="J49" s="12" t="s">
        <v>59</v>
      </c>
    </row>
    <row r="50" spans="1:10" x14ac:dyDescent="0.25">
      <c r="A50" s="29" t="s">
        <v>58</v>
      </c>
      <c r="B50" s="29"/>
      <c r="C50" s="15">
        <f>ROUND(0.7469, 4)</f>
        <v>0.74690000000000001</v>
      </c>
      <c r="D50" s="15">
        <f>ROUND(0.6509, 4)</f>
        <v>0.65090000000000003</v>
      </c>
      <c r="E50" s="15">
        <f>ROUND(0.777, 4)</f>
        <v>0.77700000000000002</v>
      </c>
      <c r="F50" s="8"/>
      <c r="G50" s="14" t="s">
        <v>62</v>
      </c>
      <c r="H50" s="33" t="s">
        <v>63</v>
      </c>
      <c r="I50" s="31" t="s">
        <v>64</v>
      </c>
      <c r="J50" s="31" t="s">
        <v>65</v>
      </c>
    </row>
    <row r="51" spans="1:10" x14ac:dyDescent="0.25">
      <c r="A51" s="29" t="s">
        <v>66</v>
      </c>
      <c r="B51" s="29"/>
      <c r="C51" s="15">
        <f>ROUND(0.7362, 4)</f>
        <v>0.73619999999999997</v>
      </c>
      <c r="D51" s="15">
        <f>ROUND(0.6408, 4)</f>
        <v>0.64080000000000004</v>
      </c>
      <c r="E51" s="15">
        <f>ROUND(0.7608, 4)</f>
        <v>0.76080000000000003</v>
      </c>
      <c r="F51" s="8"/>
      <c r="G51" s="14" t="s">
        <v>67</v>
      </c>
      <c r="H51" s="34"/>
      <c r="I51" s="32"/>
      <c r="J51" s="32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A55" s="30" t="s">
        <v>68</v>
      </c>
      <c r="B55" s="30"/>
      <c r="C55" s="14" t="s">
        <v>2</v>
      </c>
      <c r="D55" s="14" t="s">
        <v>215</v>
      </c>
      <c r="E55" s="14" t="s">
        <v>70</v>
      </c>
      <c r="F55" s="14" t="s">
        <v>71</v>
      </c>
      <c r="G55" s="14" t="s">
        <v>72</v>
      </c>
      <c r="H55" s="13"/>
      <c r="I55" s="17"/>
      <c r="J55" s="17"/>
    </row>
    <row r="56" spans="1:10" x14ac:dyDescent="0.25">
      <c r="A56" s="29" t="s">
        <v>73</v>
      </c>
      <c r="B56" s="29"/>
      <c r="C56" s="16">
        <v>86.54</v>
      </c>
      <c r="D56" s="16">
        <v>104.61</v>
      </c>
      <c r="E56" s="16">
        <v>93.87</v>
      </c>
      <c r="F56" s="16">
        <v>57.16</v>
      </c>
      <c r="G56" s="16">
        <f>12/12*C56</f>
        <v>86.54</v>
      </c>
      <c r="H56" s="8"/>
      <c r="I56" s="9"/>
      <c r="J56" s="9"/>
    </row>
    <row r="57" spans="1:10" x14ac:dyDescent="0.25">
      <c r="A57" s="29" t="s">
        <v>74</v>
      </c>
      <c r="B57" s="29"/>
      <c r="C57" s="16">
        <v>26.87</v>
      </c>
      <c r="D57" s="16">
        <v>29.58</v>
      </c>
      <c r="E57" s="16">
        <v>62.84</v>
      </c>
      <c r="F57" s="16">
        <v>65.39</v>
      </c>
      <c r="G57" s="22">
        <f>12/12*C57</f>
        <v>26.87</v>
      </c>
      <c r="H57" s="8"/>
      <c r="I57" s="9"/>
      <c r="J57" s="9"/>
    </row>
    <row r="58" spans="1:10" x14ac:dyDescent="0.25">
      <c r="A58" s="29" t="s">
        <v>75</v>
      </c>
      <c r="B58" s="29"/>
      <c r="C58" s="16">
        <v>241.77</v>
      </c>
      <c r="D58" s="16">
        <v>244.55</v>
      </c>
      <c r="E58" s="16">
        <v>295.08999999999997</v>
      </c>
      <c r="F58" s="16">
        <v>289.06</v>
      </c>
      <c r="G58" s="22">
        <f>12/12*C58</f>
        <v>241.77</v>
      </c>
      <c r="H58" s="8"/>
      <c r="I58" s="9"/>
      <c r="J58" s="9"/>
    </row>
    <row r="59" spans="1:10" x14ac:dyDescent="0.25">
      <c r="A59" s="29" t="s">
        <v>76</v>
      </c>
      <c r="B59" s="29"/>
      <c r="C59" s="16">
        <v>112.75</v>
      </c>
      <c r="D59" s="16">
        <v>122.53</v>
      </c>
      <c r="E59" s="16">
        <v>118.05</v>
      </c>
      <c r="F59" s="16">
        <v>81.41</v>
      </c>
      <c r="G59" s="16">
        <f>12/12*C59</f>
        <v>112.75</v>
      </c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A62" s="28" t="s">
        <v>60</v>
      </c>
      <c r="B62" s="35"/>
      <c r="C62" s="8"/>
      <c r="D62" s="8"/>
      <c r="E62" s="8"/>
      <c r="F62" s="8"/>
      <c r="G62" s="8"/>
      <c r="H62" s="8"/>
      <c r="I62" s="9"/>
      <c r="J62" s="9"/>
    </row>
    <row r="63" spans="1:10" x14ac:dyDescent="0.25">
      <c r="A63" s="3" t="s">
        <v>77</v>
      </c>
      <c r="B63" s="1" t="s">
        <v>216</v>
      </c>
      <c r="C63" s="8"/>
      <c r="D63" s="8"/>
      <c r="E63" s="8"/>
      <c r="F63" s="8"/>
      <c r="G63" s="8"/>
      <c r="H63" s="8"/>
      <c r="I63" s="9"/>
      <c r="J63" s="9"/>
    </row>
    <row r="64" spans="1:10" x14ac:dyDescent="0.25">
      <c r="A64" s="3" t="s">
        <v>70</v>
      </c>
      <c r="B64" s="1" t="s">
        <v>79</v>
      </c>
      <c r="C64" s="8"/>
      <c r="D64" s="8"/>
      <c r="E64" s="8"/>
      <c r="F64" s="8"/>
      <c r="G64" s="8"/>
      <c r="H64" s="8"/>
      <c r="I64" s="9"/>
      <c r="J64" s="9"/>
    </row>
    <row r="65" spans="1:10" x14ac:dyDescent="0.25">
      <c r="A65" s="3" t="s">
        <v>71</v>
      </c>
      <c r="B65" s="1" t="s">
        <v>80</v>
      </c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3" t="s">
        <v>72</v>
      </c>
      <c r="B66" s="1" t="s">
        <v>81</v>
      </c>
      <c r="C66" s="8"/>
      <c r="D66" s="8"/>
      <c r="E66" s="8"/>
      <c r="F66" s="8"/>
      <c r="G66" s="8"/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C68" s="8"/>
      <c r="D68" s="8"/>
      <c r="E68" s="8"/>
      <c r="F68" s="8"/>
      <c r="G68" s="8"/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  <row r="71" spans="1:10" x14ac:dyDescent="0.25"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</sheetData>
  <mergeCells count="19">
    <mergeCell ref="A57:B57"/>
    <mergeCell ref="A58:B58"/>
    <mergeCell ref="A59:B59"/>
    <mergeCell ref="A62:B62"/>
    <mergeCell ref="I50:I51"/>
    <mergeCell ref="J50:J51"/>
    <mergeCell ref="A51:B51"/>
    <mergeCell ref="A55:B55"/>
    <mergeCell ref="A56:B56"/>
    <mergeCell ref="A43:B43"/>
    <mergeCell ref="A44:B44"/>
    <mergeCell ref="A49:B49"/>
    <mergeCell ref="A50:B50"/>
    <mergeCell ref="H50:H51"/>
    <mergeCell ref="C7:G7"/>
    <mergeCell ref="A35:B35"/>
    <mergeCell ref="A36:B36"/>
    <mergeCell ref="A41:B41"/>
    <mergeCell ref="A42:B42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J75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8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217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4801</v>
      </c>
    </row>
    <row r="7" spans="1:10" x14ac:dyDescent="0.25">
      <c r="C7" s="28" t="s">
        <v>5</v>
      </c>
      <c r="D7" s="29"/>
      <c r="E7" s="29"/>
      <c r="F7" s="29"/>
      <c r="G7" s="29"/>
    </row>
    <row r="8" spans="1:10" x14ac:dyDescent="0.25">
      <c r="A8" s="25" t="s">
        <v>6</v>
      </c>
      <c r="B8" s="25" t="s">
        <v>7</v>
      </c>
      <c r="C8" s="27" t="s">
        <v>8</v>
      </c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</row>
    <row r="9" spans="1:10" x14ac:dyDescent="0.25">
      <c r="A9" s="1" t="s">
        <v>48</v>
      </c>
      <c r="B9" s="1" t="s">
        <v>49</v>
      </c>
      <c r="C9" s="10"/>
      <c r="D9" s="10"/>
      <c r="E9" s="10"/>
      <c r="F9" s="10">
        <v>438</v>
      </c>
      <c r="G9" s="10">
        <f t="shared" ref="G9:G43" si="0">SUM(C9:F9)</f>
        <v>438</v>
      </c>
      <c r="H9" s="16">
        <f t="shared" ref="H9:H43" si="1">ROUND(G9/4801,2)</f>
        <v>0.09</v>
      </c>
      <c r="I9" s="15">
        <f t="shared" ref="I9:I43" si="2">ROUND(G9/$G$44,3)</f>
        <v>0</v>
      </c>
      <c r="J9" s="15">
        <f>ROUND(G9/2200-1,2)</f>
        <v>-0.8</v>
      </c>
    </row>
    <row r="10" spans="1:10" x14ac:dyDescent="0.25">
      <c r="A10" s="1" t="s">
        <v>48</v>
      </c>
      <c r="B10" s="1" t="s">
        <v>51</v>
      </c>
      <c r="C10" s="10"/>
      <c r="D10" s="10"/>
      <c r="E10" s="10"/>
      <c r="F10" s="10"/>
      <c r="G10" s="10">
        <f t="shared" si="0"/>
        <v>0</v>
      </c>
      <c r="H10" s="16">
        <f t="shared" si="1"/>
        <v>0</v>
      </c>
      <c r="I10" s="15">
        <f t="shared" si="2"/>
        <v>0</v>
      </c>
      <c r="J10" s="15"/>
    </row>
    <row r="11" spans="1:10" x14ac:dyDescent="0.25">
      <c r="A11" s="1" t="s">
        <v>16</v>
      </c>
      <c r="B11" s="1" t="s">
        <v>17</v>
      </c>
      <c r="C11" s="10"/>
      <c r="D11" s="10"/>
      <c r="E11" s="10">
        <v>100</v>
      </c>
      <c r="F11" s="10"/>
      <c r="G11" s="10">
        <f t="shared" si="0"/>
        <v>100</v>
      </c>
      <c r="H11" s="16">
        <f t="shared" si="1"/>
        <v>0.02</v>
      </c>
      <c r="I11" s="15">
        <f t="shared" si="2"/>
        <v>0</v>
      </c>
      <c r="J11" s="15">
        <f>ROUND(G11/126-1,2)</f>
        <v>-0.21</v>
      </c>
    </row>
    <row r="12" spans="1:10" x14ac:dyDescent="0.25">
      <c r="A12" s="1" t="s">
        <v>16</v>
      </c>
      <c r="B12" s="1" t="s">
        <v>19</v>
      </c>
      <c r="C12" s="10">
        <v>148875</v>
      </c>
      <c r="D12" s="10"/>
      <c r="E12" s="10"/>
      <c r="F12" s="10">
        <v>3455</v>
      </c>
      <c r="G12" s="10">
        <f t="shared" si="0"/>
        <v>152330</v>
      </c>
      <c r="H12" s="16">
        <f t="shared" si="1"/>
        <v>31.73</v>
      </c>
      <c r="I12" s="15">
        <f t="shared" si="2"/>
        <v>6.5000000000000002E-2</v>
      </c>
      <c r="J12" s="15">
        <f>ROUND(G12/154950-1,2)</f>
        <v>-0.02</v>
      </c>
    </row>
    <row r="13" spans="1:10" x14ac:dyDescent="0.25">
      <c r="A13" s="1" t="s">
        <v>16</v>
      </c>
      <c r="B13" s="1" t="s">
        <v>20</v>
      </c>
      <c r="C13" s="10">
        <v>251990</v>
      </c>
      <c r="D13" s="10"/>
      <c r="E13" s="10"/>
      <c r="F13" s="10"/>
      <c r="G13" s="10">
        <f t="shared" si="0"/>
        <v>251990</v>
      </c>
      <c r="H13" s="16">
        <f t="shared" si="1"/>
        <v>52.49</v>
      </c>
      <c r="I13" s="15">
        <f t="shared" si="2"/>
        <v>0.108</v>
      </c>
      <c r="J13" s="15">
        <f>ROUND(G13/253660-1,2)</f>
        <v>-0.01</v>
      </c>
    </row>
    <row r="14" spans="1:10" x14ac:dyDescent="0.25">
      <c r="A14" s="1" t="s">
        <v>16</v>
      </c>
      <c r="B14" s="1" t="s">
        <v>95</v>
      </c>
      <c r="C14" s="10"/>
      <c r="D14" s="10"/>
      <c r="E14" s="10">
        <v>187</v>
      </c>
      <c r="F14" s="10"/>
      <c r="G14" s="10">
        <f t="shared" si="0"/>
        <v>187</v>
      </c>
      <c r="H14" s="16">
        <f t="shared" si="1"/>
        <v>0.04</v>
      </c>
      <c r="I14" s="15">
        <f t="shared" si="2"/>
        <v>0</v>
      </c>
      <c r="J14" s="15">
        <f>ROUND(G14/82-1,2)</f>
        <v>1.28</v>
      </c>
    </row>
    <row r="15" spans="1:10" x14ac:dyDescent="0.25">
      <c r="A15" s="1" t="s">
        <v>16</v>
      </c>
      <c r="B15" s="1" t="s">
        <v>21</v>
      </c>
      <c r="C15" s="10"/>
      <c r="D15" s="10"/>
      <c r="E15" s="10">
        <v>734</v>
      </c>
      <c r="F15" s="10"/>
      <c r="G15" s="10">
        <f t="shared" si="0"/>
        <v>734</v>
      </c>
      <c r="H15" s="16">
        <f t="shared" si="1"/>
        <v>0.15</v>
      </c>
      <c r="I15" s="15">
        <f t="shared" si="2"/>
        <v>0</v>
      </c>
      <c r="J15" s="15">
        <f>ROUND(G15/275-1,2)</f>
        <v>1.67</v>
      </c>
    </row>
    <row r="16" spans="1:10" x14ac:dyDescent="0.25">
      <c r="A16" s="1" t="s">
        <v>16</v>
      </c>
      <c r="B16" s="1" t="s">
        <v>22</v>
      </c>
      <c r="C16" s="10"/>
      <c r="D16" s="10"/>
      <c r="E16" s="10">
        <v>2600</v>
      </c>
      <c r="F16" s="10"/>
      <c r="G16" s="10">
        <f t="shared" si="0"/>
        <v>2600</v>
      </c>
      <c r="H16" s="16">
        <f t="shared" si="1"/>
        <v>0.54</v>
      </c>
      <c r="I16" s="15">
        <f t="shared" si="2"/>
        <v>1E-3</v>
      </c>
      <c r="J16" s="15">
        <f>ROUND(G16/2700-1,2)</f>
        <v>-0.04</v>
      </c>
    </row>
    <row r="17" spans="1:10" x14ac:dyDescent="0.25">
      <c r="A17" s="1" t="s">
        <v>16</v>
      </c>
      <c r="B17" s="1" t="s">
        <v>23</v>
      </c>
      <c r="C17" s="10"/>
      <c r="D17" s="10"/>
      <c r="E17" s="10">
        <v>170200</v>
      </c>
      <c r="F17" s="10"/>
      <c r="G17" s="10">
        <f t="shared" si="0"/>
        <v>170200</v>
      </c>
      <c r="H17" s="16">
        <f t="shared" si="1"/>
        <v>35.450000000000003</v>
      </c>
      <c r="I17" s="15">
        <f t="shared" si="2"/>
        <v>7.2999999999999995E-2</v>
      </c>
      <c r="J17" s="15">
        <f>ROUND(G17/24460-1,2)</f>
        <v>5.96</v>
      </c>
    </row>
    <row r="18" spans="1:10" x14ac:dyDescent="0.25">
      <c r="A18" s="1" t="s">
        <v>16</v>
      </c>
      <c r="B18" s="1" t="s">
        <v>24</v>
      </c>
      <c r="C18" s="10">
        <v>219590</v>
      </c>
      <c r="D18" s="10"/>
      <c r="E18" s="10">
        <v>23920</v>
      </c>
      <c r="F18" s="10">
        <v>23550</v>
      </c>
      <c r="G18" s="10">
        <f t="shared" si="0"/>
        <v>267060</v>
      </c>
      <c r="H18" s="16">
        <f t="shared" si="1"/>
        <v>55.63</v>
      </c>
      <c r="I18" s="15">
        <f t="shared" si="2"/>
        <v>0.114</v>
      </c>
      <c r="J18" s="15">
        <f>ROUND(G18/253930-1,2)</f>
        <v>0.05</v>
      </c>
    </row>
    <row r="19" spans="1:10" x14ac:dyDescent="0.25">
      <c r="A19" s="1" t="s">
        <v>16</v>
      </c>
      <c r="B19" s="1" t="s">
        <v>25</v>
      </c>
      <c r="C19" s="10"/>
      <c r="D19" s="10"/>
      <c r="E19" s="10">
        <v>13930</v>
      </c>
      <c r="F19" s="10"/>
      <c r="G19" s="10">
        <f t="shared" si="0"/>
        <v>13930</v>
      </c>
      <c r="H19" s="16">
        <f t="shared" si="1"/>
        <v>2.9</v>
      </c>
      <c r="I19" s="15">
        <f t="shared" si="2"/>
        <v>6.0000000000000001E-3</v>
      </c>
      <c r="J19" s="15">
        <f>ROUND(G19/8330-1,2)</f>
        <v>0.67</v>
      </c>
    </row>
    <row r="20" spans="1:10" x14ac:dyDescent="0.25">
      <c r="A20" s="1" t="s">
        <v>16</v>
      </c>
      <c r="B20" s="1" t="s">
        <v>26</v>
      </c>
      <c r="C20" s="10">
        <v>315460</v>
      </c>
      <c r="D20" s="10"/>
      <c r="E20" s="10"/>
      <c r="F20" s="10">
        <v>1220</v>
      </c>
      <c r="G20" s="10">
        <f t="shared" si="0"/>
        <v>316680</v>
      </c>
      <c r="H20" s="16">
        <f t="shared" si="1"/>
        <v>65.959999999999994</v>
      </c>
      <c r="I20" s="15">
        <f t="shared" si="2"/>
        <v>0.13500000000000001</v>
      </c>
      <c r="J20" s="15">
        <f>ROUND(G20/312980-1,2)</f>
        <v>0.01</v>
      </c>
    </row>
    <row r="21" spans="1:10" x14ac:dyDescent="0.25">
      <c r="A21" s="1" t="s">
        <v>16</v>
      </c>
      <c r="B21" s="1" t="s">
        <v>27</v>
      </c>
      <c r="C21" s="10"/>
      <c r="D21" s="10"/>
      <c r="E21" s="10">
        <v>1783</v>
      </c>
      <c r="F21" s="10"/>
      <c r="G21" s="10">
        <f t="shared" si="0"/>
        <v>1783</v>
      </c>
      <c r="H21" s="16">
        <f t="shared" si="1"/>
        <v>0.37</v>
      </c>
      <c r="I21" s="15">
        <f t="shared" si="2"/>
        <v>1E-3</v>
      </c>
      <c r="J21" s="15">
        <f>ROUND(G21/848-1,2)</f>
        <v>1.1000000000000001</v>
      </c>
    </row>
    <row r="22" spans="1:10" x14ac:dyDescent="0.25">
      <c r="A22" s="1" t="s">
        <v>16</v>
      </c>
      <c r="B22" s="1" t="s">
        <v>28</v>
      </c>
      <c r="C22" s="10"/>
      <c r="D22" s="10"/>
      <c r="E22" s="10">
        <v>901</v>
      </c>
      <c r="F22" s="10"/>
      <c r="G22" s="10">
        <f t="shared" si="0"/>
        <v>901</v>
      </c>
      <c r="H22" s="16">
        <f t="shared" si="1"/>
        <v>0.19</v>
      </c>
      <c r="I22" s="15">
        <f t="shared" si="2"/>
        <v>0</v>
      </c>
      <c r="J22" s="15">
        <f>ROUND(G22/681-1,2)</f>
        <v>0.32</v>
      </c>
    </row>
    <row r="23" spans="1:10" x14ac:dyDescent="0.25">
      <c r="A23" s="1" t="s">
        <v>16</v>
      </c>
      <c r="B23" s="1" t="s">
        <v>29</v>
      </c>
      <c r="C23" s="10"/>
      <c r="D23" s="10"/>
      <c r="E23" s="10">
        <v>4970</v>
      </c>
      <c r="F23" s="10"/>
      <c r="G23" s="10">
        <f t="shared" si="0"/>
        <v>4970</v>
      </c>
      <c r="H23" s="16">
        <f t="shared" si="1"/>
        <v>1.04</v>
      </c>
      <c r="I23" s="15">
        <f t="shared" si="2"/>
        <v>2E-3</v>
      </c>
      <c r="J23" s="15">
        <f>ROUND(G23/13710-1,2)</f>
        <v>-0.64</v>
      </c>
    </row>
    <row r="24" spans="1:10" x14ac:dyDescent="0.25">
      <c r="A24" s="1" t="s">
        <v>16</v>
      </c>
      <c r="B24" s="1" t="s">
        <v>30</v>
      </c>
      <c r="C24" s="10"/>
      <c r="D24" s="10"/>
      <c r="E24" s="10">
        <v>1030</v>
      </c>
      <c r="F24" s="10"/>
      <c r="G24" s="10">
        <f t="shared" si="0"/>
        <v>1030</v>
      </c>
      <c r="H24" s="16">
        <f t="shared" si="1"/>
        <v>0.21</v>
      </c>
      <c r="I24" s="15">
        <f t="shared" si="2"/>
        <v>0</v>
      </c>
      <c r="J24" s="15">
        <f>ROUND(G24/1520-1,2)</f>
        <v>-0.32</v>
      </c>
    </row>
    <row r="25" spans="1:10" x14ac:dyDescent="0.25">
      <c r="A25" s="1" t="s">
        <v>16</v>
      </c>
      <c r="B25" s="1" t="s">
        <v>31</v>
      </c>
      <c r="C25" s="10"/>
      <c r="D25" s="10"/>
      <c r="E25" s="10">
        <v>220</v>
      </c>
      <c r="F25" s="10"/>
      <c r="G25" s="10">
        <f t="shared" si="0"/>
        <v>220</v>
      </c>
      <c r="H25" s="16">
        <f t="shared" si="1"/>
        <v>0.05</v>
      </c>
      <c r="I25" s="15">
        <f t="shared" si="2"/>
        <v>0</v>
      </c>
      <c r="J25" s="15"/>
    </row>
    <row r="26" spans="1:10" x14ac:dyDescent="0.25">
      <c r="A26" s="1" t="s">
        <v>16</v>
      </c>
      <c r="B26" s="1" t="s">
        <v>32</v>
      </c>
      <c r="C26" s="10"/>
      <c r="D26" s="10"/>
      <c r="E26" s="10">
        <v>3330</v>
      </c>
      <c r="F26" s="10"/>
      <c r="G26" s="10">
        <f t="shared" si="0"/>
        <v>3330</v>
      </c>
      <c r="H26" s="16">
        <f t="shared" si="1"/>
        <v>0.69</v>
      </c>
      <c r="I26" s="15">
        <f t="shared" si="2"/>
        <v>1E-3</v>
      </c>
      <c r="J26" s="15">
        <f>ROUND(G26/1735-1,2)</f>
        <v>0.92</v>
      </c>
    </row>
    <row r="27" spans="1:10" x14ac:dyDescent="0.25">
      <c r="A27" s="1" t="s">
        <v>16</v>
      </c>
      <c r="B27" s="1" t="s">
        <v>33</v>
      </c>
      <c r="C27" s="10"/>
      <c r="D27" s="10">
        <v>331</v>
      </c>
      <c r="E27" s="10">
        <v>24</v>
      </c>
      <c r="F27" s="10"/>
      <c r="G27" s="10">
        <f t="shared" si="0"/>
        <v>355</v>
      </c>
      <c r="H27" s="16">
        <f t="shared" si="1"/>
        <v>7.0000000000000007E-2</v>
      </c>
      <c r="I27" s="15">
        <f t="shared" si="2"/>
        <v>0</v>
      </c>
      <c r="J27" s="15">
        <f>ROUND(G27/425-1,2)</f>
        <v>-0.16</v>
      </c>
    </row>
    <row r="28" spans="1:10" x14ac:dyDescent="0.25">
      <c r="A28" s="1" t="s">
        <v>16</v>
      </c>
      <c r="B28" s="1" t="s">
        <v>35</v>
      </c>
      <c r="C28" s="10"/>
      <c r="D28" s="10"/>
      <c r="E28" s="10">
        <v>550</v>
      </c>
      <c r="F28" s="10"/>
      <c r="G28" s="10">
        <f t="shared" si="0"/>
        <v>550</v>
      </c>
      <c r="H28" s="16">
        <f t="shared" si="1"/>
        <v>0.11</v>
      </c>
      <c r="I28" s="15">
        <f t="shared" si="2"/>
        <v>0</v>
      </c>
      <c r="J28" s="15"/>
    </row>
    <row r="29" spans="1:10" x14ac:dyDescent="0.25">
      <c r="A29" s="1" t="s">
        <v>16</v>
      </c>
      <c r="B29" s="1" t="s">
        <v>37</v>
      </c>
      <c r="C29" s="10"/>
      <c r="D29" s="10"/>
      <c r="E29" s="10">
        <v>6150</v>
      </c>
      <c r="F29" s="10"/>
      <c r="G29" s="10">
        <f t="shared" si="0"/>
        <v>6150</v>
      </c>
      <c r="H29" s="16">
        <f t="shared" si="1"/>
        <v>1.28</v>
      </c>
      <c r="I29" s="15">
        <f t="shared" si="2"/>
        <v>3.0000000000000001E-3</v>
      </c>
      <c r="J29" s="15">
        <f>ROUND(G29/6490-1,2)</f>
        <v>-0.05</v>
      </c>
    </row>
    <row r="30" spans="1:10" x14ac:dyDescent="0.25">
      <c r="A30" s="1" t="s">
        <v>16</v>
      </c>
      <c r="B30" s="1" t="s">
        <v>43</v>
      </c>
      <c r="C30" s="10"/>
      <c r="D30" s="10"/>
      <c r="E30" s="10">
        <v>10829</v>
      </c>
      <c r="F30" s="10"/>
      <c r="G30" s="10">
        <f t="shared" si="0"/>
        <v>10829</v>
      </c>
      <c r="H30" s="16">
        <f t="shared" si="1"/>
        <v>2.2599999999999998</v>
      </c>
      <c r="I30" s="15">
        <f t="shared" si="2"/>
        <v>5.0000000000000001E-3</v>
      </c>
      <c r="J30" s="15">
        <f>ROUND(G30/23962-1,2)</f>
        <v>-0.55000000000000004</v>
      </c>
    </row>
    <row r="31" spans="1:10" x14ac:dyDescent="0.25">
      <c r="A31" s="1" t="s">
        <v>16</v>
      </c>
      <c r="B31" s="1" t="s">
        <v>38</v>
      </c>
      <c r="C31" s="10"/>
      <c r="D31" s="10"/>
      <c r="E31" s="10">
        <v>167105</v>
      </c>
      <c r="F31" s="10"/>
      <c r="G31" s="10">
        <f t="shared" si="0"/>
        <v>167105</v>
      </c>
      <c r="H31" s="16">
        <f t="shared" si="1"/>
        <v>34.81</v>
      </c>
      <c r="I31" s="15">
        <f t="shared" si="2"/>
        <v>7.0999999999999994E-2</v>
      </c>
      <c r="J31" s="15">
        <f>ROUND(G31/79590-1,2)</f>
        <v>1.1000000000000001</v>
      </c>
    </row>
    <row r="32" spans="1:10" x14ac:dyDescent="0.25">
      <c r="A32" s="1" t="s">
        <v>16</v>
      </c>
      <c r="B32" s="1" t="s">
        <v>39</v>
      </c>
      <c r="C32" s="10"/>
      <c r="D32" s="10"/>
      <c r="E32" s="10">
        <v>13030</v>
      </c>
      <c r="F32" s="10"/>
      <c r="G32" s="10">
        <f t="shared" si="0"/>
        <v>13030</v>
      </c>
      <c r="H32" s="16">
        <f t="shared" si="1"/>
        <v>2.71</v>
      </c>
      <c r="I32" s="15">
        <f t="shared" si="2"/>
        <v>6.0000000000000001E-3</v>
      </c>
      <c r="J32" s="15">
        <f>ROUND(G32/18835-1,2)</f>
        <v>-0.31</v>
      </c>
    </row>
    <row r="33" spans="1:10" x14ac:dyDescent="0.25">
      <c r="A33" s="1" t="s">
        <v>16</v>
      </c>
      <c r="B33" s="1" t="s">
        <v>40</v>
      </c>
      <c r="C33" s="10"/>
      <c r="D33" s="10"/>
      <c r="E33" s="10">
        <v>42830</v>
      </c>
      <c r="F33" s="10"/>
      <c r="G33" s="10">
        <f t="shared" si="0"/>
        <v>42830</v>
      </c>
      <c r="H33" s="16">
        <f t="shared" si="1"/>
        <v>8.92</v>
      </c>
      <c r="I33" s="15">
        <f t="shared" si="2"/>
        <v>1.7999999999999999E-2</v>
      </c>
      <c r="J33" s="15">
        <f>ROUND(G33/36660-1,2)</f>
        <v>0.17</v>
      </c>
    </row>
    <row r="34" spans="1:10" x14ac:dyDescent="0.25">
      <c r="A34" s="1" t="s">
        <v>16</v>
      </c>
      <c r="B34" s="1" t="s">
        <v>41</v>
      </c>
      <c r="C34" s="10"/>
      <c r="D34" s="10"/>
      <c r="E34" s="10">
        <v>263130</v>
      </c>
      <c r="F34" s="10">
        <v>3400</v>
      </c>
      <c r="G34" s="10">
        <f t="shared" si="0"/>
        <v>266530</v>
      </c>
      <c r="H34" s="16">
        <f t="shared" si="1"/>
        <v>55.52</v>
      </c>
      <c r="I34" s="15">
        <f t="shared" si="2"/>
        <v>0.114</v>
      </c>
      <c r="J34" s="15">
        <f>ROUND(G34/229000-1,2)</f>
        <v>0.16</v>
      </c>
    </row>
    <row r="35" spans="1:10" x14ac:dyDescent="0.25">
      <c r="A35" s="1" t="s">
        <v>16</v>
      </c>
      <c r="B35" s="1" t="s">
        <v>42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>
        <f>ROUND(G35/289-1,2)</f>
        <v>-1</v>
      </c>
    </row>
    <row r="36" spans="1:10" x14ac:dyDescent="0.25">
      <c r="A36" s="1" t="s">
        <v>16</v>
      </c>
      <c r="B36" s="1" t="s">
        <v>34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>
        <f>ROUND(G36/520-1,2)</f>
        <v>-1</v>
      </c>
    </row>
    <row r="37" spans="1:10" x14ac:dyDescent="0.25">
      <c r="A37" s="1" t="s">
        <v>16</v>
      </c>
      <c r="B37" s="1" t="s">
        <v>36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>
        <f>ROUND(G37/4380-1,2)</f>
        <v>-1</v>
      </c>
    </row>
    <row r="38" spans="1:10" x14ac:dyDescent="0.25">
      <c r="A38" s="1" t="s">
        <v>16</v>
      </c>
      <c r="B38" s="1" t="s">
        <v>218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1" t="s">
        <v>16</v>
      </c>
      <c r="B39" s="1" t="s">
        <v>161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1" t="s">
        <v>16</v>
      </c>
      <c r="B40" s="1" t="s">
        <v>219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>
        <f>ROUND(G40/14600-1,2)</f>
        <v>-1</v>
      </c>
    </row>
    <row r="41" spans="1:10" x14ac:dyDescent="0.25">
      <c r="A41" s="1" t="s">
        <v>44</v>
      </c>
      <c r="B41" s="1" t="s">
        <v>45</v>
      </c>
      <c r="C41" s="10">
        <v>442440</v>
      </c>
      <c r="D41" s="10"/>
      <c r="E41" s="10"/>
      <c r="F41" s="10">
        <v>16670</v>
      </c>
      <c r="G41" s="10">
        <f t="shared" si="0"/>
        <v>459110</v>
      </c>
      <c r="H41" s="16">
        <f t="shared" si="1"/>
        <v>95.63</v>
      </c>
      <c r="I41" s="15">
        <f t="shared" si="2"/>
        <v>0.19600000000000001</v>
      </c>
      <c r="J41" s="15">
        <f>ROUND(G41/465200-1,2)</f>
        <v>-0.01</v>
      </c>
    </row>
    <row r="42" spans="1:10" x14ac:dyDescent="0.25">
      <c r="A42" s="1" t="s">
        <v>44</v>
      </c>
      <c r="B42" s="1" t="s">
        <v>47</v>
      </c>
      <c r="C42" s="10"/>
      <c r="D42" s="10"/>
      <c r="E42" s="10"/>
      <c r="F42" s="10">
        <v>79280</v>
      </c>
      <c r="G42" s="10">
        <f t="shared" si="0"/>
        <v>79280</v>
      </c>
      <c r="H42" s="16">
        <f t="shared" si="1"/>
        <v>16.510000000000002</v>
      </c>
      <c r="I42" s="15">
        <f t="shared" si="2"/>
        <v>3.4000000000000002E-2</v>
      </c>
      <c r="J42" s="15">
        <f>ROUND(G42/76670-1,2)</f>
        <v>0.03</v>
      </c>
    </row>
    <row r="43" spans="1:10" x14ac:dyDescent="0.25">
      <c r="A43" s="1" t="s">
        <v>44</v>
      </c>
      <c r="B43" s="1" t="s">
        <v>46</v>
      </c>
      <c r="C43" s="10"/>
      <c r="D43" s="10"/>
      <c r="E43" s="10">
        <v>104620</v>
      </c>
      <c r="F43" s="10"/>
      <c r="G43" s="10">
        <f t="shared" si="0"/>
        <v>104620</v>
      </c>
      <c r="H43" s="16">
        <f t="shared" si="1"/>
        <v>21.79</v>
      </c>
      <c r="I43" s="15">
        <f t="shared" si="2"/>
        <v>4.4999999999999998E-2</v>
      </c>
      <c r="J43" s="15">
        <f>ROUND(G43/52350-1,2)</f>
        <v>1</v>
      </c>
    </row>
    <row r="44" spans="1:10" x14ac:dyDescent="0.25">
      <c r="A44" s="30" t="s">
        <v>12</v>
      </c>
      <c r="B44" s="30"/>
      <c r="C44" s="11">
        <f t="shared" ref="C44:H44" si="3">SUM(C8:C43)</f>
        <v>1378355</v>
      </c>
      <c r="D44" s="11">
        <f t="shared" si="3"/>
        <v>331</v>
      </c>
      <c r="E44" s="11">
        <f t="shared" si="3"/>
        <v>832173</v>
      </c>
      <c r="F44" s="11">
        <f t="shared" si="3"/>
        <v>128013</v>
      </c>
      <c r="G44" s="11">
        <f t="shared" si="3"/>
        <v>2338872</v>
      </c>
      <c r="H44" s="14">
        <f t="shared" si="3"/>
        <v>487.16</v>
      </c>
      <c r="I44" s="17"/>
      <c r="J44" s="17"/>
    </row>
    <row r="45" spans="1:10" x14ac:dyDescent="0.25">
      <c r="A45" s="30" t="s">
        <v>14</v>
      </c>
      <c r="B45" s="30"/>
      <c r="C45" s="12">
        <f>ROUND(C44/G44,2)</f>
        <v>0.59</v>
      </c>
      <c r="D45" s="12">
        <f>ROUND(D44/G44,2)</f>
        <v>0</v>
      </c>
      <c r="E45" s="12">
        <f>ROUND(E44/G44,2)</f>
        <v>0.36</v>
      </c>
      <c r="F45" s="12">
        <f>ROUND(F44/G44,2)</f>
        <v>0.05</v>
      </c>
      <c r="G45" s="13"/>
      <c r="H45" s="13"/>
      <c r="I45" s="17"/>
      <c r="J45" s="17"/>
    </row>
    <row r="46" spans="1:10" x14ac:dyDescent="0.25">
      <c r="A46" s="2" t="s">
        <v>52</v>
      </c>
      <c r="B46" s="2"/>
      <c r="C46" s="13"/>
      <c r="D46" s="13"/>
      <c r="E46" s="13"/>
      <c r="F46" s="13"/>
      <c r="G46" s="13"/>
      <c r="H46" s="13"/>
      <c r="I46" s="17"/>
      <c r="J46" s="17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A50" s="30" t="s">
        <v>53</v>
      </c>
      <c r="B50" s="30"/>
      <c r="C50" s="11" t="s">
        <v>8</v>
      </c>
      <c r="D50" s="11" t="s">
        <v>9</v>
      </c>
      <c r="E50" s="11" t="s">
        <v>10</v>
      </c>
      <c r="F50" s="11" t="s">
        <v>11</v>
      </c>
      <c r="G50" s="11" t="s">
        <v>12</v>
      </c>
      <c r="H50" s="14" t="s">
        <v>13</v>
      </c>
      <c r="I50" s="17"/>
      <c r="J50" s="17"/>
    </row>
    <row r="51" spans="1:10" x14ac:dyDescent="0.25">
      <c r="A51" s="29" t="s">
        <v>54</v>
      </c>
      <c r="B51" s="29"/>
      <c r="C51" s="10">
        <v>935915</v>
      </c>
      <c r="D51" s="10">
        <v>331</v>
      </c>
      <c r="E51" s="10">
        <v>727553</v>
      </c>
      <c r="F51" s="10">
        <v>31625</v>
      </c>
      <c r="G51" s="10">
        <f>SUM(C51:F51)</f>
        <v>1695424</v>
      </c>
      <c r="H51" s="16">
        <f>ROUND(G51/4801,2)</f>
        <v>353.14</v>
      </c>
      <c r="I51" s="9"/>
      <c r="J51" s="9"/>
    </row>
    <row r="52" spans="1:10" x14ac:dyDescent="0.25">
      <c r="A52" s="29" t="s">
        <v>55</v>
      </c>
      <c r="B52" s="29"/>
      <c r="C52" s="10">
        <v>442440</v>
      </c>
      <c r="D52" s="10">
        <v>0</v>
      </c>
      <c r="E52" s="10">
        <v>104620</v>
      </c>
      <c r="F52" s="10">
        <v>95950</v>
      </c>
      <c r="G52" s="10">
        <f>SUM(C52:F52)</f>
        <v>643010</v>
      </c>
      <c r="H52" s="16">
        <f>ROUND(G52/4801,2)</f>
        <v>133.93</v>
      </c>
      <c r="I52" s="9"/>
      <c r="J52" s="9"/>
    </row>
    <row r="53" spans="1:10" x14ac:dyDescent="0.25">
      <c r="A53" s="29" t="s">
        <v>56</v>
      </c>
      <c r="B53" s="29"/>
      <c r="C53" s="10">
        <v>0</v>
      </c>
      <c r="D53" s="10">
        <v>0</v>
      </c>
      <c r="E53" s="10">
        <v>0</v>
      </c>
      <c r="F53" s="10">
        <v>438</v>
      </c>
      <c r="G53" s="10">
        <f>SUM(C53:F53)</f>
        <v>438</v>
      </c>
      <c r="H53" s="16">
        <f>ROUND(G53/4801,2)</f>
        <v>0.09</v>
      </c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21"/>
      <c r="H57" s="8"/>
      <c r="I57" s="9"/>
      <c r="J57" s="9"/>
    </row>
    <row r="58" spans="1:10" x14ac:dyDescent="0.25">
      <c r="A58" s="30" t="s">
        <v>57</v>
      </c>
      <c r="B58" s="30"/>
      <c r="C58" s="14" t="s">
        <v>2</v>
      </c>
      <c r="D58" s="14">
        <v>2023</v>
      </c>
      <c r="E58" s="14" t="s">
        <v>59</v>
      </c>
      <c r="F58" s="13"/>
      <c r="G58" s="20" t="s">
        <v>60</v>
      </c>
      <c r="H58" s="14" t="s">
        <v>2</v>
      </c>
      <c r="I58" s="12" t="s">
        <v>61</v>
      </c>
      <c r="J58" s="12" t="s">
        <v>59</v>
      </c>
    </row>
    <row r="59" spans="1:10" x14ac:dyDescent="0.25">
      <c r="A59" s="29" t="s">
        <v>58</v>
      </c>
      <c r="B59" s="29"/>
      <c r="C59" s="15">
        <f>ROUND(0.778, 4)</f>
        <v>0.77800000000000002</v>
      </c>
      <c r="D59" s="15">
        <f>ROUND(0.7907, 4)</f>
        <v>0.79069999999999996</v>
      </c>
      <c r="E59" s="15">
        <f>ROUND(0.777, 4)</f>
        <v>0.77700000000000002</v>
      </c>
      <c r="F59" s="8"/>
      <c r="G59" s="14" t="s">
        <v>62</v>
      </c>
      <c r="H59" s="33" t="s">
        <v>63</v>
      </c>
      <c r="I59" s="31" t="s">
        <v>64</v>
      </c>
      <c r="J59" s="31" t="s">
        <v>65</v>
      </c>
    </row>
    <row r="60" spans="1:10" x14ac:dyDescent="0.25">
      <c r="A60" s="29" t="s">
        <v>66</v>
      </c>
      <c r="B60" s="29"/>
      <c r="C60" s="15">
        <f>ROUND(0.769, 4)</f>
        <v>0.76900000000000002</v>
      </c>
      <c r="D60" s="15">
        <f>ROUND(0.7819, 4)</f>
        <v>0.78190000000000004</v>
      </c>
      <c r="E60" s="15">
        <f>ROUND(0.7608, 4)</f>
        <v>0.76080000000000003</v>
      </c>
      <c r="F60" s="8"/>
      <c r="G60" s="14" t="s">
        <v>67</v>
      </c>
      <c r="H60" s="34"/>
      <c r="I60" s="32"/>
      <c r="J60" s="32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A64" s="30" t="s">
        <v>68</v>
      </c>
      <c r="B64" s="30"/>
      <c r="C64" s="14" t="s">
        <v>2</v>
      </c>
      <c r="D64" s="14" t="s">
        <v>220</v>
      </c>
      <c r="E64" s="14" t="s">
        <v>70</v>
      </c>
      <c r="F64" s="14" t="s">
        <v>71</v>
      </c>
      <c r="G64" s="14" t="s">
        <v>72</v>
      </c>
      <c r="H64" s="13"/>
      <c r="I64" s="17"/>
      <c r="J64" s="17"/>
    </row>
    <row r="65" spans="1:10" x14ac:dyDescent="0.25">
      <c r="A65" s="29" t="s">
        <v>73</v>
      </c>
      <c r="B65" s="29"/>
      <c r="C65" s="16">
        <v>96.4</v>
      </c>
      <c r="D65" s="16">
        <v>91.94</v>
      </c>
      <c r="E65" s="16">
        <v>93.87</v>
      </c>
      <c r="F65" s="16">
        <v>57.16</v>
      </c>
      <c r="G65" s="16">
        <f>12/12*C65</f>
        <v>96.4</v>
      </c>
      <c r="H65" s="8"/>
      <c r="I65" s="9"/>
      <c r="J65" s="9"/>
    </row>
    <row r="66" spans="1:10" x14ac:dyDescent="0.25">
      <c r="A66" s="29" t="s">
        <v>74</v>
      </c>
      <c r="B66" s="29"/>
      <c r="C66" s="16">
        <v>65.959999999999994</v>
      </c>
      <c r="D66" s="16">
        <v>69.739999999999995</v>
      </c>
      <c r="E66" s="16">
        <v>62.84</v>
      </c>
      <c r="F66" s="16">
        <v>65.39</v>
      </c>
      <c r="G66" s="16">
        <f>12/12*C66</f>
        <v>65.959999999999994</v>
      </c>
      <c r="H66" s="8"/>
      <c r="I66" s="9"/>
      <c r="J66" s="9"/>
    </row>
    <row r="67" spans="1:10" x14ac:dyDescent="0.25">
      <c r="A67" s="29" t="s">
        <v>75</v>
      </c>
      <c r="B67" s="29"/>
      <c r="C67" s="16">
        <v>399.26</v>
      </c>
      <c r="D67" s="16">
        <v>413.3</v>
      </c>
      <c r="E67" s="16">
        <v>295.08999999999997</v>
      </c>
      <c r="F67" s="16">
        <v>289.06</v>
      </c>
      <c r="G67" s="16">
        <f>12/12*C67</f>
        <v>399.26</v>
      </c>
      <c r="H67" s="8"/>
      <c r="I67" s="9"/>
      <c r="J67" s="9"/>
    </row>
    <row r="68" spans="1:10" x14ac:dyDescent="0.25">
      <c r="A68" s="29" t="s">
        <v>76</v>
      </c>
      <c r="B68" s="29"/>
      <c r="C68" s="16">
        <v>134.69999999999999</v>
      </c>
      <c r="D68" s="16">
        <v>124.53</v>
      </c>
      <c r="E68" s="16">
        <v>118.05</v>
      </c>
      <c r="F68" s="16">
        <v>81.41</v>
      </c>
      <c r="G68" s="16">
        <f>12/12*C68</f>
        <v>134.69999999999999</v>
      </c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28" t="s">
        <v>60</v>
      </c>
      <c r="B71" s="35"/>
      <c r="C71" s="8"/>
      <c r="D71" s="8"/>
      <c r="E71" s="8"/>
      <c r="F71" s="8"/>
      <c r="G71" s="8"/>
      <c r="H71" s="8"/>
      <c r="I71" s="9"/>
      <c r="J71" s="9"/>
    </row>
    <row r="72" spans="1:10" x14ac:dyDescent="0.25">
      <c r="A72" s="3" t="s">
        <v>77</v>
      </c>
      <c r="B72" s="1" t="s">
        <v>221</v>
      </c>
      <c r="C72" s="8"/>
      <c r="D72" s="8"/>
      <c r="E72" s="8"/>
      <c r="F72" s="8"/>
      <c r="G72" s="8"/>
      <c r="H72" s="8"/>
      <c r="I72" s="9"/>
      <c r="J72" s="9"/>
    </row>
    <row r="73" spans="1:10" x14ac:dyDescent="0.25">
      <c r="A73" s="3" t="s">
        <v>70</v>
      </c>
      <c r="B73" s="1" t="s">
        <v>79</v>
      </c>
      <c r="C73" s="8"/>
      <c r="D73" s="8"/>
      <c r="E73" s="8"/>
      <c r="F73" s="8"/>
      <c r="G73" s="8"/>
      <c r="H73" s="8"/>
      <c r="I73" s="9"/>
      <c r="J73" s="9"/>
    </row>
    <row r="74" spans="1:10" x14ac:dyDescent="0.25">
      <c r="A74" s="3" t="s">
        <v>71</v>
      </c>
      <c r="B74" s="1" t="s">
        <v>80</v>
      </c>
      <c r="C74" s="8"/>
      <c r="D74" s="8"/>
      <c r="E74" s="8"/>
      <c r="F74" s="8"/>
      <c r="G74" s="8"/>
      <c r="H74" s="8"/>
      <c r="I74" s="9"/>
      <c r="J74" s="9"/>
    </row>
    <row r="75" spans="1:10" x14ac:dyDescent="0.25">
      <c r="A75" s="3" t="s">
        <v>72</v>
      </c>
      <c r="B75" s="1" t="s">
        <v>81</v>
      </c>
      <c r="C75" s="8"/>
      <c r="D75" s="8"/>
      <c r="E75" s="8"/>
      <c r="F75" s="8"/>
      <c r="G75" s="8"/>
      <c r="H75" s="8"/>
      <c r="I75" s="9"/>
      <c r="J75" s="9"/>
    </row>
  </sheetData>
  <mergeCells count="19">
    <mergeCell ref="A66:B66"/>
    <mergeCell ref="A67:B67"/>
    <mergeCell ref="A68:B68"/>
    <mergeCell ref="A71:B71"/>
    <mergeCell ref="I59:I60"/>
    <mergeCell ref="J59:J60"/>
    <mergeCell ref="A60:B60"/>
    <mergeCell ref="A64:B64"/>
    <mergeCell ref="A65:B65"/>
    <mergeCell ref="A52:B52"/>
    <mergeCell ref="A53:B53"/>
    <mergeCell ref="A58:B58"/>
    <mergeCell ref="A59:B59"/>
    <mergeCell ref="H59:H60"/>
    <mergeCell ref="C7:G7"/>
    <mergeCell ref="A44:B44"/>
    <mergeCell ref="A45:B45"/>
    <mergeCell ref="A50:B50"/>
    <mergeCell ref="A51:B5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J75"/>
  <sheetViews>
    <sheetView workbookViewId="0"/>
  </sheetViews>
  <sheetFormatPr defaultRowHeight="15" x14ac:dyDescent="0.25"/>
  <cols>
    <col min="1" max="1" width="28.42578125" bestFit="1" customWidth="1"/>
    <col min="2" max="2" width="112" bestFit="1" customWidth="1"/>
    <col min="3" max="3" width="12.7109375" bestFit="1" customWidth="1"/>
    <col min="4" max="4" width="23.710937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222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2406</v>
      </c>
    </row>
    <row r="7" spans="1:10" x14ac:dyDescent="0.25">
      <c r="C7" s="28" t="s">
        <v>5</v>
      </c>
      <c r="D7" s="29"/>
      <c r="E7" s="29"/>
      <c r="F7" s="29"/>
      <c r="G7" s="29"/>
    </row>
    <row r="8" spans="1:10" x14ac:dyDescent="0.25">
      <c r="A8" s="25" t="s">
        <v>6</v>
      </c>
      <c r="B8" s="25" t="s">
        <v>7</v>
      </c>
      <c r="C8" s="27" t="s">
        <v>8</v>
      </c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114</v>
      </c>
      <c r="F9" s="10"/>
      <c r="G9" s="10">
        <f t="shared" ref="G9:G43" si="0">SUM(C9:F9)</f>
        <v>114</v>
      </c>
      <c r="H9" s="16">
        <f t="shared" ref="H9:H43" si="1">ROUND(G9/2406,2)</f>
        <v>0.05</v>
      </c>
      <c r="I9" s="15">
        <f t="shared" ref="I9:I43" si="2">ROUND(G9/$G$44,3)</f>
        <v>0</v>
      </c>
      <c r="J9" s="15">
        <f>ROUND(G9/119-1,2)</f>
        <v>-0.04</v>
      </c>
    </row>
    <row r="10" spans="1:10" x14ac:dyDescent="0.25">
      <c r="A10" s="1" t="s">
        <v>16</v>
      </c>
      <c r="B10" s="1" t="s">
        <v>19</v>
      </c>
      <c r="C10" s="10">
        <v>65300</v>
      </c>
      <c r="D10" s="10"/>
      <c r="E10" s="10"/>
      <c r="F10" s="10"/>
      <c r="G10" s="10">
        <f t="shared" si="0"/>
        <v>65300</v>
      </c>
      <c r="H10" s="16">
        <f t="shared" si="1"/>
        <v>27.14</v>
      </c>
      <c r="I10" s="15">
        <f t="shared" si="2"/>
        <v>7.1999999999999995E-2</v>
      </c>
      <c r="J10" s="15">
        <f>ROUND(G10/64340-1,2)</f>
        <v>0.01</v>
      </c>
    </row>
    <row r="11" spans="1:10" x14ac:dyDescent="0.25">
      <c r="A11" s="1" t="s">
        <v>16</v>
      </c>
      <c r="B11" s="1" t="s">
        <v>20</v>
      </c>
      <c r="C11" s="10">
        <v>112410</v>
      </c>
      <c r="D11" s="10"/>
      <c r="E11" s="10"/>
      <c r="F11" s="10"/>
      <c r="G11" s="10">
        <f t="shared" si="0"/>
        <v>112410</v>
      </c>
      <c r="H11" s="16">
        <f t="shared" si="1"/>
        <v>46.72</v>
      </c>
      <c r="I11" s="15">
        <f t="shared" si="2"/>
        <v>0.125</v>
      </c>
      <c r="J11" s="15">
        <f>ROUND(G11/107980-1,2)</f>
        <v>0.04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144</v>
      </c>
      <c r="F12" s="10"/>
      <c r="G12" s="10">
        <f t="shared" si="0"/>
        <v>144</v>
      </c>
      <c r="H12" s="16">
        <f t="shared" si="1"/>
        <v>0.06</v>
      </c>
      <c r="I12" s="15">
        <f t="shared" si="2"/>
        <v>0</v>
      </c>
      <c r="J12" s="15">
        <f>ROUND(G12/107-1,2)</f>
        <v>0.35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274</v>
      </c>
      <c r="F13" s="10"/>
      <c r="G13" s="10">
        <f t="shared" si="0"/>
        <v>274</v>
      </c>
      <c r="H13" s="16">
        <f t="shared" si="1"/>
        <v>0.11</v>
      </c>
      <c r="I13" s="15">
        <f t="shared" si="2"/>
        <v>0</v>
      </c>
      <c r="J13" s="15">
        <f>ROUND(G13/93-1,2)</f>
        <v>1.95</v>
      </c>
    </row>
    <row r="14" spans="1:10" x14ac:dyDescent="0.25">
      <c r="A14" s="1" t="s">
        <v>16</v>
      </c>
      <c r="B14" s="1" t="s">
        <v>22</v>
      </c>
      <c r="C14" s="10"/>
      <c r="D14" s="10"/>
      <c r="E14" s="10">
        <v>1800</v>
      </c>
      <c r="F14" s="10"/>
      <c r="G14" s="10">
        <f t="shared" si="0"/>
        <v>1800</v>
      </c>
      <c r="H14" s="16">
        <f t="shared" si="1"/>
        <v>0.75</v>
      </c>
      <c r="I14" s="15">
        <f t="shared" si="2"/>
        <v>2E-3</v>
      </c>
      <c r="J14" s="15">
        <f>ROUND(G14/900-1,2)</f>
        <v>1</v>
      </c>
    </row>
    <row r="15" spans="1:10" x14ac:dyDescent="0.25">
      <c r="A15" s="1" t="s">
        <v>16</v>
      </c>
      <c r="B15" s="1" t="s">
        <v>23</v>
      </c>
      <c r="C15" s="10"/>
      <c r="D15" s="10"/>
      <c r="E15" s="10">
        <v>44890</v>
      </c>
      <c r="F15" s="10"/>
      <c r="G15" s="10">
        <f t="shared" si="0"/>
        <v>44890</v>
      </c>
      <c r="H15" s="16">
        <f t="shared" si="1"/>
        <v>18.66</v>
      </c>
      <c r="I15" s="15">
        <f t="shared" si="2"/>
        <v>0.05</v>
      </c>
      <c r="J15" s="15">
        <f>ROUND(G15/41440-1,2)</f>
        <v>0.08</v>
      </c>
    </row>
    <row r="16" spans="1:10" x14ac:dyDescent="0.25">
      <c r="A16" s="1" t="s">
        <v>16</v>
      </c>
      <c r="B16" s="1" t="s">
        <v>24</v>
      </c>
      <c r="C16" s="10">
        <v>107400</v>
      </c>
      <c r="D16" s="10"/>
      <c r="E16" s="10"/>
      <c r="F16" s="10"/>
      <c r="G16" s="10">
        <f t="shared" si="0"/>
        <v>107400</v>
      </c>
      <c r="H16" s="16">
        <f t="shared" si="1"/>
        <v>44.64</v>
      </c>
      <c r="I16" s="15">
        <f t="shared" si="2"/>
        <v>0.11899999999999999</v>
      </c>
      <c r="J16" s="15">
        <f>ROUND(G16/99160-1,2)</f>
        <v>0.08</v>
      </c>
    </row>
    <row r="17" spans="1:10" x14ac:dyDescent="0.25">
      <c r="A17" s="1" t="s">
        <v>16</v>
      </c>
      <c r="B17" s="1" t="s">
        <v>25</v>
      </c>
      <c r="C17" s="10"/>
      <c r="D17" s="10"/>
      <c r="E17" s="10">
        <v>3810</v>
      </c>
      <c r="F17" s="10"/>
      <c r="G17" s="10">
        <f t="shared" si="0"/>
        <v>3810</v>
      </c>
      <c r="H17" s="16">
        <f t="shared" si="1"/>
        <v>1.58</v>
      </c>
      <c r="I17" s="15">
        <f t="shared" si="2"/>
        <v>4.0000000000000001E-3</v>
      </c>
      <c r="J17" s="15">
        <f>ROUND(G17/1750-1,2)</f>
        <v>1.18</v>
      </c>
    </row>
    <row r="18" spans="1:10" x14ac:dyDescent="0.25">
      <c r="A18" s="1" t="s">
        <v>16</v>
      </c>
      <c r="B18" s="1" t="s">
        <v>26</v>
      </c>
      <c r="C18" s="10">
        <v>158980</v>
      </c>
      <c r="D18" s="10"/>
      <c r="E18" s="10"/>
      <c r="F18" s="10">
        <v>3660</v>
      </c>
      <c r="G18" s="10">
        <f t="shared" si="0"/>
        <v>162640</v>
      </c>
      <c r="H18" s="16">
        <f t="shared" si="1"/>
        <v>67.599999999999994</v>
      </c>
      <c r="I18" s="15">
        <f t="shared" si="2"/>
        <v>0.18</v>
      </c>
      <c r="J18" s="15">
        <f>ROUND(G18/146500-1,2)</f>
        <v>0.11</v>
      </c>
    </row>
    <row r="19" spans="1:10" x14ac:dyDescent="0.25">
      <c r="A19" s="1" t="s">
        <v>16</v>
      </c>
      <c r="B19" s="1" t="s">
        <v>27</v>
      </c>
      <c r="C19" s="10"/>
      <c r="D19" s="10"/>
      <c r="E19" s="10">
        <v>666</v>
      </c>
      <c r="F19" s="10"/>
      <c r="G19" s="10">
        <f t="shared" si="0"/>
        <v>666</v>
      </c>
      <c r="H19" s="16">
        <f t="shared" si="1"/>
        <v>0.28000000000000003</v>
      </c>
      <c r="I19" s="15">
        <f t="shared" si="2"/>
        <v>1E-3</v>
      </c>
      <c r="J19" s="15">
        <f>ROUND(G19/702-1,2)</f>
        <v>-0.05</v>
      </c>
    </row>
    <row r="20" spans="1:10" x14ac:dyDescent="0.25">
      <c r="A20" s="1" t="s">
        <v>16</v>
      </c>
      <c r="B20" s="1" t="s">
        <v>28</v>
      </c>
      <c r="C20" s="10"/>
      <c r="D20" s="10"/>
      <c r="E20" s="10">
        <v>387</v>
      </c>
      <c r="F20" s="10"/>
      <c r="G20" s="10">
        <f t="shared" si="0"/>
        <v>387</v>
      </c>
      <c r="H20" s="16">
        <f t="shared" si="1"/>
        <v>0.16</v>
      </c>
      <c r="I20" s="15">
        <f t="shared" si="2"/>
        <v>0</v>
      </c>
      <c r="J20" s="15">
        <f>ROUND(G20/387-1,2)</f>
        <v>0</v>
      </c>
    </row>
    <row r="21" spans="1:10" x14ac:dyDescent="0.25">
      <c r="A21" s="1" t="s">
        <v>16</v>
      </c>
      <c r="B21" s="1" t="s">
        <v>29</v>
      </c>
      <c r="C21" s="10"/>
      <c r="D21" s="10"/>
      <c r="E21" s="10">
        <v>1600</v>
      </c>
      <c r="F21" s="10"/>
      <c r="G21" s="10">
        <f t="shared" si="0"/>
        <v>1600</v>
      </c>
      <c r="H21" s="16">
        <f t="shared" si="1"/>
        <v>0.67</v>
      </c>
      <c r="I21" s="15">
        <f t="shared" si="2"/>
        <v>2E-3</v>
      </c>
      <c r="J21" s="15">
        <f>ROUND(G21/2259-1,2)</f>
        <v>-0.28999999999999998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1120</v>
      </c>
      <c r="F22" s="10"/>
      <c r="G22" s="10">
        <f t="shared" si="0"/>
        <v>1120</v>
      </c>
      <c r="H22" s="16">
        <f t="shared" si="1"/>
        <v>0.47</v>
      </c>
      <c r="I22" s="15">
        <f t="shared" si="2"/>
        <v>1E-3</v>
      </c>
      <c r="J22" s="15">
        <f>ROUND(G22/1150-1,2)</f>
        <v>-0.03</v>
      </c>
    </row>
    <row r="23" spans="1:10" x14ac:dyDescent="0.25">
      <c r="A23" s="1" t="s">
        <v>16</v>
      </c>
      <c r="B23" s="1" t="s">
        <v>31</v>
      </c>
      <c r="C23" s="10"/>
      <c r="D23" s="10"/>
      <c r="E23" s="10">
        <v>435</v>
      </c>
      <c r="F23" s="10"/>
      <c r="G23" s="10">
        <f t="shared" si="0"/>
        <v>435</v>
      </c>
      <c r="H23" s="16">
        <f t="shared" si="1"/>
        <v>0.18</v>
      </c>
      <c r="I23" s="15">
        <f t="shared" si="2"/>
        <v>0</v>
      </c>
      <c r="J23" s="15">
        <f>ROUND(G23/550-1,2)</f>
        <v>-0.21</v>
      </c>
    </row>
    <row r="24" spans="1:10" x14ac:dyDescent="0.25">
      <c r="A24" s="1" t="s">
        <v>16</v>
      </c>
      <c r="B24" s="1" t="s">
        <v>32</v>
      </c>
      <c r="C24" s="10"/>
      <c r="D24" s="10"/>
      <c r="E24" s="10">
        <v>1240</v>
      </c>
      <c r="F24" s="10"/>
      <c r="G24" s="10">
        <f t="shared" si="0"/>
        <v>1240</v>
      </c>
      <c r="H24" s="16">
        <f t="shared" si="1"/>
        <v>0.52</v>
      </c>
      <c r="I24" s="15">
        <f t="shared" si="2"/>
        <v>1E-3</v>
      </c>
      <c r="J24" s="15">
        <f>ROUND(G24/735-1,2)</f>
        <v>0.69</v>
      </c>
    </row>
    <row r="25" spans="1:10" x14ac:dyDescent="0.25">
      <c r="A25" s="1" t="s">
        <v>16</v>
      </c>
      <c r="B25" s="1" t="s">
        <v>33</v>
      </c>
      <c r="C25" s="10"/>
      <c r="D25" s="10">
        <v>173</v>
      </c>
      <c r="E25" s="10">
        <v>53</v>
      </c>
      <c r="F25" s="10"/>
      <c r="G25" s="10">
        <f t="shared" si="0"/>
        <v>226</v>
      </c>
      <c r="H25" s="16">
        <f t="shared" si="1"/>
        <v>0.09</v>
      </c>
      <c r="I25" s="15">
        <f t="shared" si="2"/>
        <v>0</v>
      </c>
      <c r="J25" s="15">
        <f>ROUND(G25/198-1,2)</f>
        <v>0.14000000000000001</v>
      </c>
    </row>
    <row r="26" spans="1:10" x14ac:dyDescent="0.25">
      <c r="A26" s="1" t="s">
        <v>16</v>
      </c>
      <c r="B26" s="1" t="s">
        <v>34</v>
      </c>
      <c r="C26" s="10"/>
      <c r="D26" s="10"/>
      <c r="E26" s="10">
        <v>1960</v>
      </c>
      <c r="F26" s="10"/>
      <c r="G26" s="10">
        <f t="shared" si="0"/>
        <v>1960</v>
      </c>
      <c r="H26" s="16">
        <f t="shared" si="1"/>
        <v>0.81</v>
      </c>
      <c r="I26" s="15">
        <f t="shared" si="2"/>
        <v>2E-3</v>
      </c>
      <c r="J26" s="15">
        <f>ROUND(G26/1330-1,2)</f>
        <v>0.47</v>
      </c>
    </row>
    <row r="27" spans="1:10" x14ac:dyDescent="0.25">
      <c r="A27" s="1" t="s">
        <v>16</v>
      </c>
      <c r="B27" s="1" t="s">
        <v>35</v>
      </c>
      <c r="C27" s="10"/>
      <c r="D27" s="10">
        <v>100</v>
      </c>
      <c r="E27" s="10"/>
      <c r="F27" s="10"/>
      <c r="G27" s="10">
        <f t="shared" si="0"/>
        <v>100</v>
      </c>
      <c r="H27" s="16">
        <f t="shared" si="1"/>
        <v>0.04</v>
      </c>
      <c r="I27" s="15">
        <f t="shared" si="2"/>
        <v>0</v>
      </c>
      <c r="J27" s="15">
        <f>ROUND(G27/350-1,2)</f>
        <v>-0.71</v>
      </c>
    </row>
    <row r="28" spans="1:10" x14ac:dyDescent="0.25">
      <c r="A28" s="1" t="s">
        <v>16</v>
      </c>
      <c r="B28" s="1" t="s">
        <v>43</v>
      </c>
      <c r="C28" s="10"/>
      <c r="D28" s="10"/>
      <c r="E28" s="10">
        <v>2440</v>
      </c>
      <c r="F28" s="10"/>
      <c r="G28" s="10">
        <f t="shared" si="0"/>
        <v>2440</v>
      </c>
      <c r="H28" s="16">
        <f t="shared" si="1"/>
        <v>1.01</v>
      </c>
      <c r="I28" s="15">
        <f t="shared" si="2"/>
        <v>3.0000000000000001E-3</v>
      </c>
      <c r="J28" s="15">
        <f>ROUND(G28/6642-1,2)</f>
        <v>-0.63</v>
      </c>
    </row>
    <row r="29" spans="1:10" x14ac:dyDescent="0.25">
      <c r="A29" s="1" t="s">
        <v>16</v>
      </c>
      <c r="B29" s="1" t="s">
        <v>37</v>
      </c>
      <c r="C29" s="10"/>
      <c r="D29" s="10"/>
      <c r="E29" s="10">
        <v>2690</v>
      </c>
      <c r="F29" s="10"/>
      <c r="G29" s="10">
        <f t="shared" si="0"/>
        <v>2690</v>
      </c>
      <c r="H29" s="16">
        <f t="shared" si="1"/>
        <v>1.1200000000000001</v>
      </c>
      <c r="I29" s="15">
        <f t="shared" si="2"/>
        <v>3.0000000000000001E-3</v>
      </c>
      <c r="J29" s="15">
        <f>ROUND(G29/2610-1,2)</f>
        <v>0.03</v>
      </c>
    </row>
    <row r="30" spans="1:10" x14ac:dyDescent="0.25">
      <c r="A30" s="1" t="s">
        <v>16</v>
      </c>
      <c r="B30" s="1" t="s">
        <v>38</v>
      </c>
      <c r="C30" s="10"/>
      <c r="D30" s="10"/>
      <c r="E30" s="10">
        <v>50455</v>
      </c>
      <c r="F30" s="10"/>
      <c r="G30" s="10">
        <f t="shared" si="0"/>
        <v>50455</v>
      </c>
      <c r="H30" s="16">
        <f t="shared" si="1"/>
        <v>20.97</v>
      </c>
      <c r="I30" s="15">
        <f t="shared" si="2"/>
        <v>5.6000000000000001E-2</v>
      </c>
      <c r="J30" s="15">
        <f>ROUND(G30/45930-1,2)</f>
        <v>0.1</v>
      </c>
    </row>
    <row r="31" spans="1:10" x14ac:dyDescent="0.25">
      <c r="A31" s="1" t="s">
        <v>16</v>
      </c>
      <c r="B31" s="1" t="s">
        <v>39</v>
      </c>
      <c r="C31" s="10"/>
      <c r="D31" s="10"/>
      <c r="E31" s="10">
        <v>3840</v>
      </c>
      <c r="F31" s="10"/>
      <c r="G31" s="10">
        <f t="shared" si="0"/>
        <v>3840</v>
      </c>
      <c r="H31" s="16">
        <f t="shared" si="1"/>
        <v>1.6</v>
      </c>
      <c r="I31" s="15">
        <f t="shared" si="2"/>
        <v>4.0000000000000001E-3</v>
      </c>
      <c r="J31" s="15">
        <f>ROUND(G31/3840-1,2)</f>
        <v>0</v>
      </c>
    </row>
    <row r="32" spans="1:10" x14ac:dyDescent="0.25">
      <c r="A32" s="1" t="s">
        <v>16</v>
      </c>
      <c r="B32" s="1" t="s">
        <v>40</v>
      </c>
      <c r="C32" s="10"/>
      <c r="D32" s="10"/>
      <c r="E32" s="10">
        <v>16310</v>
      </c>
      <c r="F32" s="10"/>
      <c r="G32" s="10">
        <f t="shared" si="0"/>
        <v>16310</v>
      </c>
      <c r="H32" s="16">
        <f t="shared" si="1"/>
        <v>6.78</v>
      </c>
      <c r="I32" s="15">
        <f t="shared" si="2"/>
        <v>1.7999999999999999E-2</v>
      </c>
      <c r="J32" s="15">
        <f>ROUND(G32/15470-1,2)</f>
        <v>0.05</v>
      </c>
    </row>
    <row r="33" spans="1:10" x14ac:dyDescent="0.25">
      <c r="A33" s="1" t="s">
        <v>16</v>
      </c>
      <c r="B33" s="1" t="s">
        <v>41</v>
      </c>
      <c r="C33" s="10"/>
      <c r="D33" s="10"/>
      <c r="E33" s="10">
        <v>105830</v>
      </c>
      <c r="F33" s="10"/>
      <c r="G33" s="10">
        <f t="shared" si="0"/>
        <v>105830</v>
      </c>
      <c r="H33" s="16">
        <f t="shared" si="1"/>
        <v>43.99</v>
      </c>
      <c r="I33" s="15">
        <f t="shared" si="2"/>
        <v>0.11700000000000001</v>
      </c>
      <c r="J33" s="15">
        <f>ROUND(G33/74680-1,2)</f>
        <v>0.42</v>
      </c>
    </row>
    <row r="34" spans="1:10" x14ac:dyDescent="0.25">
      <c r="A34" s="1" t="s">
        <v>16</v>
      </c>
      <c r="B34" s="1" t="s">
        <v>98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ROUND(G34/408-1,2)</f>
        <v>-1</v>
      </c>
    </row>
    <row r="35" spans="1:10" x14ac:dyDescent="0.25">
      <c r="A35" s="1" t="s">
        <v>16</v>
      </c>
      <c r="B35" s="1" t="s">
        <v>42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>
        <f>ROUND(G35/136-1,2)</f>
        <v>-1</v>
      </c>
    </row>
    <row r="36" spans="1:10" x14ac:dyDescent="0.25">
      <c r="A36" s="1" t="s">
        <v>16</v>
      </c>
      <c r="B36" s="1" t="s">
        <v>36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>
        <f>ROUND(G36/1679-1,2)</f>
        <v>-1</v>
      </c>
    </row>
    <row r="37" spans="1:10" x14ac:dyDescent="0.25">
      <c r="A37" s="1" t="s">
        <v>16</v>
      </c>
      <c r="B37" s="1" t="s">
        <v>198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>
        <f>ROUND(G37/20-1,2)</f>
        <v>-1</v>
      </c>
    </row>
    <row r="38" spans="1:10" x14ac:dyDescent="0.25">
      <c r="A38" s="1" t="s">
        <v>16</v>
      </c>
      <c r="B38" s="1" t="s">
        <v>223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>
        <f>ROUND(G38/767-1,2)</f>
        <v>-1</v>
      </c>
    </row>
    <row r="39" spans="1:10" x14ac:dyDescent="0.25">
      <c r="A39" s="1" t="s">
        <v>44</v>
      </c>
      <c r="B39" s="1" t="s">
        <v>45</v>
      </c>
      <c r="C39" s="10">
        <v>178350</v>
      </c>
      <c r="D39" s="10"/>
      <c r="E39" s="10"/>
      <c r="F39" s="10"/>
      <c r="G39" s="10">
        <f t="shared" si="0"/>
        <v>178350</v>
      </c>
      <c r="H39" s="16">
        <f t="shared" si="1"/>
        <v>74.13</v>
      </c>
      <c r="I39" s="15">
        <f t="shared" si="2"/>
        <v>0.19800000000000001</v>
      </c>
      <c r="J39" s="15">
        <f>ROUND(G39/165790-1,2)</f>
        <v>0.08</v>
      </c>
    </row>
    <row r="40" spans="1:10" x14ac:dyDescent="0.25">
      <c r="A40" s="1" t="s">
        <v>44</v>
      </c>
      <c r="B40" s="1" t="s">
        <v>46</v>
      </c>
      <c r="C40" s="10"/>
      <c r="D40" s="10"/>
      <c r="E40" s="10">
        <v>34770</v>
      </c>
      <c r="F40" s="10"/>
      <c r="G40" s="10">
        <f t="shared" si="0"/>
        <v>34770</v>
      </c>
      <c r="H40" s="16">
        <f t="shared" si="1"/>
        <v>14.45</v>
      </c>
      <c r="I40" s="15">
        <f t="shared" si="2"/>
        <v>3.9E-2</v>
      </c>
      <c r="J40" s="15">
        <f>ROUND(G40/34560-1,2)</f>
        <v>0.01</v>
      </c>
    </row>
    <row r="41" spans="1:10" x14ac:dyDescent="0.25">
      <c r="A41" s="1" t="s">
        <v>44</v>
      </c>
      <c r="B41" s="1" t="s">
        <v>47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>
        <f>ROUND(G41/12620-1,2)</f>
        <v>-1</v>
      </c>
    </row>
    <row r="42" spans="1:10" x14ac:dyDescent="0.25">
      <c r="A42" s="1" t="s">
        <v>48</v>
      </c>
      <c r="B42" s="1" t="s">
        <v>51</v>
      </c>
      <c r="C42" s="10"/>
      <c r="D42" s="10"/>
      <c r="E42" s="10"/>
      <c r="F42" s="10"/>
      <c r="G42" s="10">
        <f t="shared" si="0"/>
        <v>0</v>
      </c>
      <c r="H42" s="16">
        <f t="shared" si="1"/>
        <v>0</v>
      </c>
      <c r="I42" s="15">
        <f t="shared" si="2"/>
        <v>0</v>
      </c>
      <c r="J42" s="15"/>
    </row>
    <row r="43" spans="1:10" x14ac:dyDescent="0.25">
      <c r="A43" s="1" t="s">
        <v>48</v>
      </c>
      <c r="B43" s="1" t="s">
        <v>49</v>
      </c>
      <c r="C43" s="10"/>
      <c r="D43" s="10"/>
      <c r="E43" s="10"/>
      <c r="F43" s="10"/>
      <c r="G43" s="10">
        <f t="shared" si="0"/>
        <v>0</v>
      </c>
      <c r="H43" s="16">
        <f t="shared" si="1"/>
        <v>0</v>
      </c>
      <c r="I43" s="15">
        <f t="shared" si="2"/>
        <v>0</v>
      </c>
      <c r="J43" s="15">
        <f>ROUND(G43/37-1,2)</f>
        <v>-1</v>
      </c>
    </row>
    <row r="44" spans="1:10" x14ac:dyDescent="0.25">
      <c r="A44" s="30" t="s">
        <v>12</v>
      </c>
      <c r="B44" s="30"/>
      <c r="C44" s="11">
        <f t="shared" ref="C44:H44" si="3">SUM(C8:C43)</f>
        <v>622440</v>
      </c>
      <c r="D44" s="11">
        <f t="shared" si="3"/>
        <v>273</v>
      </c>
      <c r="E44" s="11">
        <f t="shared" si="3"/>
        <v>274828</v>
      </c>
      <c r="F44" s="11">
        <f t="shared" si="3"/>
        <v>3660</v>
      </c>
      <c r="G44" s="11">
        <f t="shared" si="3"/>
        <v>901201</v>
      </c>
      <c r="H44" s="14">
        <f t="shared" si="3"/>
        <v>374.58</v>
      </c>
      <c r="I44" s="17"/>
      <c r="J44" s="17"/>
    </row>
    <row r="45" spans="1:10" x14ac:dyDescent="0.25">
      <c r="A45" s="30" t="s">
        <v>14</v>
      </c>
      <c r="B45" s="30"/>
      <c r="C45" s="12">
        <f>ROUND(C44/G44,2)</f>
        <v>0.69</v>
      </c>
      <c r="D45" s="12">
        <f>ROUND(D44/G44,2)</f>
        <v>0</v>
      </c>
      <c r="E45" s="12">
        <f>ROUND(E44/G44,2)</f>
        <v>0.3</v>
      </c>
      <c r="F45" s="12">
        <f>ROUND(F44/G44,2)</f>
        <v>0</v>
      </c>
      <c r="G45" s="13"/>
      <c r="H45" s="13"/>
      <c r="I45" s="17"/>
      <c r="J45" s="17"/>
    </row>
    <row r="46" spans="1:10" x14ac:dyDescent="0.25">
      <c r="A46" s="2" t="s">
        <v>52</v>
      </c>
      <c r="B46" s="2"/>
      <c r="C46" s="13"/>
      <c r="D46" s="13"/>
      <c r="E46" s="13"/>
      <c r="F46" s="13"/>
      <c r="G46" s="13"/>
      <c r="H46" s="13"/>
      <c r="I46" s="17"/>
      <c r="J46" s="17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A50" s="30" t="s">
        <v>53</v>
      </c>
      <c r="B50" s="30"/>
      <c r="C50" s="11" t="s">
        <v>8</v>
      </c>
      <c r="D50" s="11" t="s">
        <v>9</v>
      </c>
      <c r="E50" s="11" t="s">
        <v>10</v>
      </c>
      <c r="F50" s="11" t="s">
        <v>11</v>
      </c>
      <c r="G50" s="11" t="s">
        <v>12</v>
      </c>
      <c r="H50" s="14" t="s">
        <v>13</v>
      </c>
      <c r="I50" s="17"/>
      <c r="J50" s="17"/>
    </row>
    <row r="51" spans="1:10" x14ac:dyDescent="0.25">
      <c r="A51" s="29" t="s">
        <v>54</v>
      </c>
      <c r="B51" s="29"/>
      <c r="C51" s="10">
        <v>444090</v>
      </c>
      <c r="D51" s="10">
        <v>273</v>
      </c>
      <c r="E51" s="10">
        <v>240058</v>
      </c>
      <c r="F51" s="10">
        <v>3660</v>
      </c>
      <c r="G51" s="10">
        <f>SUM(C51:F51)</f>
        <v>688081</v>
      </c>
      <c r="H51" s="16">
        <f>ROUND(G51/2406,2)</f>
        <v>285.99</v>
      </c>
      <c r="I51" s="9"/>
      <c r="J51" s="9"/>
    </row>
    <row r="52" spans="1:10" x14ac:dyDescent="0.25">
      <c r="A52" s="29" t="s">
        <v>55</v>
      </c>
      <c r="B52" s="29"/>
      <c r="C52" s="10">
        <v>178350</v>
      </c>
      <c r="D52" s="10">
        <v>0</v>
      </c>
      <c r="E52" s="10">
        <v>34770</v>
      </c>
      <c r="F52" s="10">
        <v>0</v>
      </c>
      <c r="G52" s="10">
        <f>SUM(C52:F52)</f>
        <v>213120</v>
      </c>
      <c r="H52" s="16">
        <f>ROUND(G52/2406,2)</f>
        <v>88.58</v>
      </c>
      <c r="I52" s="9"/>
      <c r="J52" s="9"/>
    </row>
    <row r="53" spans="1:10" x14ac:dyDescent="0.25">
      <c r="A53" s="29" t="s">
        <v>56</v>
      </c>
      <c r="B53" s="29"/>
      <c r="C53" s="10">
        <v>0</v>
      </c>
      <c r="D53" s="10">
        <v>0</v>
      </c>
      <c r="E53" s="10">
        <v>0</v>
      </c>
      <c r="F53" s="10">
        <v>0</v>
      </c>
      <c r="G53" s="10">
        <f>SUM(C53:F53)</f>
        <v>0</v>
      </c>
      <c r="H53" s="16">
        <f>ROUND(G53/2406,2)</f>
        <v>0</v>
      </c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21"/>
      <c r="H57" s="8"/>
      <c r="I57" s="9"/>
      <c r="J57" s="9"/>
    </row>
    <row r="58" spans="1:10" x14ac:dyDescent="0.25">
      <c r="A58" s="30" t="s">
        <v>57</v>
      </c>
      <c r="B58" s="30"/>
      <c r="C58" s="14" t="s">
        <v>2</v>
      </c>
      <c r="D58" s="14">
        <v>2023</v>
      </c>
      <c r="E58" s="14" t="s">
        <v>59</v>
      </c>
      <c r="F58" s="13"/>
      <c r="G58" s="20" t="s">
        <v>60</v>
      </c>
      <c r="H58" s="14" t="s">
        <v>2</v>
      </c>
      <c r="I58" s="12" t="s">
        <v>61</v>
      </c>
      <c r="J58" s="12" t="s">
        <v>59</v>
      </c>
    </row>
    <row r="59" spans="1:10" x14ac:dyDescent="0.25">
      <c r="A59" s="29" t="s">
        <v>58</v>
      </c>
      <c r="B59" s="29"/>
      <c r="C59" s="15">
        <f>ROUND(0.7907, 4)</f>
        <v>0.79069999999999996</v>
      </c>
      <c r="D59" s="15">
        <f>ROUND(0.7864, 4)</f>
        <v>0.78639999999999999</v>
      </c>
      <c r="E59" s="15">
        <f>ROUND(0.777, 4)</f>
        <v>0.77700000000000002</v>
      </c>
      <c r="F59" s="8"/>
      <c r="G59" s="14" t="s">
        <v>62</v>
      </c>
      <c r="H59" s="33" t="s">
        <v>63</v>
      </c>
      <c r="I59" s="31" t="s">
        <v>64</v>
      </c>
      <c r="J59" s="31" t="s">
        <v>65</v>
      </c>
    </row>
    <row r="60" spans="1:10" x14ac:dyDescent="0.25">
      <c r="A60" s="29" t="s">
        <v>66</v>
      </c>
      <c r="B60" s="29"/>
      <c r="C60" s="15">
        <f>ROUND(0.7809, 4)</f>
        <v>0.78090000000000004</v>
      </c>
      <c r="D60" s="15">
        <f>ROUND(0.7759, 4)</f>
        <v>0.77590000000000003</v>
      </c>
      <c r="E60" s="15">
        <f>ROUND(0.7608, 4)</f>
        <v>0.76080000000000003</v>
      </c>
      <c r="F60" s="8"/>
      <c r="G60" s="14" t="s">
        <v>67</v>
      </c>
      <c r="H60" s="34"/>
      <c r="I60" s="32"/>
      <c r="J60" s="32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A64" s="30" t="s">
        <v>68</v>
      </c>
      <c r="B64" s="30"/>
      <c r="C64" s="14" t="s">
        <v>2</v>
      </c>
      <c r="D64" s="14" t="s">
        <v>224</v>
      </c>
      <c r="E64" s="14" t="s">
        <v>70</v>
      </c>
      <c r="F64" s="14" t="s">
        <v>71</v>
      </c>
      <c r="G64" s="14" t="s">
        <v>72</v>
      </c>
      <c r="H64" s="13"/>
      <c r="I64" s="17"/>
      <c r="J64" s="17"/>
    </row>
    <row r="65" spans="1:10" x14ac:dyDescent="0.25">
      <c r="A65" s="29" t="s">
        <v>73</v>
      </c>
      <c r="B65" s="29"/>
      <c r="C65" s="16">
        <v>74.13</v>
      </c>
      <c r="D65" s="16">
        <v>66.64</v>
      </c>
      <c r="E65" s="16">
        <v>93.87</v>
      </c>
      <c r="F65" s="16">
        <v>57.16</v>
      </c>
      <c r="G65" s="16">
        <f>12/12*C65</f>
        <v>74.13</v>
      </c>
      <c r="H65" s="8"/>
      <c r="I65" s="9"/>
      <c r="J65" s="9"/>
    </row>
    <row r="66" spans="1:10" x14ac:dyDescent="0.25">
      <c r="A66" s="29" t="s">
        <v>74</v>
      </c>
      <c r="B66" s="29"/>
      <c r="C66" s="16">
        <v>67.599999999999994</v>
      </c>
      <c r="D66" s="16">
        <v>63.45</v>
      </c>
      <c r="E66" s="16">
        <v>62.84</v>
      </c>
      <c r="F66" s="16">
        <v>65.39</v>
      </c>
      <c r="G66" s="16">
        <f>12/12*C66</f>
        <v>67.599999999999994</v>
      </c>
      <c r="H66" s="8"/>
      <c r="I66" s="9"/>
      <c r="J66" s="9"/>
    </row>
    <row r="67" spans="1:10" x14ac:dyDescent="0.25">
      <c r="A67" s="29" t="s">
        <v>75</v>
      </c>
      <c r="B67" s="29"/>
      <c r="C67" s="16">
        <v>285.99</v>
      </c>
      <c r="D67" s="16">
        <v>261.47000000000003</v>
      </c>
      <c r="E67" s="16">
        <v>295.08999999999997</v>
      </c>
      <c r="F67" s="16">
        <v>289.06</v>
      </c>
      <c r="G67" s="16">
        <f>12/12*C67</f>
        <v>285.99</v>
      </c>
      <c r="H67" s="8"/>
      <c r="I67" s="9"/>
      <c r="J67" s="9"/>
    </row>
    <row r="68" spans="1:10" x14ac:dyDescent="0.25">
      <c r="A68" s="29" t="s">
        <v>76</v>
      </c>
      <c r="B68" s="29"/>
      <c r="C68" s="16">
        <v>88.58</v>
      </c>
      <c r="D68" s="16">
        <v>82.69</v>
      </c>
      <c r="E68" s="16">
        <v>118.05</v>
      </c>
      <c r="F68" s="16">
        <v>81.41</v>
      </c>
      <c r="G68" s="16">
        <f>12/12*C68</f>
        <v>88.58</v>
      </c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28" t="s">
        <v>60</v>
      </c>
      <c r="B71" s="35"/>
      <c r="C71" s="8"/>
      <c r="D71" s="8"/>
      <c r="E71" s="8"/>
      <c r="F71" s="8"/>
      <c r="G71" s="8"/>
      <c r="H71" s="8"/>
      <c r="I71" s="9"/>
      <c r="J71" s="9"/>
    </row>
    <row r="72" spans="1:10" x14ac:dyDescent="0.25">
      <c r="A72" s="3" t="s">
        <v>77</v>
      </c>
      <c r="B72" s="1" t="s">
        <v>225</v>
      </c>
      <c r="C72" s="8"/>
      <c r="D72" s="8"/>
      <c r="E72" s="8"/>
      <c r="F72" s="8"/>
      <c r="G72" s="8"/>
      <c r="H72" s="8"/>
      <c r="I72" s="9"/>
      <c r="J72" s="9"/>
    </row>
    <row r="73" spans="1:10" x14ac:dyDescent="0.25">
      <c r="A73" s="3" t="s">
        <v>70</v>
      </c>
      <c r="B73" s="1" t="s">
        <v>79</v>
      </c>
      <c r="C73" s="8"/>
      <c r="D73" s="8"/>
      <c r="E73" s="8"/>
      <c r="F73" s="8"/>
      <c r="G73" s="8"/>
      <c r="H73" s="8"/>
      <c r="I73" s="9"/>
      <c r="J73" s="9"/>
    </row>
    <row r="74" spans="1:10" x14ac:dyDescent="0.25">
      <c r="A74" s="3" t="s">
        <v>71</v>
      </c>
      <c r="B74" s="1" t="s">
        <v>80</v>
      </c>
      <c r="C74" s="8"/>
      <c r="D74" s="8"/>
      <c r="E74" s="8"/>
      <c r="F74" s="8"/>
      <c r="G74" s="8"/>
      <c r="H74" s="8"/>
      <c r="I74" s="9"/>
      <c r="J74" s="9"/>
    </row>
    <row r="75" spans="1:10" x14ac:dyDescent="0.25">
      <c r="A75" s="3" t="s">
        <v>72</v>
      </c>
      <c r="B75" s="1" t="s">
        <v>81</v>
      </c>
    </row>
  </sheetData>
  <mergeCells count="19">
    <mergeCell ref="A66:B66"/>
    <mergeCell ref="A67:B67"/>
    <mergeCell ref="A68:B68"/>
    <mergeCell ref="A71:B71"/>
    <mergeCell ref="I59:I60"/>
    <mergeCell ref="J59:J60"/>
    <mergeCell ref="A60:B60"/>
    <mergeCell ref="A64:B64"/>
    <mergeCell ref="A65:B65"/>
    <mergeCell ref="A52:B52"/>
    <mergeCell ref="A53:B53"/>
    <mergeCell ref="A58:B58"/>
    <mergeCell ref="A59:B59"/>
    <mergeCell ref="H59:H60"/>
    <mergeCell ref="C7:G7"/>
    <mergeCell ref="A44:B44"/>
    <mergeCell ref="A45:B45"/>
    <mergeCell ref="A50:B50"/>
    <mergeCell ref="A51:B5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J74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19.710937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226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2614</v>
      </c>
    </row>
    <row r="7" spans="1:10" x14ac:dyDescent="0.25">
      <c r="C7" s="28" t="s">
        <v>5</v>
      </c>
      <c r="D7" s="29"/>
      <c r="E7" s="29"/>
      <c r="F7" s="29"/>
      <c r="G7" s="29"/>
    </row>
    <row r="8" spans="1:10" x14ac:dyDescent="0.25">
      <c r="A8" s="25" t="s">
        <v>6</v>
      </c>
      <c r="B8" s="25" t="s">
        <v>7</v>
      </c>
      <c r="C8" s="27" t="s">
        <v>8</v>
      </c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51</v>
      </c>
      <c r="F9" s="10"/>
      <c r="G9" s="10">
        <f t="shared" ref="G9:G42" si="0">SUM(C9:F9)</f>
        <v>51</v>
      </c>
      <c r="H9" s="16">
        <f t="shared" ref="H9:H42" si="1">ROUND(G9/2614,2)</f>
        <v>0.02</v>
      </c>
      <c r="I9" s="15">
        <f t="shared" ref="I9:I42" si="2">ROUND(G9/$G$43,3)</f>
        <v>0</v>
      </c>
      <c r="J9" s="15">
        <f>ROUND(G9/28-1,2)</f>
        <v>0.82</v>
      </c>
    </row>
    <row r="10" spans="1:10" x14ac:dyDescent="0.25">
      <c r="A10" s="1" t="s">
        <v>16</v>
      </c>
      <c r="B10" s="1" t="s">
        <v>19</v>
      </c>
      <c r="C10" s="10">
        <v>91090</v>
      </c>
      <c r="D10" s="10"/>
      <c r="E10" s="10"/>
      <c r="F10" s="10"/>
      <c r="G10" s="10">
        <f t="shared" si="0"/>
        <v>91090</v>
      </c>
      <c r="H10" s="16">
        <f t="shared" si="1"/>
        <v>34.85</v>
      </c>
      <c r="I10" s="15">
        <f t="shared" si="2"/>
        <v>9.2999999999999999E-2</v>
      </c>
      <c r="J10" s="15">
        <f>ROUND(G10/82360-1,2)</f>
        <v>0.11</v>
      </c>
    </row>
    <row r="11" spans="1:10" x14ac:dyDescent="0.25">
      <c r="A11" s="1" t="s">
        <v>16</v>
      </c>
      <c r="B11" s="1" t="s">
        <v>20</v>
      </c>
      <c r="C11" s="10">
        <v>134310</v>
      </c>
      <c r="D11" s="10"/>
      <c r="E11" s="10"/>
      <c r="F11" s="10"/>
      <c r="G11" s="10">
        <f t="shared" si="0"/>
        <v>134310</v>
      </c>
      <c r="H11" s="16">
        <f t="shared" si="1"/>
        <v>51.38</v>
      </c>
      <c r="I11" s="15">
        <f t="shared" si="2"/>
        <v>0.13700000000000001</v>
      </c>
      <c r="J11" s="15">
        <f>ROUND(G11/131340-1,2)</f>
        <v>0.02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49</v>
      </c>
      <c r="F12" s="10"/>
      <c r="G12" s="10">
        <f t="shared" si="0"/>
        <v>49</v>
      </c>
      <c r="H12" s="16">
        <f t="shared" si="1"/>
        <v>0.02</v>
      </c>
      <c r="I12" s="15">
        <f t="shared" si="2"/>
        <v>0</v>
      </c>
      <c r="J12" s="15">
        <f>ROUND(G12/76-1,2)</f>
        <v>-0.36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98</v>
      </c>
      <c r="F13" s="10"/>
      <c r="G13" s="10">
        <f t="shared" si="0"/>
        <v>98</v>
      </c>
      <c r="H13" s="16">
        <f t="shared" si="1"/>
        <v>0.04</v>
      </c>
      <c r="I13" s="15">
        <f t="shared" si="2"/>
        <v>0</v>
      </c>
      <c r="J13" s="15">
        <f>ROUND(G13/148-1,2)</f>
        <v>-0.34</v>
      </c>
    </row>
    <row r="14" spans="1:10" x14ac:dyDescent="0.25">
      <c r="A14" s="1" t="s">
        <v>16</v>
      </c>
      <c r="B14" s="1" t="s">
        <v>22</v>
      </c>
      <c r="C14" s="10"/>
      <c r="D14" s="10"/>
      <c r="E14" s="10">
        <v>1700</v>
      </c>
      <c r="F14" s="10"/>
      <c r="G14" s="10">
        <f t="shared" si="0"/>
        <v>1700</v>
      </c>
      <c r="H14" s="16">
        <f t="shared" si="1"/>
        <v>0.65</v>
      </c>
      <c r="I14" s="15">
        <f t="shared" si="2"/>
        <v>2E-3</v>
      </c>
      <c r="J14" s="15">
        <f>ROUND(G14/800-1,2)</f>
        <v>1.1299999999999999</v>
      </c>
    </row>
    <row r="15" spans="1:10" x14ac:dyDescent="0.25">
      <c r="A15" s="1" t="s">
        <v>16</v>
      </c>
      <c r="B15" s="1" t="s">
        <v>98</v>
      </c>
      <c r="C15" s="10"/>
      <c r="D15" s="10"/>
      <c r="E15" s="10"/>
      <c r="F15" s="10">
        <v>100</v>
      </c>
      <c r="G15" s="10">
        <f t="shared" si="0"/>
        <v>100</v>
      </c>
      <c r="H15" s="16">
        <f t="shared" si="1"/>
        <v>0.04</v>
      </c>
      <c r="I15" s="15">
        <f t="shared" si="2"/>
        <v>0</v>
      </c>
      <c r="J15" s="15"/>
    </row>
    <row r="16" spans="1:10" x14ac:dyDescent="0.25">
      <c r="A16" s="1" t="s">
        <v>16</v>
      </c>
      <c r="B16" s="1" t="s">
        <v>23</v>
      </c>
      <c r="C16" s="10"/>
      <c r="D16" s="10"/>
      <c r="E16" s="10">
        <v>24700</v>
      </c>
      <c r="F16" s="10"/>
      <c r="G16" s="10">
        <f t="shared" si="0"/>
        <v>24700</v>
      </c>
      <c r="H16" s="16">
        <f t="shared" si="1"/>
        <v>9.4499999999999993</v>
      </c>
      <c r="I16" s="15">
        <f t="shared" si="2"/>
        <v>2.5000000000000001E-2</v>
      </c>
      <c r="J16" s="15">
        <f>ROUND(G16/31780-1,2)</f>
        <v>-0.22</v>
      </c>
    </row>
    <row r="17" spans="1:10" x14ac:dyDescent="0.25">
      <c r="A17" s="1" t="s">
        <v>16</v>
      </c>
      <c r="B17" s="1" t="s">
        <v>24</v>
      </c>
      <c r="C17" s="10">
        <v>128795</v>
      </c>
      <c r="D17" s="10"/>
      <c r="E17" s="10">
        <v>4900</v>
      </c>
      <c r="F17" s="10"/>
      <c r="G17" s="10">
        <f t="shared" si="0"/>
        <v>133695</v>
      </c>
      <c r="H17" s="16">
        <f t="shared" si="1"/>
        <v>51.15</v>
      </c>
      <c r="I17" s="15">
        <f t="shared" si="2"/>
        <v>0.13700000000000001</v>
      </c>
      <c r="J17" s="15">
        <f>ROUND(G17/127955-1,2)</f>
        <v>0.04</v>
      </c>
    </row>
    <row r="18" spans="1:10" x14ac:dyDescent="0.25">
      <c r="A18" s="1" t="s">
        <v>16</v>
      </c>
      <c r="B18" s="1" t="s">
        <v>25</v>
      </c>
      <c r="C18" s="10"/>
      <c r="D18" s="10"/>
      <c r="E18" s="10">
        <v>4535</v>
      </c>
      <c r="F18" s="10"/>
      <c r="G18" s="10">
        <f t="shared" si="0"/>
        <v>4535</v>
      </c>
      <c r="H18" s="16">
        <f t="shared" si="1"/>
        <v>1.73</v>
      </c>
      <c r="I18" s="15">
        <f t="shared" si="2"/>
        <v>5.0000000000000001E-3</v>
      </c>
      <c r="J18" s="15">
        <f>ROUND(G18/3070-1,2)</f>
        <v>0.48</v>
      </c>
    </row>
    <row r="19" spans="1:10" x14ac:dyDescent="0.25">
      <c r="A19" s="1" t="s">
        <v>16</v>
      </c>
      <c r="B19" s="1" t="s">
        <v>26</v>
      </c>
      <c r="C19" s="10">
        <v>215570</v>
      </c>
      <c r="D19" s="10"/>
      <c r="E19" s="10"/>
      <c r="F19" s="10">
        <v>1620</v>
      </c>
      <c r="G19" s="10">
        <f t="shared" si="0"/>
        <v>217190</v>
      </c>
      <c r="H19" s="16">
        <f t="shared" si="1"/>
        <v>83.09</v>
      </c>
      <c r="I19" s="15">
        <f t="shared" si="2"/>
        <v>0.222</v>
      </c>
      <c r="J19" s="15">
        <f>ROUND(G19/184970-1,2)</f>
        <v>0.17</v>
      </c>
    </row>
    <row r="20" spans="1:10" x14ac:dyDescent="0.25">
      <c r="A20" s="1" t="s">
        <v>16</v>
      </c>
      <c r="B20" s="1" t="s">
        <v>27</v>
      </c>
      <c r="C20" s="10"/>
      <c r="D20" s="10"/>
      <c r="E20" s="10">
        <v>869</v>
      </c>
      <c r="F20" s="10"/>
      <c r="G20" s="10">
        <f t="shared" si="0"/>
        <v>869</v>
      </c>
      <c r="H20" s="16">
        <f t="shared" si="1"/>
        <v>0.33</v>
      </c>
      <c r="I20" s="15">
        <f t="shared" si="2"/>
        <v>1E-3</v>
      </c>
      <c r="J20" s="15">
        <f>ROUND(G20/469-1,2)</f>
        <v>0.85</v>
      </c>
    </row>
    <row r="21" spans="1:10" x14ac:dyDescent="0.25">
      <c r="A21" s="1" t="s">
        <v>16</v>
      </c>
      <c r="B21" s="1" t="s">
        <v>28</v>
      </c>
      <c r="C21" s="10"/>
      <c r="D21" s="10"/>
      <c r="E21" s="10">
        <v>682</v>
      </c>
      <c r="F21" s="10"/>
      <c r="G21" s="10">
        <f t="shared" si="0"/>
        <v>682</v>
      </c>
      <c r="H21" s="16">
        <f t="shared" si="1"/>
        <v>0.26</v>
      </c>
      <c r="I21" s="15">
        <f t="shared" si="2"/>
        <v>1E-3</v>
      </c>
      <c r="J21" s="15">
        <f>ROUND(G21/559-1,2)</f>
        <v>0.22</v>
      </c>
    </row>
    <row r="22" spans="1:10" x14ac:dyDescent="0.25">
      <c r="A22" s="1" t="s">
        <v>16</v>
      </c>
      <c r="B22" s="1" t="s">
        <v>29</v>
      </c>
      <c r="C22" s="10"/>
      <c r="D22" s="10"/>
      <c r="E22" s="10">
        <v>2420</v>
      </c>
      <c r="F22" s="10"/>
      <c r="G22" s="10">
        <f t="shared" si="0"/>
        <v>2420</v>
      </c>
      <c r="H22" s="16">
        <f t="shared" si="1"/>
        <v>0.93</v>
      </c>
      <c r="I22" s="15">
        <f t="shared" si="2"/>
        <v>2E-3</v>
      </c>
      <c r="J22" s="15">
        <f>ROUND(G22/6160-1,2)</f>
        <v>-0.61</v>
      </c>
    </row>
    <row r="23" spans="1:10" x14ac:dyDescent="0.25">
      <c r="A23" s="1" t="s">
        <v>16</v>
      </c>
      <c r="B23" s="1" t="s">
        <v>30</v>
      </c>
      <c r="C23" s="10"/>
      <c r="D23" s="10"/>
      <c r="E23" s="10">
        <v>650</v>
      </c>
      <c r="F23" s="10"/>
      <c r="G23" s="10">
        <f t="shared" si="0"/>
        <v>650</v>
      </c>
      <c r="H23" s="16">
        <f t="shared" si="1"/>
        <v>0.25</v>
      </c>
      <c r="I23" s="15">
        <f t="shared" si="2"/>
        <v>1E-3</v>
      </c>
      <c r="J23" s="15">
        <f>ROUND(G23/750-1,2)</f>
        <v>-0.13</v>
      </c>
    </row>
    <row r="24" spans="1:10" x14ac:dyDescent="0.25">
      <c r="A24" s="1" t="s">
        <v>16</v>
      </c>
      <c r="B24" s="1" t="s">
        <v>32</v>
      </c>
      <c r="C24" s="10"/>
      <c r="D24" s="10"/>
      <c r="E24" s="10">
        <v>1309</v>
      </c>
      <c r="F24" s="10"/>
      <c r="G24" s="10">
        <f t="shared" si="0"/>
        <v>1309</v>
      </c>
      <c r="H24" s="16">
        <f t="shared" si="1"/>
        <v>0.5</v>
      </c>
      <c r="I24" s="15">
        <f t="shared" si="2"/>
        <v>1E-3</v>
      </c>
      <c r="J24" s="15">
        <f>ROUND(G24/1670-1,2)</f>
        <v>-0.22</v>
      </c>
    </row>
    <row r="25" spans="1:10" x14ac:dyDescent="0.25">
      <c r="A25" s="1" t="s">
        <v>16</v>
      </c>
      <c r="B25" s="1" t="s">
        <v>33</v>
      </c>
      <c r="C25" s="10"/>
      <c r="D25" s="10">
        <v>375</v>
      </c>
      <c r="E25" s="10">
        <v>95</v>
      </c>
      <c r="F25" s="10"/>
      <c r="G25" s="10">
        <f t="shared" si="0"/>
        <v>470</v>
      </c>
      <c r="H25" s="16">
        <f t="shared" si="1"/>
        <v>0.18</v>
      </c>
      <c r="I25" s="15">
        <f t="shared" si="2"/>
        <v>0</v>
      </c>
      <c r="J25" s="15">
        <f>ROUND(G25/393-1,2)</f>
        <v>0.2</v>
      </c>
    </row>
    <row r="26" spans="1:10" x14ac:dyDescent="0.25">
      <c r="A26" s="1" t="s">
        <v>16</v>
      </c>
      <c r="B26" s="1" t="s">
        <v>35</v>
      </c>
      <c r="C26" s="10"/>
      <c r="D26" s="10"/>
      <c r="E26" s="10">
        <v>119</v>
      </c>
      <c r="F26" s="10"/>
      <c r="G26" s="10">
        <f t="shared" si="0"/>
        <v>119</v>
      </c>
      <c r="H26" s="16">
        <f t="shared" si="1"/>
        <v>0.05</v>
      </c>
      <c r="I26" s="15">
        <f t="shared" si="2"/>
        <v>0</v>
      </c>
      <c r="J26" s="15">
        <f>ROUND(G26/392-1,2)</f>
        <v>-0.7</v>
      </c>
    </row>
    <row r="27" spans="1:10" x14ac:dyDescent="0.25">
      <c r="A27" s="1" t="s">
        <v>16</v>
      </c>
      <c r="B27" s="1" t="s">
        <v>34</v>
      </c>
      <c r="C27" s="10"/>
      <c r="D27" s="10"/>
      <c r="E27" s="10">
        <v>1120</v>
      </c>
      <c r="F27" s="10"/>
      <c r="G27" s="10">
        <f t="shared" si="0"/>
        <v>1120</v>
      </c>
      <c r="H27" s="16">
        <f t="shared" si="1"/>
        <v>0.43</v>
      </c>
      <c r="I27" s="15">
        <f t="shared" si="2"/>
        <v>1E-3</v>
      </c>
      <c r="J27" s="15">
        <f>ROUND(G27/2480-1,2)</f>
        <v>-0.55000000000000004</v>
      </c>
    </row>
    <row r="28" spans="1:10" x14ac:dyDescent="0.25">
      <c r="A28" s="1" t="s">
        <v>16</v>
      </c>
      <c r="B28" s="1" t="s">
        <v>37</v>
      </c>
      <c r="C28" s="10"/>
      <c r="D28" s="10"/>
      <c r="E28" s="10">
        <v>5020</v>
      </c>
      <c r="F28" s="10"/>
      <c r="G28" s="10">
        <f t="shared" si="0"/>
        <v>5020</v>
      </c>
      <c r="H28" s="16">
        <f t="shared" si="1"/>
        <v>1.92</v>
      </c>
      <c r="I28" s="15">
        <f t="shared" si="2"/>
        <v>5.0000000000000001E-3</v>
      </c>
      <c r="J28" s="15">
        <f>ROUND(G28/8260-1,2)</f>
        <v>-0.39</v>
      </c>
    </row>
    <row r="29" spans="1:10" x14ac:dyDescent="0.25">
      <c r="A29" s="1" t="s">
        <v>16</v>
      </c>
      <c r="B29" s="1" t="s">
        <v>43</v>
      </c>
      <c r="C29" s="10"/>
      <c r="D29" s="10"/>
      <c r="E29" s="10">
        <v>700</v>
      </c>
      <c r="F29" s="10"/>
      <c r="G29" s="10">
        <f t="shared" si="0"/>
        <v>700</v>
      </c>
      <c r="H29" s="16">
        <f t="shared" si="1"/>
        <v>0.27</v>
      </c>
      <c r="I29" s="15">
        <f t="shared" si="2"/>
        <v>1E-3</v>
      </c>
      <c r="J29" s="15">
        <f>ROUND(G29/9620-1,2)</f>
        <v>-0.93</v>
      </c>
    </row>
    <row r="30" spans="1:10" x14ac:dyDescent="0.25">
      <c r="A30" s="1" t="s">
        <v>16</v>
      </c>
      <c r="B30" s="1" t="s">
        <v>38</v>
      </c>
      <c r="C30" s="10"/>
      <c r="D30" s="10"/>
      <c r="E30" s="10">
        <v>71110</v>
      </c>
      <c r="F30" s="10"/>
      <c r="G30" s="10">
        <f t="shared" si="0"/>
        <v>71110</v>
      </c>
      <c r="H30" s="16">
        <f t="shared" si="1"/>
        <v>27.2</v>
      </c>
      <c r="I30" s="15">
        <f t="shared" si="2"/>
        <v>7.2999999999999995E-2</v>
      </c>
      <c r="J30" s="15">
        <f>ROUND(G30/75160-1,2)</f>
        <v>-0.05</v>
      </c>
    </row>
    <row r="31" spans="1:10" x14ac:dyDescent="0.25">
      <c r="A31" s="1" t="s">
        <v>16</v>
      </c>
      <c r="B31" s="1" t="s">
        <v>39</v>
      </c>
      <c r="C31" s="10"/>
      <c r="D31" s="10"/>
      <c r="E31" s="10">
        <v>5420</v>
      </c>
      <c r="F31" s="10"/>
      <c r="G31" s="10">
        <f t="shared" si="0"/>
        <v>5420</v>
      </c>
      <c r="H31" s="16">
        <f t="shared" si="1"/>
        <v>2.0699999999999998</v>
      </c>
      <c r="I31" s="15">
        <f t="shared" si="2"/>
        <v>6.0000000000000001E-3</v>
      </c>
      <c r="J31" s="15">
        <f>ROUND(G31/5100-1,2)</f>
        <v>0.06</v>
      </c>
    </row>
    <row r="32" spans="1:10" x14ac:dyDescent="0.25">
      <c r="A32" s="1" t="s">
        <v>16</v>
      </c>
      <c r="B32" s="1" t="s">
        <v>40</v>
      </c>
      <c r="C32" s="10"/>
      <c r="D32" s="10"/>
      <c r="E32" s="10">
        <v>20820</v>
      </c>
      <c r="F32" s="10"/>
      <c r="G32" s="10">
        <f t="shared" si="0"/>
        <v>20820</v>
      </c>
      <c r="H32" s="16">
        <f t="shared" si="1"/>
        <v>7.96</v>
      </c>
      <c r="I32" s="15">
        <f t="shared" si="2"/>
        <v>2.1000000000000001E-2</v>
      </c>
      <c r="J32" s="15">
        <f>ROUND(G32/21290-1,2)</f>
        <v>-0.02</v>
      </c>
    </row>
    <row r="33" spans="1:10" x14ac:dyDescent="0.25">
      <c r="A33" s="1" t="s">
        <v>16</v>
      </c>
      <c r="B33" s="1" t="s">
        <v>41</v>
      </c>
      <c r="C33" s="10"/>
      <c r="D33" s="10"/>
      <c r="E33" s="10"/>
      <c r="F33" s="10">
        <v>47320</v>
      </c>
      <c r="G33" s="10">
        <f t="shared" si="0"/>
        <v>47320</v>
      </c>
      <c r="H33" s="16">
        <f t="shared" si="1"/>
        <v>18.100000000000001</v>
      </c>
      <c r="I33" s="15">
        <f t="shared" si="2"/>
        <v>4.8000000000000001E-2</v>
      </c>
      <c r="J33" s="15">
        <f>ROUND(G33/11740-1,2)</f>
        <v>3.03</v>
      </c>
    </row>
    <row r="34" spans="1:10" x14ac:dyDescent="0.25">
      <c r="A34" s="1" t="s">
        <v>16</v>
      </c>
      <c r="B34" s="1" t="s">
        <v>227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/>
    </row>
    <row r="35" spans="1:10" x14ac:dyDescent="0.25">
      <c r="A35" s="1" t="s">
        <v>16</v>
      </c>
      <c r="B35" s="1" t="s">
        <v>31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>
        <f>ROUND(G35/250-1,2)</f>
        <v>-1</v>
      </c>
    </row>
    <row r="36" spans="1:10" x14ac:dyDescent="0.25">
      <c r="A36" s="1" t="s">
        <v>16</v>
      </c>
      <c r="B36" s="1" t="s">
        <v>36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>
        <f>ROUND(G36/3580-1,2)</f>
        <v>-1</v>
      </c>
    </row>
    <row r="37" spans="1:10" x14ac:dyDescent="0.25">
      <c r="A37" s="1" t="s">
        <v>16</v>
      </c>
      <c r="B37" s="1" t="s">
        <v>42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>
        <f>ROUND(G37/87-1,2)</f>
        <v>-1</v>
      </c>
    </row>
    <row r="38" spans="1:10" x14ac:dyDescent="0.25">
      <c r="A38" s="1" t="s">
        <v>44</v>
      </c>
      <c r="B38" s="1" t="s">
        <v>45</v>
      </c>
      <c r="C38" s="10">
        <v>164820</v>
      </c>
      <c r="D38" s="10"/>
      <c r="E38" s="10"/>
      <c r="F38" s="10"/>
      <c r="G38" s="10">
        <f t="shared" si="0"/>
        <v>164820</v>
      </c>
      <c r="H38" s="16">
        <f t="shared" si="1"/>
        <v>63.05</v>
      </c>
      <c r="I38" s="15">
        <f t="shared" si="2"/>
        <v>0.16900000000000001</v>
      </c>
      <c r="J38" s="15">
        <f>ROUND(G38/270400-1,2)</f>
        <v>-0.39</v>
      </c>
    </row>
    <row r="39" spans="1:10" x14ac:dyDescent="0.25">
      <c r="A39" s="1" t="s">
        <v>44</v>
      </c>
      <c r="B39" s="1" t="s">
        <v>46</v>
      </c>
      <c r="C39" s="10"/>
      <c r="D39" s="10"/>
      <c r="E39" s="10">
        <v>47450</v>
      </c>
      <c r="F39" s="10"/>
      <c r="G39" s="10">
        <f t="shared" si="0"/>
        <v>47450</v>
      </c>
      <c r="H39" s="16">
        <f t="shared" si="1"/>
        <v>18.149999999999999</v>
      </c>
      <c r="I39" s="15">
        <f t="shared" si="2"/>
        <v>4.9000000000000002E-2</v>
      </c>
      <c r="J39" s="15">
        <f>ROUND(G39/39200-1,2)</f>
        <v>0.21</v>
      </c>
    </row>
    <row r="40" spans="1:10" x14ac:dyDescent="0.25">
      <c r="A40" s="1" t="s">
        <v>44</v>
      </c>
      <c r="B40" s="1" t="s">
        <v>47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/>
    </row>
    <row r="41" spans="1:10" x14ac:dyDescent="0.25">
      <c r="A41" s="1" t="s">
        <v>48</v>
      </c>
      <c r="B41" s="1" t="s">
        <v>51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/>
    </row>
    <row r="42" spans="1:10" x14ac:dyDescent="0.25">
      <c r="A42" s="1" t="s">
        <v>48</v>
      </c>
      <c r="B42" s="1" t="s">
        <v>86</v>
      </c>
      <c r="C42" s="10"/>
      <c r="D42" s="10"/>
      <c r="E42" s="10"/>
      <c r="F42" s="10"/>
      <c r="G42" s="10">
        <f t="shared" si="0"/>
        <v>0</v>
      </c>
      <c r="H42" s="16">
        <f t="shared" si="1"/>
        <v>0</v>
      </c>
      <c r="I42" s="15">
        <f t="shared" si="2"/>
        <v>0</v>
      </c>
      <c r="J42" s="15"/>
    </row>
    <row r="43" spans="1:10" x14ac:dyDescent="0.25">
      <c r="A43" s="30" t="s">
        <v>12</v>
      </c>
      <c r="B43" s="30"/>
      <c r="C43" s="11">
        <f t="shared" ref="C43:H43" si="3">SUM(C8:C42)</f>
        <v>734585</v>
      </c>
      <c r="D43" s="11">
        <f t="shared" si="3"/>
        <v>375</v>
      </c>
      <c r="E43" s="11">
        <f t="shared" si="3"/>
        <v>193817</v>
      </c>
      <c r="F43" s="11">
        <f t="shared" si="3"/>
        <v>49040</v>
      </c>
      <c r="G43" s="11">
        <f t="shared" si="3"/>
        <v>977817</v>
      </c>
      <c r="H43" s="14">
        <f t="shared" si="3"/>
        <v>374.07000000000005</v>
      </c>
      <c r="I43" s="17"/>
      <c r="J43" s="17"/>
    </row>
    <row r="44" spans="1:10" x14ac:dyDescent="0.25">
      <c r="A44" s="30" t="s">
        <v>14</v>
      </c>
      <c r="B44" s="30"/>
      <c r="C44" s="12">
        <f>ROUND(C43/G43,2)</f>
        <v>0.75</v>
      </c>
      <c r="D44" s="12">
        <f>ROUND(D43/G43,2)</f>
        <v>0</v>
      </c>
      <c r="E44" s="12">
        <f>ROUND(E43/G43,2)</f>
        <v>0.2</v>
      </c>
      <c r="F44" s="12">
        <f>ROUND(F43/G43,2)</f>
        <v>0.05</v>
      </c>
      <c r="G44" s="13"/>
      <c r="H44" s="13"/>
      <c r="I44" s="17"/>
      <c r="J44" s="17"/>
    </row>
    <row r="45" spans="1:10" x14ac:dyDescent="0.25">
      <c r="A45" s="2" t="s">
        <v>52</v>
      </c>
      <c r="B45" s="2"/>
      <c r="C45" s="13"/>
      <c r="D45" s="13"/>
      <c r="E45" s="13"/>
      <c r="F45" s="13"/>
      <c r="G45" s="13"/>
      <c r="H45" s="13"/>
      <c r="I45" s="17"/>
      <c r="J45" s="17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A49" s="30" t="s">
        <v>53</v>
      </c>
      <c r="B49" s="30"/>
      <c r="C49" s="11" t="s">
        <v>8</v>
      </c>
      <c r="D49" s="11" t="s">
        <v>9</v>
      </c>
      <c r="E49" s="11" t="s">
        <v>10</v>
      </c>
      <c r="F49" s="11" t="s">
        <v>11</v>
      </c>
      <c r="G49" s="11" t="s">
        <v>12</v>
      </c>
      <c r="H49" s="14" t="s">
        <v>13</v>
      </c>
      <c r="I49" s="17"/>
      <c r="J49" s="17"/>
    </row>
    <row r="50" spans="1:10" x14ac:dyDescent="0.25">
      <c r="A50" s="29" t="s">
        <v>54</v>
      </c>
      <c r="B50" s="29"/>
      <c r="C50" s="10">
        <v>569765</v>
      </c>
      <c r="D50" s="10">
        <v>375</v>
      </c>
      <c r="E50" s="10">
        <v>146367</v>
      </c>
      <c r="F50" s="10">
        <v>49040</v>
      </c>
      <c r="G50" s="10">
        <f>SUM(C50:F50)</f>
        <v>765547</v>
      </c>
      <c r="H50" s="16">
        <f>ROUND(G50/2614,2)</f>
        <v>292.86</v>
      </c>
      <c r="I50" s="9"/>
      <c r="J50" s="9"/>
    </row>
    <row r="51" spans="1:10" x14ac:dyDescent="0.25">
      <c r="A51" s="29" t="s">
        <v>55</v>
      </c>
      <c r="B51" s="29"/>
      <c r="C51" s="10">
        <v>164820</v>
      </c>
      <c r="D51" s="10">
        <v>0</v>
      </c>
      <c r="E51" s="10">
        <v>47450</v>
      </c>
      <c r="F51" s="10">
        <v>0</v>
      </c>
      <c r="G51" s="10">
        <f>SUM(C51:F51)</f>
        <v>212270</v>
      </c>
      <c r="H51" s="16">
        <f>ROUND(G51/2614,2)</f>
        <v>81.209999999999994</v>
      </c>
      <c r="I51" s="9"/>
      <c r="J51" s="9"/>
    </row>
    <row r="52" spans="1:10" x14ac:dyDescent="0.25">
      <c r="A52" s="29" t="s">
        <v>56</v>
      </c>
      <c r="B52" s="29"/>
      <c r="C52" s="10">
        <v>0</v>
      </c>
      <c r="D52" s="10">
        <v>0</v>
      </c>
      <c r="E52" s="10">
        <v>0</v>
      </c>
      <c r="F52" s="10">
        <v>0</v>
      </c>
      <c r="G52" s="10">
        <f>SUM(C52:F52)</f>
        <v>0</v>
      </c>
      <c r="H52" s="16">
        <f>ROUND(G52/2614,2)</f>
        <v>0</v>
      </c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A57" s="30" t="s">
        <v>57</v>
      </c>
      <c r="B57" s="30"/>
      <c r="C57" s="14" t="s">
        <v>2</v>
      </c>
      <c r="D57" s="14">
        <v>2023</v>
      </c>
      <c r="E57" s="14" t="s">
        <v>59</v>
      </c>
      <c r="F57" s="13"/>
      <c r="G57" s="20" t="s">
        <v>60</v>
      </c>
      <c r="H57" s="14" t="s">
        <v>2</v>
      </c>
      <c r="I57" s="12" t="s">
        <v>61</v>
      </c>
      <c r="J57" s="12" t="s">
        <v>59</v>
      </c>
    </row>
    <row r="58" spans="1:10" x14ac:dyDescent="0.25">
      <c r="A58" s="29" t="s">
        <v>58</v>
      </c>
      <c r="B58" s="29"/>
      <c r="C58" s="15">
        <f>ROUND(0.8216, 4)</f>
        <v>0.8216</v>
      </c>
      <c r="D58" s="15">
        <f>ROUND(0.7219, 4)</f>
        <v>0.72189999999999999</v>
      </c>
      <c r="E58" s="15">
        <f>ROUND(0.777, 4)</f>
        <v>0.77700000000000002</v>
      </c>
      <c r="F58" s="8"/>
      <c r="G58" s="20" t="s">
        <v>62</v>
      </c>
      <c r="H58" s="33" t="s">
        <v>63</v>
      </c>
      <c r="I58" s="31" t="s">
        <v>64</v>
      </c>
      <c r="J58" s="31" t="s">
        <v>65</v>
      </c>
    </row>
    <row r="59" spans="1:10" x14ac:dyDescent="0.25">
      <c r="A59" s="29" t="s">
        <v>66</v>
      </c>
      <c r="B59" s="29"/>
      <c r="C59" s="15">
        <f>ROUND(0.8093, 4)</f>
        <v>0.80930000000000002</v>
      </c>
      <c r="D59" s="15">
        <f>ROUND(0.7112, 4)</f>
        <v>0.71120000000000005</v>
      </c>
      <c r="E59" s="15">
        <f>ROUND(0.7608, 4)</f>
        <v>0.76080000000000003</v>
      </c>
      <c r="F59" s="8"/>
      <c r="G59" s="14" t="s">
        <v>67</v>
      </c>
      <c r="H59" s="34"/>
      <c r="I59" s="32"/>
      <c r="J59" s="32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A63" s="30" t="s">
        <v>68</v>
      </c>
      <c r="B63" s="30"/>
      <c r="C63" s="14" t="s">
        <v>2</v>
      </c>
      <c r="D63" s="14" t="s">
        <v>228</v>
      </c>
      <c r="E63" s="14" t="s">
        <v>70</v>
      </c>
      <c r="F63" s="14" t="s">
        <v>71</v>
      </c>
      <c r="G63" s="14" t="s">
        <v>72</v>
      </c>
      <c r="H63" s="13"/>
      <c r="I63" s="17"/>
      <c r="J63" s="17"/>
    </row>
    <row r="64" spans="1:10" x14ac:dyDescent="0.25">
      <c r="A64" s="29" t="s">
        <v>73</v>
      </c>
      <c r="B64" s="29"/>
      <c r="C64" s="16">
        <v>63.05</v>
      </c>
      <c r="D64" s="16">
        <v>98.83</v>
      </c>
      <c r="E64" s="16">
        <v>93.87</v>
      </c>
      <c r="F64" s="16">
        <v>57.16</v>
      </c>
      <c r="G64" s="16">
        <f>12/12*C64</f>
        <v>63.05</v>
      </c>
      <c r="H64" s="8"/>
      <c r="I64" s="9"/>
      <c r="J64" s="9"/>
    </row>
    <row r="65" spans="1:10" x14ac:dyDescent="0.25">
      <c r="A65" s="29" t="s">
        <v>74</v>
      </c>
      <c r="B65" s="29"/>
      <c r="C65" s="16">
        <v>83.09</v>
      </c>
      <c r="D65" s="16">
        <v>73.989999999999995</v>
      </c>
      <c r="E65" s="16">
        <v>62.84</v>
      </c>
      <c r="F65" s="16">
        <v>65.39</v>
      </c>
      <c r="G65" s="16">
        <f>12/12*C65</f>
        <v>83.09</v>
      </c>
      <c r="H65" s="8"/>
      <c r="I65" s="9"/>
      <c r="J65" s="9"/>
    </row>
    <row r="66" spans="1:10" x14ac:dyDescent="0.25">
      <c r="A66" s="29" t="s">
        <v>75</v>
      </c>
      <c r="B66" s="29"/>
      <c r="C66" s="16">
        <v>292.86</v>
      </c>
      <c r="D66" s="16">
        <v>275.69</v>
      </c>
      <c r="E66" s="16">
        <v>295.08999999999997</v>
      </c>
      <c r="F66" s="16">
        <v>289.06</v>
      </c>
      <c r="G66" s="16">
        <f>12/12*C66</f>
        <v>292.86</v>
      </c>
      <c r="H66" s="8"/>
      <c r="I66" s="9"/>
      <c r="J66" s="9"/>
    </row>
    <row r="67" spans="1:10" x14ac:dyDescent="0.25">
      <c r="A67" s="29" t="s">
        <v>76</v>
      </c>
      <c r="B67" s="29"/>
      <c r="C67" s="16">
        <v>81.209999999999994</v>
      </c>
      <c r="D67" s="16">
        <v>116.29</v>
      </c>
      <c r="E67" s="16">
        <v>118.05</v>
      </c>
      <c r="F67" s="16">
        <v>81.41</v>
      </c>
      <c r="G67" s="16">
        <f>12/12*C67</f>
        <v>81.209999999999994</v>
      </c>
      <c r="H67" s="8"/>
      <c r="I67" s="9"/>
      <c r="J67" s="9"/>
    </row>
    <row r="68" spans="1:10" x14ac:dyDescent="0.25">
      <c r="C68" s="8"/>
      <c r="D68" s="8"/>
      <c r="E68" s="8"/>
      <c r="F68" s="8"/>
      <c r="G68" s="8"/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28" t="s">
        <v>60</v>
      </c>
      <c r="B70" s="35"/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3" t="s">
        <v>77</v>
      </c>
      <c r="B71" s="1" t="s">
        <v>229</v>
      </c>
    </row>
    <row r="72" spans="1:10" x14ac:dyDescent="0.25">
      <c r="A72" s="3" t="s">
        <v>70</v>
      </c>
      <c r="B72" s="1" t="s">
        <v>79</v>
      </c>
    </row>
    <row r="73" spans="1:10" x14ac:dyDescent="0.25">
      <c r="A73" s="3" t="s">
        <v>71</v>
      </c>
      <c r="B73" s="1" t="s">
        <v>80</v>
      </c>
    </row>
    <row r="74" spans="1:10" x14ac:dyDescent="0.25">
      <c r="A74" s="3" t="s">
        <v>72</v>
      </c>
      <c r="B74" s="1" t="s">
        <v>81</v>
      </c>
    </row>
  </sheetData>
  <mergeCells count="19">
    <mergeCell ref="A65:B65"/>
    <mergeCell ref="A66:B66"/>
    <mergeCell ref="A67:B67"/>
    <mergeCell ref="A70:B70"/>
    <mergeCell ref="I58:I59"/>
    <mergeCell ref="J58:J59"/>
    <mergeCell ref="A59:B59"/>
    <mergeCell ref="A63:B63"/>
    <mergeCell ref="A64:B64"/>
    <mergeCell ref="A51:B51"/>
    <mergeCell ref="A52:B52"/>
    <mergeCell ref="A57:B57"/>
    <mergeCell ref="A58:B58"/>
    <mergeCell ref="H58:H59"/>
    <mergeCell ref="C7:G7"/>
    <mergeCell ref="A43:B43"/>
    <mergeCell ref="A44:B44"/>
    <mergeCell ref="A49:B49"/>
    <mergeCell ref="A50:B50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2:J74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2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230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2781</v>
      </c>
    </row>
    <row r="7" spans="1:10" x14ac:dyDescent="0.25">
      <c r="C7" s="28" t="s">
        <v>5</v>
      </c>
      <c r="D7" s="29"/>
      <c r="E7" s="29"/>
      <c r="F7" s="29"/>
      <c r="G7" s="29"/>
    </row>
    <row r="8" spans="1:10" x14ac:dyDescent="0.25">
      <c r="A8" s="25" t="s">
        <v>6</v>
      </c>
      <c r="B8" s="25" t="s">
        <v>7</v>
      </c>
      <c r="C8" s="27" t="s">
        <v>8</v>
      </c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84</v>
      </c>
      <c r="F9" s="10"/>
      <c r="G9" s="10">
        <f t="shared" ref="G9:G38" si="0">SUM(C9:F9)</f>
        <v>84</v>
      </c>
      <c r="H9" s="16">
        <f t="shared" ref="H9:H38" si="1">ROUND(G9/2781,2)</f>
        <v>0.03</v>
      </c>
      <c r="I9" s="15">
        <f t="shared" ref="I9:I38" si="2">ROUND(G9/$G$39,3)</f>
        <v>0</v>
      </c>
      <c r="J9" s="15"/>
    </row>
    <row r="10" spans="1:10" x14ac:dyDescent="0.25">
      <c r="A10" s="1" t="s">
        <v>16</v>
      </c>
      <c r="B10" s="1" t="s">
        <v>19</v>
      </c>
      <c r="C10" s="10">
        <v>88880</v>
      </c>
      <c r="D10" s="10"/>
      <c r="E10" s="10"/>
      <c r="F10" s="10"/>
      <c r="G10" s="10">
        <f t="shared" si="0"/>
        <v>88880</v>
      </c>
      <c r="H10" s="16">
        <f t="shared" si="1"/>
        <v>31.96</v>
      </c>
      <c r="I10" s="15">
        <f t="shared" si="2"/>
        <v>8.2000000000000003E-2</v>
      </c>
      <c r="J10" s="15">
        <f>ROUND(G10/84100-1,2)</f>
        <v>0.06</v>
      </c>
    </row>
    <row r="11" spans="1:10" x14ac:dyDescent="0.25">
      <c r="A11" s="1" t="s">
        <v>16</v>
      </c>
      <c r="B11" s="1" t="s">
        <v>20</v>
      </c>
      <c r="C11" s="10">
        <v>112810</v>
      </c>
      <c r="D11" s="10"/>
      <c r="E11" s="10"/>
      <c r="F11" s="10"/>
      <c r="G11" s="10">
        <f t="shared" si="0"/>
        <v>112810</v>
      </c>
      <c r="H11" s="16">
        <f t="shared" si="1"/>
        <v>40.56</v>
      </c>
      <c r="I11" s="15">
        <f t="shared" si="2"/>
        <v>0.104</v>
      </c>
      <c r="J11" s="15">
        <f>ROUND(G11/113730-1,2)</f>
        <v>-0.01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235</v>
      </c>
      <c r="F12" s="10"/>
      <c r="G12" s="10">
        <f t="shared" si="0"/>
        <v>235</v>
      </c>
      <c r="H12" s="16">
        <f t="shared" si="1"/>
        <v>0.08</v>
      </c>
      <c r="I12" s="15">
        <f t="shared" si="2"/>
        <v>0</v>
      </c>
      <c r="J12" s="15">
        <f>ROUND(G12/145-1,2)</f>
        <v>0.62</v>
      </c>
    </row>
    <row r="13" spans="1:10" x14ac:dyDescent="0.25">
      <c r="A13" s="1" t="s">
        <v>16</v>
      </c>
      <c r="B13" s="1" t="s">
        <v>23</v>
      </c>
      <c r="C13" s="10"/>
      <c r="D13" s="10"/>
      <c r="E13" s="10">
        <v>36460</v>
      </c>
      <c r="F13" s="10"/>
      <c r="G13" s="10">
        <f t="shared" si="0"/>
        <v>36460</v>
      </c>
      <c r="H13" s="16">
        <f t="shared" si="1"/>
        <v>13.11</v>
      </c>
      <c r="I13" s="15">
        <f t="shared" si="2"/>
        <v>3.4000000000000002E-2</v>
      </c>
      <c r="J13" s="15">
        <f>ROUND(G13/40200-1,2)</f>
        <v>-0.09</v>
      </c>
    </row>
    <row r="14" spans="1:10" x14ac:dyDescent="0.25">
      <c r="A14" s="1" t="s">
        <v>16</v>
      </c>
      <c r="B14" s="1" t="s">
        <v>24</v>
      </c>
      <c r="C14" s="10">
        <v>115100</v>
      </c>
      <c r="D14" s="10"/>
      <c r="E14" s="10"/>
      <c r="F14" s="10"/>
      <c r="G14" s="10">
        <f t="shared" si="0"/>
        <v>115100</v>
      </c>
      <c r="H14" s="16">
        <f t="shared" si="1"/>
        <v>41.39</v>
      </c>
      <c r="I14" s="15">
        <f t="shared" si="2"/>
        <v>0.106</v>
      </c>
      <c r="J14" s="15">
        <f>ROUND(G14/119410-1,2)</f>
        <v>-0.04</v>
      </c>
    </row>
    <row r="15" spans="1:10" x14ac:dyDescent="0.25">
      <c r="A15" s="1" t="s">
        <v>16</v>
      </c>
      <c r="B15" s="1" t="s">
        <v>25</v>
      </c>
      <c r="C15" s="10"/>
      <c r="D15" s="10"/>
      <c r="E15" s="10">
        <v>5180</v>
      </c>
      <c r="F15" s="10"/>
      <c r="G15" s="10">
        <f t="shared" si="0"/>
        <v>5180</v>
      </c>
      <c r="H15" s="16">
        <f t="shared" si="1"/>
        <v>1.86</v>
      </c>
      <c r="I15" s="15">
        <f t="shared" si="2"/>
        <v>5.0000000000000001E-3</v>
      </c>
      <c r="J15" s="15">
        <f>ROUND(G15/5610-1,2)</f>
        <v>-0.08</v>
      </c>
    </row>
    <row r="16" spans="1:10" x14ac:dyDescent="0.25">
      <c r="A16" s="1" t="s">
        <v>16</v>
      </c>
      <c r="B16" s="1" t="s">
        <v>26</v>
      </c>
      <c r="C16" s="10">
        <v>198010</v>
      </c>
      <c r="D16" s="10"/>
      <c r="E16" s="10"/>
      <c r="F16" s="10">
        <v>80</v>
      </c>
      <c r="G16" s="10">
        <f t="shared" si="0"/>
        <v>198090</v>
      </c>
      <c r="H16" s="16">
        <f t="shared" si="1"/>
        <v>71.23</v>
      </c>
      <c r="I16" s="15">
        <f t="shared" si="2"/>
        <v>0.182</v>
      </c>
      <c r="J16" s="15">
        <f>ROUND(G16/196730-1,2)</f>
        <v>0.01</v>
      </c>
    </row>
    <row r="17" spans="1:10" x14ac:dyDescent="0.25">
      <c r="A17" s="1" t="s">
        <v>16</v>
      </c>
      <c r="B17" s="1" t="s">
        <v>29</v>
      </c>
      <c r="C17" s="10"/>
      <c r="D17" s="10"/>
      <c r="E17" s="10">
        <v>1650</v>
      </c>
      <c r="F17" s="10"/>
      <c r="G17" s="10">
        <f t="shared" si="0"/>
        <v>1650</v>
      </c>
      <c r="H17" s="16">
        <f t="shared" si="1"/>
        <v>0.59</v>
      </c>
      <c r="I17" s="15">
        <f t="shared" si="2"/>
        <v>2E-3</v>
      </c>
      <c r="J17" s="15">
        <f>ROUND(G17/3370-1,2)</f>
        <v>-0.51</v>
      </c>
    </row>
    <row r="18" spans="1:10" x14ac:dyDescent="0.25">
      <c r="A18" s="1" t="s">
        <v>16</v>
      </c>
      <c r="B18" s="1" t="s">
        <v>30</v>
      </c>
      <c r="C18" s="10"/>
      <c r="D18" s="10"/>
      <c r="E18" s="10">
        <v>830</v>
      </c>
      <c r="F18" s="10"/>
      <c r="G18" s="10">
        <f t="shared" si="0"/>
        <v>830</v>
      </c>
      <c r="H18" s="16">
        <f t="shared" si="1"/>
        <v>0.3</v>
      </c>
      <c r="I18" s="15">
        <f t="shared" si="2"/>
        <v>1E-3</v>
      </c>
      <c r="J18" s="15">
        <f>ROUND(G18/880-1,2)</f>
        <v>-0.06</v>
      </c>
    </row>
    <row r="19" spans="1:10" x14ac:dyDescent="0.25">
      <c r="A19" s="1" t="s">
        <v>16</v>
      </c>
      <c r="B19" s="1" t="s">
        <v>32</v>
      </c>
      <c r="C19" s="10"/>
      <c r="D19" s="10"/>
      <c r="E19" s="10">
        <v>1885</v>
      </c>
      <c r="F19" s="10"/>
      <c r="G19" s="10">
        <f t="shared" si="0"/>
        <v>1885</v>
      </c>
      <c r="H19" s="16">
        <f t="shared" si="1"/>
        <v>0.68</v>
      </c>
      <c r="I19" s="15">
        <f t="shared" si="2"/>
        <v>2E-3</v>
      </c>
      <c r="J19" s="15">
        <f>ROUND(G19/1440-1,2)</f>
        <v>0.31</v>
      </c>
    </row>
    <row r="20" spans="1:10" x14ac:dyDescent="0.25">
      <c r="A20" s="1" t="s">
        <v>16</v>
      </c>
      <c r="B20" s="1" t="s">
        <v>33</v>
      </c>
      <c r="C20" s="10"/>
      <c r="D20" s="10">
        <v>196</v>
      </c>
      <c r="E20" s="10">
        <v>50</v>
      </c>
      <c r="F20" s="10"/>
      <c r="G20" s="10">
        <f t="shared" si="0"/>
        <v>246</v>
      </c>
      <c r="H20" s="16">
        <f t="shared" si="1"/>
        <v>0.09</v>
      </c>
      <c r="I20" s="15">
        <f t="shared" si="2"/>
        <v>0</v>
      </c>
      <c r="J20" s="15">
        <f>ROUND(G20/228-1,2)</f>
        <v>0.08</v>
      </c>
    </row>
    <row r="21" spans="1:10" x14ac:dyDescent="0.25">
      <c r="A21" s="1" t="s">
        <v>16</v>
      </c>
      <c r="B21" s="1" t="s">
        <v>34</v>
      </c>
      <c r="C21" s="10"/>
      <c r="D21" s="10"/>
      <c r="E21" s="10">
        <v>900</v>
      </c>
      <c r="F21" s="10"/>
      <c r="G21" s="10">
        <f t="shared" si="0"/>
        <v>900</v>
      </c>
      <c r="H21" s="16">
        <f t="shared" si="1"/>
        <v>0.32</v>
      </c>
      <c r="I21" s="15">
        <f t="shared" si="2"/>
        <v>1E-3</v>
      </c>
      <c r="J21" s="15">
        <f>ROUND(G21/970-1,2)</f>
        <v>-7.0000000000000007E-2</v>
      </c>
    </row>
    <row r="22" spans="1:10" x14ac:dyDescent="0.25">
      <c r="A22" s="1" t="s">
        <v>16</v>
      </c>
      <c r="B22" s="1" t="s">
        <v>35</v>
      </c>
      <c r="C22" s="10"/>
      <c r="D22" s="10">
        <v>100</v>
      </c>
      <c r="E22" s="10"/>
      <c r="F22" s="10"/>
      <c r="G22" s="10">
        <f t="shared" si="0"/>
        <v>100</v>
      </c>
      <c r="H22" s="16">
        <f t="shared" si="1"/>
        <v>0.04</v>
      </c>
      <c r="I22" s="15">
        <f t="shared" si="2"/>
        <v>0</v>
      </c>
      <c r="J22" s="15">
        <f>ROUND(G22/380-1,2)</f>
        <v>-0.74</v>
      </c>
    </row>
    <row r="23" spans="1:10" x14ac:dyDescent="0.25">
      <c r="A23" s="1" t="s">
        <v>16</v>
      </c>
      <c r="B23" s="1" t="s">
        <v>37</v>
      </c>
      <c r="C23" s="10"/>
      <c r="D23" s="10"/>
      <c r="E23" s="10">
        <v>1790</v>
      </c>
      <c r="F23" s="10"/>
      <c r="G23" s="10">
        <f t="shared" si="0"/>
        <v>1790</v>
      </c>
      <c r="H23" s="16">
        <f t="shared" si="1"/>
        <v>0.64</v>
      </c>
      <c r="I23" s="15">
        <f t="shared" si="2"/>
        <v>2E-3</v>
      </c>
      <c r="J23" s="15">
        <f>ROUND(G23/1630-1,2)</f>
        <v>0.1</v>
      </c>
    </row>
    <row r="24" spans="1:10" x14ac:dyDescent="0.25">
      <c r="A24" s="1" t="s">
        <v>16</v>
      </c>
      <c r="B24" s="1" t="s">
        <v>43</v>
      </c>
      <c r="C24" s="10"/>
      <c r="D24" s="10"/>
      <c r="E24" s="10">
        <v>2450</v>
      </c>
      <c r="F24" s="10"/>
      <c r="G24" s="10">
        <f t="shared" si="0"/>
        <v>2450</v>
      </c>
      <c r="H24" s="16">
        <f t="shared" si="1"/>
        <v>0.88</v>
      </c>
      <c r="I24" s="15">
        <f t="shared" si="2"/>
        <v>2E-3</v>
      </c>
      <c r="J24" s="15">
        <f>ROUND(G24/6725-1,2)</f>
        <v>-0.64</v>
      </c>
    </row>
    <row r="25" spans="1:10" x14ac:dyDescent="0.25">
      <c r="A25" s="1" t="s">
        <v>16</v>
      </c>
      <c r="B25" s="1" t="s">
        <v>38</v>
      </c>
      <c r="C25" s="10"/>
      <c r="D25" s="10"/>
      <c r="E25" s="10">
        <v>64280</v>
      </c>
      <c r="F25" s="10"/>
      <c r="G25" s="10">
        <f t="shared" si="0"/>
        <v>64280</v>
      </c>
      <c r="H25" s="16">
        <f t="shared" si="1"/>
        <v>23.11</v>
      </c>
      <c r="I25" s="15">
        <f t="shared" si="2"/>
        <v>5.8999999999999997E-2</v>
      </c>
      <c r="J25" s="15">
        <f>ROUND(G25/50030-1,2)</f>
        <v>0.28000000000000003</v>
      </c>
    </row>
    <row r="26" spans="1:10" x14ac:dyDescent="0.25">
      <c r="A26" s="1" t="s">
        <v>16</v>
      </c>
      <c r="B26" s="1" t="s">
        <v>40</v>
      </c>
      <c r="C26" s="10"/>
      <c r="D26" s="10"/>
      <c r="E26" s="10">
        <v>18180</v>
      </c>
      <c r="F26" s="10"/>
      <c r="G26" s="10">
        <f t="shared" si="0"/>
        <v>18180</v>
      </c>
      <c r="H26" s="16">
        <f t="shared" si="1"/>
        <v>6.54</v>
      </c>
      <c r="I26" s="15">
        <f t="shared" si="2"/>
        <v>1.7000000000000001E-2</v>
      </c>
      <c r="J26" s="15">
        <f>ROUND(G26/17660-1,2)</f>
        <v>0.03</v>
      </c>
    </row>
    <row r="27" spans="1:10" x14ac:dyDescent="0.25">
      <c r="A27" s="1" t="s">
        <v>16</v>
      </c>
      <c r="B27" s="1" t="s">
        <v>41</v>
      </c>
      <c r="C27" s="10"/>
      <c r="D27" s="10"/>
      <c r="E27" s="10">
        <v>86790</v>
      </c>
      <c r="F27" s="10">
        <v>4900</v>
      </c>
      <c r="G27" s="10">
        <f t="shared" si="0"/>
        <v>91690</v>
      </c>
      <c r="H27" s="16">
        <f t="shared" si="1"/>
        <v>32.97</v>
      </c>
      <c r="I27" s="15">
        <f t="shared" si="2"/>
        <v>8.4000000000000005E-2</v>
      </c>
      <c r="J27" s="15">
        <f>ROUND(G27/83160-1,2)</f>
        <v>0.1</v>
      </c>
    </row>
    <row r="28" spans="1:10" x14ac:dyDescent="0.25">
      <c r="A28" s="1" t="s">
        <v>16</v>
      </c>
      <c r="B28" s="1" t="s">
        <v>36</v>
      </c>
      <c r="C28" s="10"/>
      <c r="D28" s="10"/>
      <c r="E28" s="10"/>
      <c r="F28" s="10"/>
      <c r="G28" s="10">
        <f t="shared" si="0"/>
        <v>0</v>
      </c>
      <c r="H28" s="16">
        <f t="shared" si="1"/>
        <v>0</v>
      </c>
      <c r="I28" s="15">
        <f t="shared" si="2"/>
        <v>0</v>
      </c>
      <c r="J28" s="15">
        <f>ROUND(G28/2190-1,2)</f>
        <v>-1</v>
      </c>
    </row>
    <row r="29" spans="1:10" x14ac:dyDescent="0.25">
      <c r="A29" s="1" t="s">
        <v>16</v>
      </c>
      <c r="B29" s="1" t="s">
        <v>42</v>
      </c>
      <c r="C29" s="10"/>
      <c r="D29" s="10"/>
      <c r="E29" s="10"/>
      <c r="F29" s="10"/>
      <c r="G29" s="10">
        <f t="shared" si="0"/>
        <v>0</v>
      </c>
      <c r="H29" s="16">
        <f t="shared" si="1"/>
        <v>0</v>
      </c>
      <c r="I29" s="15">
        <f t="shared" si="2"/>
        <v>0</v>
      </c>
      <c r="J29" s="15">
        <f>ROUND(G29/129-1,2)</f>
        <v>-1</v>
      </c>
    </row>
    <row r="30" spans="1:10" x14ac:dyDescent="0.25">
      <c r="A30" s="1" t="s">
        <v>16</v>
      </c>
      <c r="B30" s="1" t="s">
        <v>39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/>
    </row>
    <row r="31" spans="1:10" x14ac:dyDescent="0.25">
      <c r="A31" s="1" t="s">
        <v>16</v>
      </c>
      <c r="B31" s="1" t="s">
        <v>31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>
        <f>ROUND(G31/450-1,2)</f>
        <v>-1</v>
      </c>
    </row>
    <row r="32" spans="1:10" x14ac:dyDescent="0.25">
      <c r="A32" s="1" t="s">
        <v>16</v>
      </c>
      <c r="B32" s="1" t="s">
        <v>22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/>
    </row>
    <row r="33" spans="1:10" x14ac:dyDescent="0.25">
      <c r="A33" s="1" t="s">
        <v>44</v>
      </c>
      <c r="B33" s="1" t="s">
        <v>45</v>
      </c>
      <c r="C33" s="10">
        <v>290240</v>
      </c>
      <c r="D33" s="10"/>
      <c r="E33" s="10"/>
      <c r="F33" s="10"/>
      <c r="G33" s="10">
        <f t="shared" si="0"/>
        <v>290240</v>
      </c>
      <c r="H33" s="16">
        <f t="shared" si="1"/>
        <v>104.37</v>
      </c>
      <c r="I33" s="15">
        <f t="shared" si="2"/>
        <v>0.26700000000000002</v>
      </c>
      <c r="J33" s="15">
        <f>ROUND(G33/269820-1,2)</f>
        <v>0.08</v>
      </c>
    </row>
    <row r="34" spans="1:10" x14ac:dyDescent="0.25">
      <c r="A34" s="1" t="s">
        <v>44</v>
      </c>
      <c r="B34" s="1" t="s">
        <v>47</v>
      </c>
      <c r="C34" s="10"/>
      <c r="D34" s="10"/>
      <c r="E34" s="10"/>
      <c r="F34" s="10">
        <v>18670</v>
      </c>
      <c r="G34" s="10">
        <f t="shared" si="0"/>
        <v>18670</v>
      </c>
      <c r="H34" s="16">
        <f t="shared" si="1"/>
        <v>6.71</v>
      </c>
      <c r="I34" s="15">
        <f t="shared" si="2"/>
        <v>1.7000000000000001E-2</v>
      </c>
      <c r="J34" s="15">
        <f>ROUND(G34/11100-1,2)</f>
        <v>0.68</v>
      </c>
    </row>
    <row r="35" spans="1:10" x14ac:dyDescent="0.25">
      <c r="A35" s="1" t="s">
        <v>44</v>
      </c>
      <c r="B35" s="1" t="s">
        <v>46</v>
      </c>
      <c r="C35" s="10"/>
      <c r="D35" s="10"/>
      <c r="E35" s="10">
        <v>37740</v>
      </c>
      <c r="F35" s="10"/>
      <c r="G35" s="10">
        <f t="shared" si="0"/>
        <v>37740</v>
      </c>
      <c r="H35" s="16">
        <f t="shared" si="1"/>
        <v>13.57</v>
      </c>
      <c r="I35" s="15">
        <f t="shared" si="2"/>
        <v>3.5000000000000003E-2</v>
      </c>
      <c r="J35" s="15">
        <f>ROUND(G35/38140-1,2)</f>
        <v>-0.01</v>
      </c>
    </row>
    <row r="36" spans="1:10" x14ac:dyDescent="0.25">
      <c r="A36" s="1" t="s">
        <v>48</v>
      </c>
      <c r="B36" s="1" t="s">
        <v>51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/>
    </row>
    <row r="37" spans="1:10" x14ac:dyDescent="0.25">
      <c r="A37" s="1" t="s">
        <v>48</v>
      </c>
      <c r="B37" s="1" t="s">
        <v>94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1" t="s">
        <v>48</v>
      </c>
      <c r="B38" s="1" t="s">
        <v>50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30" t="s">
        <v>12</v>
      </c>
      <c r="B39" s="30"/>
      <c r="C39" s="11">
        <f t="shared" ref="C39:H39" si="3">SUM(C8:C38)</f>
        <v>805040</v>
      </c>
      <c r="D39" s="11">
        <f t="shared" si="3"/>
        <v>296</v>
      </c>
      <c r="E39" s="11">
        <f t="shared" si="3"/>
        <v>258504</v>
      </c>
      <c r="F39" s="11">
        <f t="shared" si="3"/>
        <v>23650</v>
      </c>
      <c r="G39" s="11">
        <f t="shared" si="3"/>
        <v>1087490</v>
      </c>
      <c r="H39" s="14">
        <f t="shared" si="3"/>
        <v>391.03</v>
      </c>
      <c r="I39" s="17"/>
      <c r="J39" s="17"/>
    </row>
    <row r="40" spans="1:10" x14ac:dyDescent="0.25">
      <c r="A40" s="30" t="s">
        <v>14</v>
      </c>
      <c r="B40" s="30"/>
      <c r="C40" s="12">
        <f>ROUND(C39/G39,2)</f>
        <v>0.74</v>
      </c>
      <c r="D40" s="12">
        <f>ROUND(D39/G39,2)</f>
        <v>0</v>
      </c>
      <c r="E40" s="12">
        <f>ROUND(E39/G39,2)</f>
        <v>0.24</v>
      </c>
      <c r="F40" s="12">
        <f>ROUND(F39/G39,2)</f>
        <v>0.02</v>
      </c>
      <c r="G40" s="13"/>
      <c r="H40" s="13"/>
      <c r="I40" s="17"/>
      <c r="J40" s="17"/>
    </row>
    <row r="41" spans="1:10" x14ac:dyDescent="0.25">
      <c r="A41" s="2" t="s">
        <v>52</v>
      </c>
      <c r="B41" s="2"/>
      <c r="C41" s="13"/>
      <c r="D41" s="13"/>
      <c r="E41" s="13"/>
      <c r="F41" s="13"/>
      <c r="G41" s="13"/>
      <c r="H41" s="13"/>
      <c r="I41" s="17"/>
      <c r="J41" s="17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A45" s="30" t="s">
        <v>53</v>
      </c>
      <c r="B45" s="30"/>
      <c r="C45" s="11" t="s">
        <v>8</v>
      </c>
      <c r="D45" s="11" t="s">
        <v>9</v>
      </c>
      <c r="E45" s="11" t="s">
        <v>10</v>
      </c>
      <c r="F45" s="11" t="s">
        <v>11</v>
      </c>
      <c r="G45" s="11" t="s">
        <v>12</v>
      </c>
      <c r="H45" s="14" t="s">
        <v>13</v>
      </c>
      <c r="I45" s="17"/>
      <c r="J45" s="17"/>
    </row>
    <row r="46" spans="1:10" x14ac:dyDescent="0.25">
      <c r="A46" s="29" t="s">
        <v>54</v>
      </c>
      <c r="B46" s="29"/>
      <c r="C46" s="10">
        <v>514800</v>
      </c>
      <c r="D46" s="10">
        <v>296</v>
      </c>
      <c r="E46" s="10">
        <v>220764</v>
      </c>
      <c r="F46" s="10">
        <v>4980</v>
      </c>
      <c r="G46" s="10">
        <f>SUM(C46:F46)</f>
        <v>740840</v>
      </c>
      <c r="H46" s="16">
        <f>ROUND(G46/2781,2)</f>
        <v>266.39</v>
      </c>
      <c r="I46" s="9"/>
      <c r="J46" s="9"/>
    </row>
    <row r="47" spans="1:10" x14ac:dyDescent="0.25">
      <c r="A47" s="29" t="s">
        <v>55</v>
      </c>
      <c r="B47" s="29"/>
      <c r="C47" s="10">
        <v>290240</v>
      </c>
      <c r="D47" s="10">
        <v>0</v>
      </c>
      <c r="E47" s="10">
        <v>37740</v>
      </c>
      <c r="F47" s="10">
        <v>18670</v>
      </c>
      <c r="G47" s="10">
        <f>SUM(C47:F47)</f>
        <v>346650</v>
      </c>
      <c r="H47" s="16">
        <f>ROUND(G47/2781,2)</f>
        <v>124.65</v>
      </c>
      <c r="I47" s="9"/>
      <c r="J47" s="9"/>
    </row>
    <row r="48" spans="1:10" x14ac:dyDescent="0.25">
      <c r="A48" s="29" t="s">
        <v>56</v>
      </c>
      <c r="B48" s="29"/>
      <c r="C48" s="10">
        <v>0</v>
      </c>
      <c r="D48" s="10">
        <v>0</v>
      </c>
      <c r="E48" s="10">
        <v>0</v>
      </c>
      <c r="F48" s="10">
        <v>0</v>
      </c>
      <c r="G48" s="10">
        <f>SUM(C48:F48)</f>
        <v>0</v>
      </c>
      <c r="H48" s="16">
        <f>ROUND(G48/2781,2)</f>
        <v>0</v>
      </c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A53" s="30" t="s">
        <v>57</v>
      </c>
      <c r="B53" s="30"/>
      <c r="C53" s="14" t="s">
        <v>2</v>
      </c>
      <c r="D53" s="14">
        <v>2023</v>
      </c>
      <c r="E53" s="14" t="s">
        <v>59</v>
      </c>
      <c r="F53" s="13"/>
      <c r="G53" s="14" t="s">
        <v>60</v>
      </c>
      <c r="H53" s="14" t="s">
        <v>2</v>
      </c>
      <c r="I53" s="12" t="s">
        <v>61</v>
      </c>
      <c r="J53" s="12" t="s">
        <v>59</v>
      </c>
    </row>
    <row r="54" spans="1:10" x14ac:dyDescent="0.25">
      <c r="A54" s="29" t="s">
        <v>58</v>
      </c>
      <c r="B54" s="29"/>
      <c r="C54" s="15">
        <f>ROUND(0.7208, 4)</f>
        <v>0.7208</v>
      </c>
      <c r="D54" s="15">
        <f>ROUND(0.7269, 4)</f>
        <v>0.72689999999999999</v>
      </c>
      <c r="E54" s="15">
        <f>ROUND(0.777, 4)</f>
        <v>0.77700000000000002</v>
      </c>
      <c r="F54" s="8"/>
      <c r="G54" s="14" t="s">
        <v>62</v>
      </c>
      <c r="H54" s="33" t="s">
        <v>63</v>
      </c>
      <c r="I54" s="31" t="s">
        <v>64</v>
      </c>
      <c r="J54" s="31" t="s">
        <v>65</v>
      </c>
    </row>
    <row r="55" spans="1:10" x14ac:dyDescent="0.25">
      <c r="A55" s="29" t="s">
        <v>66</v>
      </c>
      <c r="B55" s="29"/>
      <c r="C55" s="15">
        <f>ROUND(0.7099, 4)</f>
        <v>0.70989999999999998</v>
      </c>
      <c r="D55" s="15">
        <f>ROUND(0.7162, 4)</f>
        <v>0.71619999999999995</v>
      </c>
      <c r="E55" s="15">
        <f>ROUND(0.7608, 4)</f>
        <v>0.76080000000000003</v>
      </c>
      <c r="F55" s="8"/>
      <c r="G55" s="14" t="s">
        <v>67</v>
      </c>
      <c r="H55" s="34"/>
      <c r="I55" s="32"/>
      <c r="J55" s="32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21"/>
      <c r="H57" s="8"/>
      <c r="I57" s="9"/>
      <c r="J57" s="9"/>
    </row>
    <row r="58" spans="1:10" x14ac:dyDescent="0.25">
      <c r="C58" s="8"/>
      <c r="D58" s="8"/>
      <c r="E58" s="8"/>
      <c r="F58" s="8"/>
      <c r="G58" s="21"/>
      <c r="H58" s="8"/>
      <c r="I58" s="9"/>
      <c r="J58" s="9"/>
    </row>
    <row r="59" spans="1:10" x14ac:dyDescent="0.25">
      <c r="A59" s="30" t="s">
        <v>68</v>
      </c>
      <c r="B59" s="30"/>
      <c r="C59" s="14" t="s">
        <v>2</v>
      </c>
      <c r="D59" s="14" t="s">
        <v>231</v>
      </c>
      <c r="E59" s="14" t="s">
        <v>70</v>
      </c>
      <c r="F59" s="14" t="s">
        <v>71</v>
      </c>
      <c r="G59" s="14" t="s">
        <v>72</v>
      </c>
      <c r="H59" s="13"/>
      <c r="I59" s="17"/>
      <c r="J59" s="17"/>
    </row>
    <row r="60" spans="1:10" x14ac:dyDescent="0.25">
      <c r="A60" s="29" t="s">
        <v>73</v>
      </c>
      <c r="B60" s="29"/>
      <c r="C60" s="16">
        <v>104.37</v>
      </c>
      <c r="D60" s="16">
        <v>96.16</v>
      </c>
      <c r="E60" s="16">
        <v>93.87</v>
      </c>
      <c r="F60" s="16">
        <v>57.16</v>
      </c>
      <c r="G60" s="16">
        <f>12/12*C60</f>
        <v>104.37</v>
      </c>
      <c r="H60" s="8"/>
      <c r="I60" s="9"/>
      <c r="J60" s="9"/>
    </row>
    <row r="61" spans="1:10" x14ac:dyDescent="0.25">
      <c r="A61" s="29" t="s">
        <v>74</v>
      </c>
      <c r="B61" s="29"/>
      <c r="C61" s="16">
        <v>71.23</v>
      </c>
      <c r="D61" s="16">
        <v>70.62</v>
      </c>
      <c r="E61" s="16">
        <v>62.84</v>
      </c>
      <c r="F61" s="16">
        <v>65.39</v>
      </c>
      <c r="G61" s="16">
        <f>12/12*C61</f>
        <v>71.23</v>
      </c>
      <c r="H61" s="8"/>
      <c r="I61" s="9"/>
      <c r="J61" s="9"/>
    </row>
    <row r="62" spans="1:10" x14ac:dyDescent="0.25">
      <c r="A62" s="29" t="s">
        <v>75</v>
      </c>
      <c r="B62" s="29"/>
      <c r="C62" s="16">
        <v>266.39</v>
      </c>
      <c r="D62" s="16">
        <v>279.2</v>
      </c>
      <c r="E62" s="16">
        <v>295.08999999999997</v>
      </c>
      <c r="F62" s="16">
        <v>289.06</v>
      </c>
      <c r="G62" s="16">
        <f>12/12*C62</f>
        <v>266.39</v>
      </c>
      <c r="H62" s="8"/>
      <c r="I62" s="9"/>
      <c r="J62" s="9"/>
    </row>
    <row r="63" spans="1:10" x14ac:dyDescent="0.25">
      <c r="A63" s="29" t="s">
        <v>76</v>
      </c>
      <c r="B63" s="29"/>
      <c r="C63" s="16">
        <v>124.65</v>
      </c>
      <c r="D63" s="16">
        <v>116.84</v>
      </c>
      <c r="E63" s="16">
        <v>118.05</v>
      </c>
      <c r="F63" s="16">
        <v>81.41</v>
      </c>
      <c r="G63" s="16">
        <f>12/12*C63</f>
        <v>124.65</v>
      </c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28" t="s">
        <v>60</v>
      </c>
      <c r="B66" s="35"/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77</v>
      </c>
      <c r="B67" s="1" t="s">
        <v>232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70</v>
      </c>
      <c r="B68" s="1" t="s">
        <v>79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71</v>
      </c>
      <c r="B69" s="1" t="s">
        <v>80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72</v>
      </c>
      <c r="B70" s="1" t="s">
        <v>81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</sheetData>
  <mergeCells count="19">
    <mergeCell ref="A61:B61"/>
    <mergeCell ref="A62:B62"/>
    <mergeCell ref="A63:B63"/>
    <mergeCell ref="A66:B66"/>
    <mergeCell ref="I54:I55"/>
    <mergeCell ref="J54:J55"/>
    <mergeCell ref="A55:B55"/>
    <mergeCell ref="A59:B59"/>
    <mergeCell ref="A60:B60"/>
    <mergeCell ref="A47:B47"/>
    <mergeCell ref="A48:B48"/>
    <mergeCell ref="A53:B53"/>
    <mergeCell ref="A54:B54"/>
    <mergeCell ref="H54:H55"/>
    <mergeCell ref="C7:G7"/>
    <mergeCell ref="A39:B39"/>
    <mergeCell ref="A40:B40"/>
    <mergeCell ref="A45:B45"/>
    <mergeCell ref="A46:B46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2:J77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0.8554687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233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1724</v>
      </c>
    </row>
    <row r="7" spans="1:10" x14ac:dyDescent="0.25">
      <c r="C7" s="28" t="s">
        <v>5</v>
      </c>
      <c r="D7" s="29"/>
      <c r="E7" s="29"/>
      <c r="F7" s="29"/>
      <c r="G7" s="29"/>
    </row>
    <row r="8" spans="1:10" x14ac:dyDescent="0.25">
      <c r="A8" s="25" t="s">
        <v>6</v>
      </c>
      <c r="B8" s="25" t="s">
        <v>7</v>
      </c>
      <c r="C8" s="27" t="s">
        <v>8</v>
      </c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37</v>
      </c>
      <c r="F9" s="10"/>
      <c r="G9" s="10">
        <f t="shared" ref="G9:G42" si="0">SUM(C9:F9)</f>
        <v>37</v>
      </c>
      <c r="H9" s="16">
        <f t="shared" ref="H9:H42" si="1">ROUND(G9/1724,2)</f>
        <v>0.02</v>
      </c>
      <c r="I9" s="15">
        <f t="shared" ref="I9:I42" si="2">ROUND(G9/$G$43,3)</f>
        <v>0</v>
      </c>
      <c r="J9" s="15">
        <f>ROUND(G9/45-1,2)</f>
        <v>-0.18</v>
      </c>
    </row>
    <row r="10" spans="1:10" x14ac:dyDescent="0.25">
      <c r="A10" s="1" t="s">
        <v>16</v>
      </c>
      <c r="B10" s="1" t="s">
        <v>19</v>
      </c>
      <c r="C10" s="10">
        <v>45150</v>
      </c>
      <c r="D10" s="10"/>
      <c r="E10" s="10">
        <v>4962</v>
      </c>
      <c r="F10" s="10">
        <v>440</v>
      </c>
      <c r="G10" s="10">
        <f t="shared" si="0"/>
        <v>50552</v>
      </c>
      <c r="H10" s="16">
        <f t="shared" si="1"/>
        <v>29.32</v>
      </c>
      <c r="I10" s="15">
        <f t="shared" si="2"/>
        <v>0.08</v>
      </c>
      <c r="J10" s="15">
        <f>ROUND(G10/55192.8-1,2)</f>
        <v>-0.08</v>
      </c>
    </row>
    <row r="11" spans="1:10" x14ac:dyDescent="0.25">
      <c r="A11" s="1" t="s">
        <v>16</v>
      </c>
      <c r="B11" s="1" t="s">
        <v>20</v>
      </c>
      <c r="C11" s="10">
        <v>72320</v>
      </c>
      <c r="D11" s="10"/>
      <c r="E11" s="10"/>
      <c r="F11" s="10"/>
      <c r="G11" s="10">
        <f t="shared" si="0"/>
        <v>72320</v>
      </c>
      <c r="H11" s="16">
        <f t="shared" si="1"/>
        <v>41.95</v>
      </c>
      <c r="I11" s="15">
        <f t="shared" si="2"/>
        <v>0.114</v>
      </c>
      <c r="J11" s="15">
        <f>ROUND(G11/77170-1,2)</f>
        <v>-0.06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183</v>
      </c>
      <c r="F12" s="10"/>
      <c r="G12" s="10">
        <f t="shared" si="0"/>
        <v>183</v>
      </c>
      <c r="H12" s="16">
        <f t="shared" si="1"/>
        <v>0.11</v>
      </c>
      <c r="I12" s="15">
        <f t="shared" si="2"/>
        <v>0</v>
      </c>
      <c r="J12" s="15">
        <f>ROUND(G12/586.96-1,2)</f>
        <v>-0.69</v>
      </c>
    </row>
    <row r="13" spans="1:10" x14ac:dyDescent="0.25">
      <c r="A13" s="1" t="s">
        <v>16</v>
      </c>
      <c r="B13" s="1" t="s">
        <v>22</v>
      </c>
      <c r="C13" s="10"/>
      <c r="D13" s="10"/>
      <c r="E13" s="10">
        <v>2105</v>
      </c>
      <c r="F13" s="10"/>
      <c r="G13" s="10">
        <f t="shared" si="0"/>
        <v>2105</v>
      </c>
      <c r="H13" s="16">
        <f t="shared" si="1"/>
        <v>1.22</v>
      </c>
      <c r="I13" s="15">
        <f t="shared" si="2"/>
        <v>3.0000000000000001E-3</v>
      </c>
      <c r="J13" s="15">
        <f>ROUND(G13/240-1,2)</f>
        <v>7.77</v>
      </c>
    </row>
    <row r="14" spans="1:10" x14ac:dyDescent="0.25">
      <c r="A14" s="1" t="s">
        <v>16</v>
      </c>
      <c r="B14" s="1" t="s">
        <v>23</v>
      </c>
      <c r="C14" s="10"/>
      <c r="D14" s="10"/>
      <c r="E14" s="10">
        <v>102774</v>
      </c>
      <c r="F14" s="10"/>
      <c r="G14" s="10">
        <f t="shared" si="0"/>
        <v>102774</v>
      </c>
      <c r="H14" s="16">
        <f t="shared" si="1"/>
        <v>59.61</v>
      </c>
      <c r="I14" s="15">
        <f t="shared" si="2"/>
        <v>0.16300000000000001</v>
      </c>
      <c r="J14" s="15">
        <f>ROUND(G14/121227.99-1,2)</f>
        <v>-0.15</v>
      </c>
    </row>
    <row r="15" spans="1:10" x14ac:dyDescent="0.25">
      <c r="A15" s="1" t="s">
        <v>16</v>
      </c>
      <c r="B15" s="1" t="s">
        <v>24</v>
      </c>
      <c r="C15" s="10">
        <v>62360</v>
      </c>
      <c r="D15" s="10"/>
      <c r="E15" s="10">
        <v>16367</v>
      </c>
      <c r="F15" s="10">
        <v>120</v>
      </c>
      <c r="G15" s="10">
        <f t="shared" si="0"/>
        <v>78847</v>
      </c>
      <c r="H15" s="16">
        <f t="shared" si="1"/>
        <v>45.73</v>
      </c>
      <c r="I15" s="15">
        <f t="shared" si="2"/>
        <v>0.125</v>
      </c>
      <c r="J15" s="15">
        <f>ROUND(G15/81347.18-1,2)</f>
        <v>-0.03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3100</v>
      </c>
      <c r="F16" s="10"/>
      <c r="G16" s="10">
        <f t="shared" si="0"/>
        <v>3100</v>
      </c>
      <c r="H16" s="16">
        <f t="shared" si="1"/>
        <v>1.8</v>
      </c>
      <c r="I16" s="15">
        <f t="shared" si="2"/>
        <v>5.0000000000000001E-3</v>
      </c>
      <c r="J16" s="15">
        <f>ROUND(G16/6355-1,2)</f>
        <v>-0.51</v>
      </c>
    </row>
    <row r="17" spans="1:10" x14ac:dyDescent="0.25">
      <c r="A17" s="1" t="s">
        <v>16</v>
      </c>
      <c r="B17" s="1" t="s">
        <v>26</v>
      </c>
      <c r="C17" s="10">
        <v>45620</v>
      </c>
      <c r="D17" s="10"/>
      <c r="E17" s="10"/>
      <c r="F17" s="10">
        <v>120</v>
      </c>
      <c r="G17" s="10">
        <f t="shared" si="0"/>
        <v>45740</v>
      </c>
      <c r="H17" s="16">
        <f t="shared" si="1"/>
        <v>26.53</v>
      </c>
      <c r="I17" s="15">
        <f t="shared" si="2"/>
        <v>7.1999999999999995E-2</v>
      </c>
      <c r="J17" s="15">
        <f>ROUND(G17/50180-1,2)</f>
        <v>-0.09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992</v>
      </c>
      <c r="F18" s="10"/>
      <c r="G18" s="10">
        <f t="shared" si="0"/>
        <v>992</v>
      </c>
      <c r="H18" s="16">
        <f t="shared" si="1"/>
        <v>0.57999999999999996</v>
      </c>
      <c r="I18" s="15">
        <f t="shared" si="2"/>
        <v>2E-3</v>
      </c>
      <c r="J18" s="15">
        <f>ROUND(G18/1358-1,2)</f>
        <v>-0.27</v>
      </c>
    </row>
    <row r="19" spans="1:10" x14ac:dyDescent="0.25">
      <c r="A19" s="1" t="s">
        <v>16</v>
      </c>
      <c r="B19" s="1" t="s">
        <v>28</v>
      </c>
      <c r="C19" s="10"/>
      <c r="D19" s="10"/>
      <c r="E19" s="10">
        <v>530</v>
      </c>
      <c r="F19" s="10"/>
      <c r="G19" s="10">
        <f t="shared" si="0"/>
        <v>530</v>
      </c>
      <c r="H19" s="16">
        <f t="shared" si="1"/>
        <v>0.31</v>
      </c>
      <c r="I19" s="15">
        <f t="shared" si="2"/>
        <v>1E-3</v>
      </c>
      <c r="J19" s="15">
        <f>ROUND(G19/774-1,2)</f>
        <v>-0.32</v>
      </c>
    </row>
    <row r="20" spans="1:10" x14ac:dyDescent="0.25">
      <c r="A20" s="1" t="s">
        <v>16</v>
      </c>
      <c r="B20" s="1" t="s">
        <v>29</v>
      </c>
      <c r="C20" s="10"/>
      <c r="D20" s="10"/>
      <c r="E20" s="10">
        <v>1782</v>
      </c>
      <c r="F20" s="10"/>
      <c r="G20" s="10">
        <f t="shared" si="0"/>
        <v>1782</v>
      </c>
      <c r="H20" s="16">
        <f t="shared" si="1"/>
        <v>1.03</v>
      </c>
      <c r="I20" s="15">
        <f t="shared" si="2"/>
        <v>3.0000000000000001E-3</v>
      </c>
      <c r="J20" s="15">
        <f>ROUND(G20/7002.78-1,2)</f>
        <v>-0.75</v>
      </c>
    </row>
    <row r="21" spans="1:10" x14ac:dyDescent="0.25">
      <c r="A21" s="1" t="s">
        <v>16</v>
      </c>
      <c r="B21" s="1" t="s">
        <v>30</v>
      </c>
      <c r="C21" s="10"/>
      <c r="D21" s="10"/>
      <c r="E21" s="10">
        <v>529</v>
      </c>
      <c r="F21" s="10"/>
      <c r="G21" s="10">
        <f t="shared" si="0"/>
        <v>529</v>
      </c>
      <c r="H21" s="16">
        <f t="shared" si="1"/>
        <v>0.31</v>
      </c>
      <c r="I21" s="15">
        <f t="shared" si="2"/>
        <v>1E-3</v>
      </c>
      <c r="J21" s="15">
        <f>ROUND(G21/905.3-1,2)</f>
        <v>-0.42</v>
      </c>
    </row>
    <row r="22" spans="1:10" x14ac:dyDescent="0.25">
      <c r="A22" s="1" t="s">
        <v>16</v>
      </c>
      <c r="B22" s="1" t="s">
        <v>32</v>
      </c>
      <c r="C22" s="10"/>
      <c r="D22" s="10"/>
      <c r="E22" s="10">
        <v>1883</v>
      </c>
      <c r="F22" s="10"/>
      <c r="G22" s="10">
        <f t="shared" si="0"/>
        <v>1883</v>
      </c>
      <c r="H22" s="16">
        <f t="shared" si="1"/>
        <v>1.0900000000000001</v>
      </c>
      <c r="I22" s="15">
        <f t="shared" si="2"/>
        <v>3.0000000000000001E-3</v>
      </c>
      <c r="J22" s="15">
        <f>ROUND(G22/1940-1,2)</f>
        <v>-0.03</v>
      </c>
    </row>
    <row r="23" spans="1:10" x14ac:dyDescent="0.25">
      <c r="A23" s="1" t="s">
        <v>16</v>
      </c>
      <c r="B23" s="1" t="s">
        <v>33</v>
      </c>
      <c r="C23" s="10"/>
      <c r="D23" s="10"/>
      <c r="E23" s="10">
        <v>232</v>
      </c>
      <c r="F23" s="10"/>
      <c r="G23" s="10">
        <f t="shared" si="0"/>
        <v>232</v>
      </c>
      <c r="H23" s="16">
        <f t="shared" si="1"/>
        <v>0.13</v>
      </c>
      <c r="I23" s="15">
        <f t="shared" si="2"/>
        <v>0</v>
      </c>
      <c r="J23" s="15">
        <f>ROUND(G23/531-1,2)</f>
        <v>-0.56000000000000005</v>
      </c>
    </row>
    <row r="24" spans="1:10" x14ac:dyDescent="0.25">
      <c r="A24" s="1" t="s">
        <v>16</v>
      </c>
      <c r="B24" s="1" t="s">
        <v>34</v>
      </c>
      <c r="C24" s="10"/>
      <c r="D24" s="10"/>
      <c r="E24" s="10">
        <v>251</v>
      </c>
      <c r="F24" s="10"/>
      <c r="G24" s="10">
        <f t="shared" si="0"/>
        <v>251</v>
      </c>
      <c r="H24" s="16">
        <f t="shared" si="1"/>
        <v>0.15</v>
      </c>
      <c r="I24" s="15">
        <f t="shared" si="2"/>
        <v>0</v>
      </c>
      <c r="J24" s="15"/>
    </row>
    <row r="25" spans="1:10" x14ac:dyDescent="0.25">
      <c r="A25" s="1" t="s">
        <v>16</v>
      </c>
      <c r="B25" s="1" t="s">
        <v>37</v>
      </c>
      <c r="C25" s="10"/>
      <c r="D25" s="10"/>
      <c r="E25" s="10">
        <v>2731</v>
      </c>
      <c r="F25" s="10"/>
      <c r="G25" s="10">
        <f t="shared" si="0"/>
        <v>2731</v>
      </c>
      <c r="H25" s="16">
        <f t="shared" si="1"/>
        <v>1.58</v>
      </c>
      <c r="I25" s="15">
        <f t="shared" si="2"/>
        <v>4.0000000000000001E-3</v>
      </c>
      <c r="J25" s="15">
        <f>ROUND(G25/10301.68-1,2)</f>
        <v>-0.73</v>
      </c>
    </row>
    <row r="26" spans="1:10" x14ac:dyDescent="0.25">
      <c r="A26" s="1" t="s">
        <v>16</v>
      </c>
      <c r="B26" s="1" t="s">
        <v>43</v>
      </c>
      <c r="C26" s="10"/>
      <c r="D26" s="10"/>
      <c r="E26" s="10">
        <v>2280</v>
      </c>
      <c r="F26" s="10"/>
      <c r="G26" s="10">
        <f t="shared" si="0"/>
        <v>2280</v>
      </c>
      <c r="H26" s="16">
        <f t="shared" si="1"/>
        <v>1.32</v>
      </c>
      <c r="I26" s="15">
        <f t="shared" si="2"/>
        <v>4.0000000000000001E-3</v>
      </c>
      <c r="J26" s="15">
        <f>ROUND(G26/17730-1,2)</f>
        <v>-0.87</v>
      </c>
    </row>
    <row r="27" spans="1:10" x14ac:dyDescent="0.25">
      <c r="A27" s="1" t="s">
        <v>16</v>
      </c>
      <c r="B27" s="1" t="s">
        <v>38</v>
      </c>
      <c r="C27" s="10"/>
      <c r="D27" s="10"/>
      <c r="E27" s="10">
        <v>62015</v>
      </c>
      <c r="F27" s="10"/>
      <c r="G27" s="10">
        <f t="shared" si="0"/>
        <v>62015</v>
      </c>
      <c r="H27" s="16">
        <f t="shared" si="1"/>
        <v>35.97</v>
      </c>
      <c r="I27" s="15">
        <f t="shared" si="2"/>
        <v>9.8000000000000004E-2</v>
      </c>
      <c r="J27" s="15">
        <f>ROUND(G27/84976.24-1,2)</f>
        <v>-0.27</v>
      </c>
    </row>
    <row r="28" spans="1:10" x14ac:dyDescent="0.25">
      <c r="A28" s="1" t="s">
        <v>16</v>
      </c>
      <c r="B28" s="1" t="s">
        <v>40</v>
      </c>
      <c r="C28" s="10"/>
      <c r="D28" s="10"/>
      <c r="E28" s="10">
        <v>22870</v>
      </c>
      <c r="F28" s="10"/>
      <c r="G28" s="10">
        <f t="shared" si="0"/>
        <v>22870</v>
      </c>
      <c r="H28" s="16">
        <f t="shared" si="1"/>
        <v>13.27</v>
      </c>
      <c r="I28" s="15">
        <f t="shared" si="2"/>
        <v>3.5999999999999997E-2</v>
      </c>
      <c r="J28" s="15">
        <f>ROUND(G28/36109.74-1,2)</f>
        <v>-0.37</v>
      </c>
    </row>
    <row r="29" spans="1:10" x14ac:dyDescent="0.25">
      <c r="A29" s="1" t="s">
        <v>16</v>
      </c>
      <c r="B29" s="1" t="s">
        <v>41</v>
      </c>
      <c r="C29" s="10"/>
      <c r="D29" s="10"/>
      <c r="E29" s="10">
        <v>9979</v>
      </c>
      <c r="F29" s="10"/>
      <c r="G29" s="10">
        <f t="shared" si="0"/>
        <v>9979</v>
      </c>
      <c r="H29" s="16">
        <f t="shared" si="1"/>
        <v>5.79</v>
      </c>
      <c r="I29" s="15">
        <f t="shared" si="2"/>
        <v>1.6E-2</v>
      </c>
      <c r="J29" s="15">
        <f>ROUND(G29/63132.12-1,2)</f>
        <v>-0.84</v>
      </c>
    </row>
    <row r="30" spans="1:10" x14ac:dyDescent="0.25">
      <c r="A30" s="1" t="s">
        <v>16</v>
      </c>
      <c r="B30" s="1" t="s">
        <v>42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>
        <f>ROUND(G30/211-1,2)</f>
        <v>-1</v>
      </c>
    </row>
    <row r="31" spans="1:10" x14ac:dyDescent="0.25">
      <c r="A31" s="1" t="s">
        <v>16</v>
      </c>
      <c r="B31" s="1" t="s">
        <v>120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/>
    </row>
    <row r="32" spans="1:10" x14ac:dyDescent="0.25">
      <c r="A32" s="1" t="s">
        <v>16</v>
      </c>
      <c r="B32" s="1" t="s">
        <v>36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>
        <f>ROUND(G32/5079.22-1,2)</f>
        <v>-1</v>
      </c>
    </row>
    <row r="33" spans="1:10" x14ac:dyDescent="0.25">
      <c r="A33" s="1" t="s">
        <v>16</v>
      </c>
      <c r="B33" s="1" t="s">
        <v>35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>
        <f>ROUND(G33/301.33-1,2)</f>
        <v>-1</v>
      </c>
    </row>
    <row r="34" spans="1:10" x14ac:dyDescent="0.25">
      <c r="A34" s="1" t="s">
        <v>16</v>
      </c>
      <c r="B34" s="1" t="s">
        <v>98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ROUND(G34/48-1,2)</f>
        <v>-1</v>
      </c>
    </row>
    <row r="35" spans="1:10" x14ac:dyDescent="0.25">
      <c r="A35" s="1" t="s">
        <v>16</v>
      </c>
      <c r="B35" s="1" t="s">
        <v>31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16</v>
      </c>
      <c r="B36" s="1" t="s">
        <v>39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/>
    </row>
    <row r="37" spans="1:10" x14ac:dyDescent="0.25">
      <c r="A37" s="1" t="s">
        <v>44</v>
      </c>
      <c r="B37" s="1" t="s">
        <v>45</v>
      </c>
      <c r="C37" s="10">
        <v>136230</v>
      </c>
      <c r="D37" s="10"/>
      <c r="E37" s="10"/>
      <c r="F37" s="10">
        <v>390</v>
      </c>
      <c r="G37" s="10">
        <f t="shared" si="0"/>
        <v>136620</v>
      </c>
      <c r="H37" s="16">
        <f t="shared" si="1"/>
        <v>79.25</v>
      </c>
      <c r="I37" s="15">
        <f t="shared" si="2"/>
        <v>0.216</v>
      </c>
      <c r="J37" s="15">
        <f>ROUND(G37/140310-1,2)</f>
        <v>-0.03</v>
      </c>
    </row>
    <row r="38" spans="1:10" x14ac:dyDescent="0.25">
      <c r="A38" s="1" t="s">
        <v>44</v>
      </c>
      <c r="B38" s="1" t="s">
        <v>46</v>
      </c>
      <c r="C38" s="10"/>
      <c r="D38" s="10"/>
      <c r="E38" s="10">
        <v>34013</v>
      </c>
      <c r="F38" s="10"/>
      <c r="G38" s="10">
        <f t="shared" si="0"/>
        <v>34013</v>
      </c>
      <c r="H38" s="16">
        <f t="shared" si="1"/>
        <v>19.73</v>
      </c>
      <c r="I38" s="15">
        <f t="shared" si="2"/>
        <v>5.3999999999999999E-2</v>
      </c>
      <c r="J38" s="15">
        <f>ROUND(G38/54171.66-1,2)</f>
        <v>-0.37</v>
      </c>
    </row>
    <row r="39" spans="1:10" x14ac:dyDescent="0.25">
      <c r="A39" s="1" t="s">
        <v>44</v>
      </c>
      <c r="B39" s="1" t="s">
        <v>47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>
        <f>ROUND(G39/8360-1,2)</f>
        <v>-1</v>
      </c>
    </row>
    <row r="40" spans="1:10" x14ac:dyDescent="0.25">
      <c r="A40" s="1" t="s">
        <v>48</v>
      </c>
      <c r="B40" s="1" t="s">
        <v>49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>
        <f>ROUND(G40/5-1,2)</f>
        <v>-1</v>
      </c>
    </row>
    <row r="41" spans="1:10" x14ac:dyDescent="0.25">
      <c r="A41" s="1" t="s">
        <v>48</v>
      </c>
      <c r="B41" s="1" t="s">
        <v>50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>
        <f>ROUND(G41/260-1,2)</f>
        <v>-1</v>
      </c>
    </row>
    <row r="42" spans="1:10" x14ac:dyDescent="0.25">
      <c r="A42" s="1" t="s">
        <v>48</v>
      </c>
      <c r="B42" s="1" t="s">
        <v>51</v>
      </c>
      <c r="C42" s="10"/>
      <c r="D42" s="10"/>
      <c r="E42" s="10"/>
      <c r="F42" s="10"/>
      <c r="G42" s="10">
        <f t="shared" si="0"/>
        <v>0</v>
      </c>
      <c r="H42" s="16">
        <f t="shared" si="1"/>
        <v>0</v>
      </c>
      <c r="I42" s="15">
        <f t="shared" si="2"/>
        <v>0</v>
      </c>
      <c r="J42" s="15"/>
    </row>
    <row r="43" spans="1:10" x14ac:dyDescent="0.25">
      <c r="A43" s="30" t="s">
        <v>12</v>
      </c>
      <c r="B43" s="30"/>
      <c r="C43" s="11">
        <f t="shared" ref="C43:H43" si="3">SUM(C8:C42)</f>
        <v>361680</v>
      </c>
      <c r="D43" s="11">
        <f t="shared" si="3"/>
        <v>0</v>
      </c>
      <c r="E43" s="11">
        <f t="shared" si="3"/>
        <v>269615</v>
      </c>
      <c r="F43" s="11">
        <f t="shared" si="3"/>
        <v>1070</v>
      </c>
      <c r="G43" s="11">
        <f t="shared" si="3"/>
        <v>632365</v>
      </c>
      <c r="H43" s="14">
        <f t="shared" si="3"/>
        <v>366.80000000000007</v>
      </c>
      <c r="I43" s="17"/>
      <c r="J43" s="17"/>
    </row>
    <row r="44" spans="1:10" x14ac:dyDescent="0.25">
      <c r="A44" s="30" t="s">
        <v>14</v>
      </c>
      <c r="B44" s="30"/>
      <c r="C44" s="12">
        <f>ROUND(C43/G43,2)</f>
        <v>0.56999999999999995</v>
      </c>
      <c r="D44" s="12">
        <f>ROUND(D43/G43,2)</f>
        <v>0</v>
      </c>
      <c r="E44" s="12">
        <f>ROUND(E43/G43,2)</f>
        <v>0.43</v>
      </c>
      <c r="F44" s="12">
        <f>ROUND(F43/G43,2)</f>
        <v>0</v>
      </c>
      <c r="G44" s="13"/>
      <c r="H44" s="13"/>
      <c r="I44" s="17"/>
      <c r="J44" s="17"/>
    </row>
    <row r="45" spans="1:10" x14ac:dyDescent="0.25">
      <c r="A45" s="2" t="s">
        <v>52</v>
      </c>
      <c r="B45" s="2"/>
      <c r="C45" s="13"/>
      <c r="D45" s="13"/>
      <c r="E45" s="13"/>
      <c r="F45" s="13"/>
      <c r="G45" s="13"/>
      <c r="H45" s="13"/>
      <c r="I45" s="17"/>
      <c r="J45" s="17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A49" s="30" t="s">
        <v>53</v>
      </c>
      <c r="B49" s="30"/>
      <c r="C49" s="11" t="s">
        <v>8</v>
      </c>
      <c r="D49" s="11" t="s">
        <v>9</v>
      </c>
      <c r="E49" s="11" t="s">
        <v>10</v>
      </c>
      <c r="F49" s="11" t="s">
        <v>11</v>
      </c>
      <c r="G49" s="11" t="s">
        <v>12</v>
      </c>
      <c r="H49" s="14" t="s">
        <v>13</v>
      </c>
      <c r="I49" s="17"/>
      <c r="J49" s="17"/>
    </row>
    <row r="50" spans="1:10" x14ac:dyDescent="0.25">
      <c r="A50" s="29" t="s">
        <v>54</v>
      </c>
      <c r="B50" s="29"/>
      <c r="C50" s="10">
        <v>225450</v>
      </c>
      <c r="D50" s="10">
        <v>0</v>
      </c>
      <c r="E50" s="10">
        <v>235602</v>
      </c>
      <c r="F50" s="10">
        <v>680</v>
      </c>
      <c r="G50" s="10">
        <f>SUM(C50:F50)</f>
        <v>461732</v>
      </c>
      <c r="H50" s="16">
        <f>ROUND(G50/1724,2)</f>
        <v>267.83</v>
      </c>
      <c r="I50" s="9"/>
      <c r="J50" s="9"/>
    </row>
    <row r="51" spans="1:10" x14ac:dyDescent="0.25">
      <c r="A51" s="29" t="s">
        <v>55</v>
      </c>
      <c r="B51" s="29"/>
      <c r="C51" s="10">
        <v>136230</v>
      </c>
      <c r="D51" s="10">
        <v>0</v>
      </c>
      <c r="E51" s="10">
        <v>34013</v>
      </c>
      <c r="F51" s="10">
        <v>390</v>
      </c>
      <c r="G51" s="10">
        <f>SUM(C51:F51)</f>
        <v>170633</v>
      </c>
      <c r="H51" s="16">
        <f>ROUND(G51/1724,2)</f>
        <v>98.98</v>
      </c>
      <c r="I51" s="9"/>
      <c r="J51" s="9"/>
    </row>
    <row r="52" spans="1:10" x14ac:dyDescent="0.25">
      <c r="A52" s="29" t="s">
        <v>56</v>
      </c>
      <c r="B52" s="29"/>
      <c r="C52" s="10">
        <v>0</v>
      </c>
      <c r="D52" s="10">
        <v>0</v>
      </c>
      <c r="E52" s="10">
        <v>0</v>
      </c>
      <c r="F52" s="10">
        <v>0</v>
      </c>
      <c r="G52" s="10">
        <f>SUM(C52:F52)</f>
        <v>0</v>
      </c>
      <c r="H52" s="16">
        <f>ROUND(G52/1724,2)</f>
        <v>0</v>
      </c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A57" s="30" t="s">
        <v>57</v>
      </c>
      <c r="B57" s="30"/>
      <c r="C57" s="14" t="s">
        <v>2</v>
      </c>
      <c r="D57" s="14">
        <v>2023</v>
      </c>
      <c r="E57" s="14" t="s">
        <v>59</v>
      </c>
      <c r="F57" s="13"/>
      <c r="G57" s="20" t="s">
        <v>60</v>
      </c>
      <c r="H57" s="14" t="s">
        <v>2</v>
      </c>
      <c r="I57" s="12" t="s">
        <v>61</v>
      </c>
      <c r="J57" s="12" t="s">
        <v>59</v>
      </c>
    </row>
    <row r="58" spans="1:10" x14ac:dyDescent="0.25">
      <c r="A58" s="29" t="s">
        <v>58</v>
      </c>
      <c r="B58" s="29"/>
      <c r="C58" s="15">
        <f>ROUND(0.7397, 4)</f>
        <v>0.73970000000000002</v>
      </c>
      <c r="D58" s="15">
        <f>ROUND(0.7908, 4)</f>
        <v>0.79079999999999995</v>
      </c>
      <c r="E58" s="15">
        <f>ROUND(0.777, 4)</f>
        <v>0.77700000000000002</v>
      </c>
      <c r="F58" s="8"/>
      <c r="G58" s="20" t="s">
        <v>62</v>
      </c>
      <c r="H58" s="33" t="s">
        <v>63</v>
      </c>
      <c r="I58" s="31" t="s">
        <v>64</v>
      </c>
      <c r="J58" s="31" t="s">
        <v>65</v>
      </c>
    </row>
    <row r="59" spans="1:10" x14ac:dyDescent="0.25">
      <c r="A59" s="29" t="s">
        <v>66</v>
      </c>
      <c r="B59" s="29"/>
      <c r="C59" s="15">
        <f>ROUND(0.704, 4)</f>
        <v>0.70399999999999996</v>
      </c>
      <c r="D59" s="15">
        <f>ROUND(0.7615, 4)</f>
        <v>0.76149999999999995</v>
      </c>
      <c r="E59" s="15">
        <f>ROUND(0.7608, 4)</f>
        <v>0.76080000000000003</v>
      </c>
      <c r="F59" s="8"/>
      <c r="G59" s="14" t="s">
        <v>67</v>
      </c>
      <c r="H59" s="34"/>
      <c r="I59" s="32"/>
      <c r="J59" s="32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A63" s="30" t="s">
        <v>68</v>
      </c>
      <c r="B63" s="30"/>
      <c r="C63" s="14" t="s">
        <v>2</v>
      </c>
      <c r="D63" s="14" t="s">
        <v>234</v>
      </c>
      <c r="E63" s="14" t="s">
        <v>70</v>
      </c>
      <c r="F63" s="14" t="s">
        <v>71</v>
      </c>
      <c r="G63" s="14" t="s">
        <v>72</v>
      </c>
      <c r="H63" s="13"/>
      <c r="I63" s="17"/>
      <c r="J63" s="17"/>
    </row>
    <row r="64" spans="1:10" x14ac:dyDescent="0.25">
      <c r="A64" s="29" t="s">
        <v>73</v>
      </c>
      <c r="B64" s="29"/>
      <c r="C64" s="16">
        <v>79.25</v>
      </c>
      <c r="D64" s="16">
        <v>79.62</v>
      </c>
      <c r="E64" s="16">
        <v>93.87</v>
      </c>
      <c r="F64" s="16">
        <v>57.16</v>
      </c>
      <c r="G64" s="16">
        <f>12/12*C64</f>
        <v>79.25</v>
      </c>
      <c r="H64" s="8"/>
      <c r="I64" s="9"/>
      <c r="J64" s="9"/>
    </row>
    <row r="65" spans="1:10" x14ac:dyDescent="0.25">
      <c r="A65" s="29" t="s">
        <v>74</v>
      </c>
      <c r="B65" s="29"/>
      <c r="C65" s="16">
        <v>26.53</v>
      </c>
      <c r="D65" s="16">
        <v>50.98</v>
      </c>
      <c r="E65" s="16">
        <v>62.84</v>
      </c>
      <c r="F65" s="16">
        <v>65.39</v>
      </c>
      <c r="G65" s="16">
        <f>12/12*C65</f>
        <v>26.53</v>
      </c>
      <c r="H65" s="8"/>
      <c r="I65" s="9"/>
      <c r="J65" s="9"/>
    </row>
    <row r="66" spans="1:10" x14ac:dyDescent="0.25">
      <c r="A66" s="29" t="s">
        <v>75</v>
      </c>
      <c r="B66" s="29"/>
      <c r="C66" s="16">
        <v>267.83</v>
      </c>
      <c r="D66" s="16">
        <v>321.5</v>
      </c>
      <c r="E66" s="16">
        <v>295.08999999999997</v>
      </c>
      <c r="F66" s="16">
        <v>289.06</v>
      </c>
      <c r="G66" s="16">
        <f>12/12*C66</f>
        <v>267.83</v>
      </c>
      <c r="H66" s="8"/>
      <c r="I66" s="9"/>
      <c r="J66" s="9"/>
    </row>
    <row r="67" spans="1:10" x14ac:dyDescent="0.25">
      <c r="A67" s="29" t="s">
        <v>76</v>
      </c>
      <c r="B67" s="29"/>
      <c r="C67" s="16">
        <v>98.98</v>
      </c>
      <c r="D67" s="16">
        <v>105.54</v>
      </c>
      <c r="E67" s="16">
        <v>118.05</v>
      </c>
      <c r="F67" s="16">
        <v>81.41</v>
      </c>
      <c r="G67" s="16">
        <f>12/12*C67</f>
        <v>98.98</v>
      </c>
      <c r="H67" s="8"/>
      <c r="I67" s="9"/>
      <c r="J67" s="9"/>
    </row>
    <row r="68" spans="1:10" x14ac:dyDescent="0.25">
      <c r="C68" s="8"/>
      <c r="D68" s="8"/>
      <c r="E68" s="8"/>
      <c r="F68" s="8"/>
      <c r="G68" s="8"/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28" t="s">
        <v>60</v>
      </c>
      <c r="B70" s="35"/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3" t="s">
        <v>77</v>
      </c>
      <c r="B71" s="1" t="s">
        <v>235</v>
      </c>
      <c r="C71" s="8"/>
      <c r="D71" s="8"/>
      <c r="E71" s="8"/>
      <c r="F71" s="8"/>
      <c r="G71" s="8"/>
      <c r="H71" s="8"/>
      <c r="I71" s="9"/>
      <c r="J71" s="9"/>
    </row>
    <row r="72" spans="1:10" x14ac:dyDescent="0.25">
      <c r="A72" s="3" t="s">
        <v>70</v>
      </c>
      <c r="B72" s="1" t="s">
        <v>79</v>
      </c>
      <c r="C72" s="8"/>
      <c r="D72" s="8"/>
      <c r="E72" s="8"/>
      <c r="F72" s="8"/>
      <c r="G72" s="8"/>
      <c r="H72" s="8"/>
      <c r="I72" s="9"/>
      <c r="J72" s="9"/>
    </row>
    <row r="73" spans="1:10" x14ac:dyDescent="0.25">
      <c r="A73" s="3" t="s">
        <v>71</v>
      </c>
      <c r="B73" s="1" t="s">
        <v>80</v>
      </c>
      <c r="C73" s="8"/>
      <c r="D73" s="8"/>
      <c r="E73" s="8"/>
      <c r="F73" s="8"/>
      <c r="G73" s="8"/>
      <c r="H73" s="8"/>
      <c r="I73" s="9"/>
      <c r="J73" s="9"/>
    </row>
    <row r="74" spans="1:10" x14ac:dyDescent="0.25">
      <c r="A74" s="3" t="s">
        <v>72</v>
      </c>
      <c r="B74" s="1" t="s">
        <v>81</v>
      </c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  <row r="76" spans="1:10" x14ac:dyDescent="0.25">
      <c r="C76" s="8"/>
      <c r="D76" s="8"/>
      <c r="E76" s="8"/>
      <c r="F76" s="8"/>
      <c r="G76" s="8"/>
      <c r="H76" s="8"/>
      <c r="I76" s="9"/>
      <c r="J76" s="9"/>
    </row>
    <row r="77" spans="1:10" x14ac:dyDescent="0.25">
      <c r="C77" s="8"/>
      <c r="D77" s="8"/>
      <c r="E77" s="8"/>
      <c r="F77" s="8"/>
      <c r="G77" s="8"/>
      <c r="H77" s="8"/>
      <c r="I77" s="9"/>
      <c r="J77" s="9"/>
    </row>
  </sheetData>
  <mergeCells count="19">
    <mergeCell ref="A65:B65"/>
    <mergeCell ref="A66:B66"/>
    <mergeCell ref="A67:B67"/>
    <mergeCell ref="A70:B70"/>
    <mergeCell ref="I58:I59"/>
    <mergeCell ref="J58:J59"/>
    <mergeCell ref="A59:B59"/>
    <mergeCell ref="A63:B63"/>
    <mergeCell ref="A64:B64"/>
    <mergeCell ref="A51:B51"/>
    <mergeCell ref="A52:B52"/>
    <mergeCell ref="A57:B57"/>
    <mergeCell ref="A58:B58"/>
    <mergeCell ref="H58:H59"/>
    <mergeCell ref="C7:G7"/>
    <mergeCell ref="A43:B43"/>
    <mergeCell ref="A44:B44"/>
    <mergeCell ref="A49:B49"/>
    <mergeCell ref="A50:B50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2:J77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4.710937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236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5067</v>
      </c>
    </row>
    <row r="7" spans="1:10" x14ac:dyDescent="0.25">
      <c r="C7" s="28" t="s">
        <v>5</v>
      </c>
      <c r="D7" s="29"/>
      <c r="E7" s="29"/>
      <c r="F7" s="29"/>
      <c r="G7" s="29"/>
    </row>
    <row r="8" spans="1:10" x14ac:dyDescent="0.25">
      <c r="A8" s="25" t="s">
        <v>6</v>
      </c>
      <c r="B8" s="25" t="s">
        <v>7</v>
      </c>
      <c r="C8" s="27" t="s">
        <v>8</v>
      </c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40</v>
      </c>
      <c r="F9" s="10"/>
      <c r="G9" s="10">
        <f t="shared" ref="G9:G45" si="0">SUM(C9:F9)</f>
        <v>40</v>
      </c>
      <c r="H9" s="16">
        <f t="shared" ref="H9:H45" si="1">ROUND(G9/5067,2)</f>
        <v>0.01</v>
      </c>
      <c r="I9" s="15">
        <f t="shared" ref="I9:I45" si="2">ROUND(G9/$G$46,3)</f>
        <v>0</v>
      </c>
      <c r="J9" s="15">
        <f>ROUND(G9/65-1,2)</f>
        <v>-0.38</v>
      </c>
    </row>
    <row r="10" spans="1:10" x14ac:dyDescent="0.25">
      <c r="A10" s="1" t="s">
        <v>16</v>
      </c>
      <c r="B10" s="1" t="s">
        <v>19</v>
      </c>
      <c r="C10" s="10">
        <v>150320</v>
      </c>
      <c r="D10" s="10"/>
      <c r="E10" s="10"/>
      <c r="F10" s="10"/>
      <c r="G10" s="10">
        <f t="shared" si="0"/>
        <v>150320</v>
      </c>
      <c r="H10" s="16">
        <f t="shared" si="1"/>
        <v>29.67</v>
      </c>
      <c r="I10" s="15">
        <f t="shared" si="2"/>
        <v>0.08</v>
      </c>
      <c r="J10" s="15">
        <f>ROUND(G10/67140-1,2)</f>
        <v>1.24</v>
      </c>
    </row>
    <row r="11" spans="1:10" x14ac:dyDescent="0.25">
      <c r="A11" s="1" t="s">
        <v>16</v>
      </c>
      <c r="B11" s="1" t="s">
        <v>20</v>
      </c>
      <c r="C11" s="10">
        <v>178000</v>
      </c>
      <c r="D11" s="10"/>
      <c r="E11" s="10"/>
      <c r="F11" s="10"/>
      <c r="G11" s="10">
        <f t="shared" si="0"/>
        <v>178000</v>
      </c>
      <c r="H11" s="16">
        <f t="shared" si="1"/>
        <v>35.130000000000003</v>
      </c>
      <c r="I11" s="15">
        <f t="shared" si="2"/>
        <v>9.5000000000000001E-2</v>
      </c>
      <c r="J11" s="15">
        <f>ROUND(G11/194230-1,2)</f>
        <v>-0.08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97</v>
      </c>
      <c r="F12" s="10"/>
      <c r="G12" s="10">
        <f t="shared" si="0"/>
        <v>97</v>
      </c>
      <c r="H12" s="16">
        <f t="shared" si="1"/>
        <v>0.02</v>
      </c>
      <c r="I12" s="15">
        <f t="shared" si="2"/>
        <v>0</v>
      </c>
      <c r="J12" s="15">
        <f>ROUND(G12/90-1,2)</f>
        <v>0.08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254</v>
      </c>
      <c r="F13" s="10"/>
      <c r="G13" s="10">
        <f t="shared" si="0"/>
        <v>254</v>
      </c>
      <c r="H13" s="16">
        <f t="shared" si="1"/>
        <v>0.05</v>
      </c>
      <c r="I13" s="15">
        <f t="shared" si="2"/>
        <v>0</v>
      </c>
      <c r="J13" s="15">
        <f>ROUND(G13/94-1,2)</f>
        <v>1.7</v>
      </c>
    </row>
    <row r="14" spans="1:10" x14ac:dyDescent="0.25">
      <c r="A14" s="1" t="s">
        <v>16</v>
      </c>
      <c r="B14" s="1" t="s">
        <v>23</v>
      </c>
      <c r="C14" s="10"/>
      <c r="D14" s="10"/>
      <c r="E14" s="10">
        <v>86920</v>
      </c>
      <c r="F14" s="10"/>
      <c r="G14" s="10">
        <f t="shared" si="0"/>
        <v>86920</v>
      </c>
      <c r="H14" s="16">
        <f t="shared" si="1"/>
        <v>17.149999999999999</v>
      </c>
      <c r="I14" s="15">
        <f t="shared" si="2"/>
        <v>4.5999999999999999E-2</v>
      </c>
      <c r="J14" s="15">
        <f>ROUND(G14/58900-1,2)</f>
        <v>0.48</v>
      </c>
    </row>
    <row r="15" spans="1:10" x14ac:dyDescent="0.25">
      <c r="A15" s="1" t="s">
        <v>16</v>
      </c>
      <c r="B15" s="1" t="s">
        <v>24</v>
      </c>
      <c r="C15" s="10">
        <v>220020</v>
      </c>
      <c r="D15" s="10"/>
      <c r="E15" s="10">
        <v>19510</v>
      </c>
      <c r="F15" s="10"/>
      <c r="G15" s="10">
        <f t="shared" si="0"/>
        <v>239530</v>
      </c>
      <c r="H15" s="16">
        <f t="shared" si="1"/>
        <v>47.27</v>
      </c>
      <c r="I15" s="15">
        <f t="shared" si="2"/>
        <v>0.127</v>
      </c>
      <c r="J15" s="15">
        <f>ROUND(G15/236690-1,2)</f>
        <v>0.01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3965</v>
      </c>
      <c r="F16" s="10"/>
      <c r="G16" s="10">
        <f t="shared" si="0"/>
        <v>3965</v>
      </c>
      <c r="H16" s="16">
        <f t="shared" si="1"/>
        <v>0.78</v>
      </c>
      <c r="I16" s="15">
        <f t="shared" si="2"/>
        <v>2E-3</v>
      </c>
      <c r="J16" s="15">
        <f>ROUND(G16/2300-1,2)</f>
        <v>0.72</v>
      </c>
    </row>
    <row r="17" spans="1:10" x14ac:dyDescent="0.25">
      <c r="A17" s="1" t="s">
        <v>16</v>
      </c>
      <c r="B17" s="1" t="s">
        <v>26</v>
      </c>
      <c r="C17" s="10">
        <v>325690</v>
      </c>
      <c r="D17" s="10"/>
      <c r="E17" s="10"/>
      <c r="F17" s="10"/>
      <c r="G17" s="10">
        <f t="shared" si="0"/>
        <v>325690</v>
      </c>
      <c r="H17" s="16">
        <f t="shared" si="1"/>
        <v>64.28</v>
      </c>
      <c r="I17" s="15">
        <f t="shared" si="2"/>
        <v>0.17299999999999999</v>
      </c>
      <c r="J17" s="15">
        <f>ROUND(G17/168100-1,2)</f>
        <v>0.94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1273</v>
      </c>
      <c r="F18" s="10"/>
      <c r="G18" s="10">
        <f t="shared" si="0"/>
        <v>1273</v>
      </c>
      <c r="H18" s="16">
        <f t="shared" si="1"/>
        <v>0.25</v>
      </c>
      <c r="I18" s="15">
        <f t="shared" si="2"/>
        <v>1E-3</v>
      </c>
      <c r="J18" s="15">
        <f>ROUND(G18/620-1,2)</f>
        <v>1.05</v>
      </c>
    </row>
    <row r="19" spans="1:10" x14ac:dyDescent="0.25">
      <c r="A19" s="1" t="s">
        <v>16</v>
      </c>
      <c r="B19" s="1" t="s">
        <v>28</v>
      </c>
      <c r="C19" s="10"/>
      <c r="D19" s="10"/>
      <c r="E19" s="10">
        <v>1168</v>
      </c>
      <c r="F19" s="10"/>
      <c r="G19" s="10">
        <f t="shared" si="0"/>
        <v>1168</v>
      </c>
      <c r="H19" s="16">
        <f t="shared" si="1"/>
        <v>0.23</v>
      </c>
      <c r="I19" s="15">
        <f t="shared" si="2"/>
        <v>1E-3</v>
      </c>
      <c r="J19" s="15">
        <f>ROUND(G19/432-1,2)</f>
        <v>1.7</v>
      </c>
    </row>
    <row r="20" spans="1:10" x14ac:dyDescent="0.25">
      <c r="A20" s="1" t="s">
        <v>16</v>
      </c>
      <c r="B20" s="1" t="s">
        <v>29</v>
      </c>
      <c r="C20" s="10"/>
      <c r="D20" s="10"/>
      <c r="E20" s="10">
        <v>2580</v>
      </c>
      <c r="F20" s="10"/>
      <c r="G20" s="10">
        <f t="shared" si="0"/>
        <v>2580</v>
      </c>
      <c r="H20" s="16">
        <f t="shared" si="1"/>
        <v>0.51</v>
      </c>
      <c r="I20" s="15">
        <f t="shared" si="2"/>
        <v>1E-3</v>
      </c>
      <c r="J20" s="15">
        <f>ROUND(G20/1760-1,2)</f>
        <v>0.47</v>
      </c>
    </row>
    <row r="21" spans="1:10" x14ac:dyDescent="0.25">
      <c r="A21" s="1" t="s">
        <v>16</v>
      </c>
      <c r="B21" s="1" t="s">
        <v>30</v>
      </c>
      <c r="C21" s="10"/>
      <c r="D21" s="10"/>
      <c r="E21" s="10">
        <v>100</v>
      </c>
      <c r="F21" s="10"/>
      <c r="G21" s="10">
        <f t="shared" si="0"/>
        <v>100</v>
      </c>
      <c r="H21" s="16">
        <f t="shared" si="1"/>
        <v>0.02</v>
      </c>
      <c r="I21" s="15">
        <f t="shared" si="2"/>
        <v>0</v>
      </c>
      <c r="J21" s="15">
        <f>ROUND(G21/110-1,2)</f>
        <v>-0.09</v>
      </c>
    </row>
    <row r="22" spans="1:10" x14ac:dyDescent="0.25">
      <c r="A22" s="1" t="s">
        <v>16</v>
      </c>
      <c r="B22" s="1" t="s">
        <v>32</v>
      </c>
      <c r="C22" s="10"/>
      <c r="D22" s="10"/>
      <c r="E22" s="10">
        <v>2075</v>
      </c>
      <c r="F22" s="10"/>
      <c r="G22" s="10">
        <f t="shared" si="0"/>
        <v>2075</v>
      </c>
      <c r="H22" s="16">
        <f t="shared" si="1"/>
        <v>0.41</v>
      </c>
      <c r="I22" s="15">
        <f t="shared" si="2"/>
        <v>1E-3</v>
      </c>
      <c r="J22" s="15">
        <f>ROUND(G22/1820-1,2)</f>
        <v>0.14000000000000001</v>
      </c>
    </row>
    <row r="23" spans="1:10" x14ac:dyDescent="0.25">
      <c r="A23" s="1" t="s">
        <v>16</v>
      </c>
      <c r="B23" s="1" t="s">
        <v>33</v>
      </c>
      <c r="C23" s="10"/>
      <c r="D23" s="10">
        <v>576</v>
      </c>
      <c r="E23" s="10">
        <v>155</v>
      </c>
      <c r="F23" s="10"/>
      <c r="G23" s="10">
        <f t="shared" si="0"/>
        <v>731</v>
      </c>
      <c r="H23" s="16">
        <f t="shared" si="1"/>
        <v>0.14000000000000001</v>
      </c>
      <c r="I23" s="15">
        <f t="shared" si="2"/>
        <v>0</v>
      </c>
      <c r="J23" s="15">
        <f>ROUND(G23/443-1,2)</f>
        <v>0.65</v>
      </c>
    </row>
    <row r="24" spans="1:10" x14ac:dyDescent="0.25">
      <c r="A24" s="1" t="s">
        <v>16</v>
      </c>
      <c r="B24" s="1" t="s">
        <v>35</v>
      </c>
      <c r="C24" s="10"/>
      <c r="D24" s="10">
        <v>170</v>
      </c>
      <c r="E24" s="10"/>
      <c r="F24" s="10"/>
      <c r="G24" s="10">
        <f t="shared" si="0"/>
        <v>170</v>
      </c>
      <c r="H24" s="16">
        <f t="shared" si="1"/>
        <v>0.03</v>
      </c>
      <c r="I24" s="15">
        <f t="shared" si="2"/>
        <v>0</v>
      </c>
      <c r="J24" s="15">
        <f>ROUND(G24/260-1,2)</f>
        <v>-0.35</v>
      </c>
    </row>
    <row r="25" spans="1:10" x14ac:dyDescent="0.25">
      <c r="A25" s="1" t="s">
        <v>16</v>
      </c>
      <c r="B25" s="1" t="s">
        <v>37</v>
      </c>
      <c r="C25" s="10"/>
      <c r="D25" s="10"/>
      <c r="E25" s="10">
        <v>4070</v>
      </c>
      <c r="F25" s="10"/>
      <c r="G25" s="10">
        <f t="shared" si="0"/>
        <v>4070</v>
      </c>
      <c r="H25" s="16">
        <f t="shared" si="1"/>
        <v>0.8</v>
      </c>
      <c r="I25" s="15">
        <f t="shared" si="2"/>
        <v>2E-3</v>
      </c>
      <c r="J25" s="15">
        <f>ROUND(G25/1776-1,2)</f>
        <v>1.29</v>
      </c>
    </row>
    <row r="26" spans="1:10" x14ac:dyDescent="0.25">
      <c r="A26" s="1" t="s">
        <v>16</v>
      </c>
      <c r="B26" s="1" t="s">
        <v>43</v>
      </c>
      <c r="C26" s="10"/>
      <c r="D26" s="10"/>
      <c r="E26" s="10">
        <v>2430</v>
      </c>
      <c r="F26" s="10"/>
      <c r="G26" s="10">
        <f t="shared" si="0"/>
        <v>2430</v>
      </c>
      <c r="H26" s="16">
        <f t="shared" si="1"/>
        <v>0.48</v>
      </c>
      <c r="I26" s="15">
        <f t="shared" si="2"/>
        <v>1E-3</v>
      </c>
      <c r="J26" s="15">
        <f>ROUND(G26/5540-1,2)</f>
        <v>-0.56000000000000005</v>
      </c>
    </row>
    <row r="27" spans="1:10" x14ac:dyDescent="0.25">
      <c r="A27" s="1" t="s">
        <v>16</v>
      </c>
      <c r="B27" s="1" t="s">
        <v>38</v>
      </c>
      <c r="C27" s="10"/>
      <c r="D27" s="10"/>
      <c r="E27" s="10">
        <v>85780</v>
      </c>
      <c r="F27" s="10"/>
      <c r="G27" s="10">
        <f t="shared" si="0"/>
        <v>85780</v>
      </c>
      <c r="H27" s="16">
        <f t="shared" si="1"/>
        <v>16.93</v>
      </c>
      <c r="I27" s="15">
        <f t="shared" si="2"/>
        <v>4.5999999999999999E-2</v>
      </c>
      <c r="J27" s="15">
        <f>ROUND(G27/46040-1,2)</f>
        <v>0.86</v>
      </c>
    </row>
    <row r="28" spans="1:10" x14ac:dyDescent="0.25">
      <c r="A28" s="1" t="s">
        <v>16</v>
      </c>
      <c r="B28" s="1" t="s">
        <v>40</v>
      </c>
      <c r="C28" s="10"/>
      <c r="D28" s="10"/>
      <c r="E28" s="10">
        <v>25280</v>
      </c>
      <c r="F28" s="10"/>
      <c r="G28" s="10">
        <f t="shared" si="0"/>
        <v>25280</v>
      </c>
      <c r="H28" s="16">
        <f t="shared" si="1"/>
        <v>4.99</v>
      </c>
      <c r="I28" s="15">
        <f t="shared" si="2"/>
        <v>1.2999999999999999E-2</v>
      </c>
      <c r="J28" s="15">
        <f>ROUND(G28/8030-1,2)</f>
        <v>2.15</v>
      </c>
    </row>
    <row r="29" spans="1:10" x14ac:dyDescent="0.25">
      <c r="A29" s="1" t="s">
        <v>16</v>
      </c>
      <c r="B29" s="1" t="s">
        <v>41</v>
      </c>
      <c r="C29" s="10">
        <v>8540</v>
      </c>
      <c r="D29" s="10">
        <v>16360</v>
      </c>
      <c r="E29" s="10">
        <v>401850</v>
      </c>
      <c r="F29" s="10">
        <v>5000</v>
      </c>
      <c r="G29" s="10">
        <f t="shared" si="0"/>
        <v>431750</v>
      </c>
      <c r="H29" s="16">
        <f t="shared" si="1"/>
        <v>85.21</v>
      </c>
      <c r="I29" s="15">
        <f t="shared" si="2"/>
        <v>0.23</v>
      </c>
      <c r="J29" s="15">
        <f>ROUND(G29/222250-1,2)</f>
        <v>0.94</v>
      </c>
    </row>
    <row r="30" spans="1:10" x14ac:dyDescent="0.25">
      <c r="A30" s="1" t="s">
        <v>16</v>
      </c>
      <c r="B30" s="1" t="s">
        <v>90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>
        <f>ROUND(G30/3300-1,2)</f>
        <v>-1</v>
      </c>
    </row>
    <row r="31" spans="1:10" x14ac:dyDescent="0.25">
      <c r="A31" s="1" t="s">
        <v>16</v>
      </c>
      <c r="B31" s="1" t="s">
        <v>133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>
        <f>ROUND(G31/9320-1,2)</f>
        <v>-1</v>
      </c>
    </row>
    <row r="32" spans="1:10" x14ac:dyDescent="0.25">
      <c r="A32" s="1" t="s">
        <v>16</v>
      </c>
      <c r="B32" s="1" t="s">
        <v>98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>
        <f>ROUND(G32/221-1,2)</f>
        <v>-1</v>
      </c>
    </row>
    <row r="33" spans="1:10" x14ac:dyDescent="0.25">
      <c r="A33" s="1" t="s">
        <v>16</v>
      </c>
      <c r="B33" s="1" t="s">
        <v>42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>
        <f>ROUND(G33/253-1,2)</f>
        <v>-1</v>
      </c>
    </row>
    <row r="34" spans="1:10" x14ac:dyDescent="0.25">
      <c r="A34" s="1" t="s">
        <v>16</v>
      </c>
      <c r="B34" s="1" t="s">
        <v>31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ROUND(G34/300-1,2)</f>
        <v>-1</v>
      </c>
    </row>
    <row r="35" spans="1:10" x14ac:dyDescent="0.25">
      <c r="A35" s="1" t="s">
        <v>16</v>
      </c>
      <c r="B35" s="1" t="s">
        <v>34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>
        <f>ROUND(G35/270-1,2)</f>
        <v>-1</v>
      </c>
    </row>
    <row r="36" spans="1:10" x14ac:dyDescent="0.25">
      <c r="A36" s="1" t="s">
        <v>16</v>
      </c>
      <c r="B36" s="1" t="s">
        <v>36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>
        <f>ROUND(G36/2376-1,2)</f>
        <v>-1</v>
      </c>
    </row>
    <row r="37" spans="1:10" x14ac:dyDescent="0.25">
      <c r="A37" s="1" t="s">
        <v>16</v>
      </c>
      <c r="B37" s="1" t="s">
        <v>22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1" t="s">
        <v>16</v>
      </c>
      <c r="B38" s="1" t="s">
        <v>18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>
        <f>ROUND(G38/1640-1,2)</f>
        <v>-1</v>
      </c>
    </row>
    <row r="39" spans="1:10" x14ac:dyDescent="0.25">
      <c r="A39" s="1" t="s">
        <v>44</v>
      </c>
      <c r="B39" s="1" t="s">
        <v>45</v>
      </c>
      <c r="C39" s="10">
        <v>210990</v>
      </c>
      <c r="D39" s="10"/>
      <c r="E39" s="10"/>
      <c r="F39" s="10"/>
      <c r="G39" s="10">
        <f t="shared" si="0"/>
        <v>210990</v>
      </c>
      <c r="H39" s="16">
        <f t="shared" si="1"/>
        <v>41.64</v>
      </c>
      <c r="I39" s="15">
        <f t="shared" si="2"/>
        <v>0.112</v>
      </c>
      <c r="J39" s="15">
        <f>ROUND(G39/152200-1,2)</f>
        <v>0.39</v>
      </c>
    </row>
    <row r="40" spans="1:10" x14ac:dyDescent="0.25">
      <c r="A40" s="1" t="s">
        <v>44</v>
      </c>
      <c r="B40" s="1" t="s">
        <v>47</v>
      </c>
      <c r="C40" s="10"/>
      <c r="D40" s="10"/>
      <c r="E40" s="10"/>
      <c r="F40" s="10">
        <v>55910</v>
      </c>
      <c r="G40" s="10">
        <f t="shared" si="0"/>
        <v>55910</v>
      </c>
      <c r="H40" s="16">
        <f t="shared" si="1"/>
        <v>11.03</v>
      </c>
      <c r="I40" s="15">
        <f t="shared" si="2"/>
        <v>0.03</v>
      </c>
      <c r="J40" s="15">
        <f>ROUND(G40/32880-1,2)</f>
        <v>0.7</v>
      </c>
    </row>
    <row r="41" spans="1:10" x14ac:dyDescent="0.25">
      <c r="A41" s="1" t="s">
        <v>44</v>
      </c>
      <c r="B41" s="1" t="s">
        <v>46</v>
      </c>
      <c r="C41" s="10"/>
      <c r="D41" s="10"/>
      <c r="E41" s="10">
        <v>70860</v>
      </c>
      <c r="F41" s="10"/>
      <c r="G41" s="10">
        <f t="shared" si="0"/>
        <v>70860</v>
      </c>
      <c r="H41" s="16">
        <f t="shared" si="1"/>
        <v>13.98</v>
      </c>
      <c r="I41" s="15">
        <f t="shared" si="2"/>
        <v>3.7999999999999999E-2</v>
      </c>
      <c r="J41" s="15">
        <f>ROUND(G41/31740-1,2)</f>
        <v>1.23</v>
      </c>
    </row>
    <row r="42" spans="1:10" x14ac:dyDescent="0.25">
      <c r="A42" s="1" t="s">
        <v>48</v>
      </c>
      <c r="B42" s="1" t="s">
        <v>51</v>
      </c>
      <c r="C42" s="10"/>
      <c r="D42" s="10"/>
      <c r="E42" s="10"/>
      <c r="F42" s="10"/>
      <c r="G42" s="10">
        <f t="shared" si="0"/>
        <v>0</v>
      </c>
      <c r="H42" s="16">
        <f t="shared" si="1"/>
        <v>0</v>
      </c>
      <c r="I42" s="15">
        <f t="shared" si="2"/>
        <v>0</v>
      </c>
      <c r="J42" s="15"/>
    </row>
    <row r="43" spans="1:10" x14ac:dyDescent="0.25">
      <c r="A43" s="1" t="s">
        <v>48</v>
      </c>
      <c r="B43" s="1" t="s">
        <v>49</v>
      </c>
      <c r="C43" s="10"/>
      <c r="D43" s="10"/>
      <c r="E43" s="10"/>
      <c r="F43" s="10"/>
      <c r="G43" s="10">
        <f t="shared" si="0"/>
        <v>0</v>
      </c>
      <c r="H43" s="16">
        <f t="shared" si="1"/>
        <v>0</v>
      </c>
      <c r="I43" s="15">
        <f t="shared" si="2"/>
        <v>0</v>
      </c>
      <c r="J43" s="15">
        <f>ROUND(G43/35-1,2)</f>
        <v>-1</v>
      </c>
    </row>
    <row r="44" spans="1:10" x14ac:dyDescent="0.25">
      <c r="A44" s="1" t="s">
        <v>48</v>
      </c>
      <c r="B44" s="1" t="s">
        <v>86</v>
      </c>
      <c r="C44" s="10"/>
      <c r="D44" s="10"/>
      <c r="E44" s="10"/>
      <c r="F44" s="10"/>
      <c r="G44" s="10">
        <f t="shared" si="0"/>
        <v>0</v>
      </c>
      <c r="H44" s="16">
        <f t="shared" si="1"/>
        <v>0</v>
      </c>
      <c r="I44" s="15">
        <f t="shared" si="2"/>
        <v>0</v>
      </c>
      <c r="J44" s="15"/>
    </row>
    <row r="45" spans="1:10" x14ac:dyDescent="0.25">
      <c r="A45" s="1" t="s">
        <v>48</v>
      </c>
      <c r="B45" s="1" t="s">
        <v>50</v>
      </c>
      <c r="C45" s="10"/>
      <c r="D45" s="10"/>
      <c r="E45" s="10"/>
      <c r="F45" s="10"/>
      <c r="G45" s="10">
        <f t="shared" si="0"/>
        <v>0</v>
      </c>
      <c r="H45" s="16">
        <f t="shared" si="1"/>
        <v>0</v>
      </c>
      <c r="I45" s="15">
        <f t="shared" si="2"/>
        <v>0</v>
      </c>
      <c r="J45" s="15">
        <f>ROUND(G45/329-1,2)</f>
        <v>-1</v>
      </c>
    </row>
    <row r="46" spans="1:10" x14ac:dyDescent="0.25">
      <c r="A46" s="30" t="s">
        <v>12</v>
      </c>
      <c r="B46" s="30"/>
      <c r="C46" s="11">
        <f t="shared" ref="C46:H46" si="3">SUM(C8:C45)</f>
        <v>1093560</v>
      </c>
      <c r="D46" s="11">
        <f t="shared" si="3"/>
        <v>17106</v>
      </c>
      <c r="E46" s="11">
        <f t="shared" si="3"/>
        <v>708407</v>
      </c>
      <c r="F46" s="11">
        <f t="shared" si="3"/>
        <v>60910</v>
      </c>
      <c r="G46" s="11">
        <f t="shared" si="3"/>
        <v>1879983</v>
      </c>
      <c r="H46" s="14">
        <f t="shared" si="3"/>
        <v>371.01</v>
      </c>
      <c r="I46" s="17"/>
      <c r="J46" s="17"/>
    </row>
    <row r="47" spans="1:10" x14ac:dyDescent="0.25">
      <c r="A47" s="30" t="s">
        <v>14</v>
      </c>
      <c r="B47" s="30"/>
      <c r="C47" s="12">
        <f>ROUND(C46/G46,2)</f>
        <v>0.57999999999999996</v>
      </c>
      <c r="D47" s="12">
        <f>ROUND(D46/G46,2)</f>
        <v>0.01</v>
      </c>
      <c r="E47" s="12">
        <f>ROUND(E46/G46,2)</f>
        <v>0.38</v>
      </c>
      <c r="F47" s="12">
        <f>ROUND(F46/G46,2)</f>
        <v>0.03</v>
      </c>
      <c r="G47" s="13"/>
      <c r="H47" s="13"/>
      <c r="I47" s="17"/>
      <c r="J47" s="17"/>
    </row>
    <row r="48" spans="1:10" x14ac:dyDescent="0.25">
      <c r="A48" s="2" t="s">
        <v>52</v>
      </c>
      <c r="B48" s="2"/>
      <c r="C48" s="13"/>
      <c r="D48" s="13"/>
      <c r="E48" s="13"/>
      <c r="F48" s="13"/>
      <c r="G48" s="13"/>
      <c r="H48" s="13"/>
      <c r="I48" s="17"/>
      <c r="J48" s="17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A52" s="30" t="s">
        <v>53</v>
      </c>
      <c r="B52" s="30"/>
      <c r="C52" s="11" t="s">
        <v>8</v>
      </c>
      <c r="D52" s="11" t="s">
        <v>9</v>
      </c>
      <c r="E52" s="11" t="s">
        <v>10</v>
      </c>
      <c r="F52" s="11" t="s">
        <v>11</v>
      </c>
      <c r="G52" s="11" t="s">
        <v>12</v>
      </c>
      <c r="H52" s="14" t="s">
        <v>13</v>
      </c>
      <c r="I52" s="17"/>
      <c r="J52" s="17"/>
    </row>
    <row r="53" spans="1:10" x14ac:dyDescent="0.25">
      <c r="A53" s="29" t="s">
        <v>54</v>
      </c>
      <c r="B53" s="29"/>
      <c r="C53" s="10">
        <v>882570</v>
      </c>
      <c r="D53" s="10">
        <v>17106</v>
      </c>
      <c r="E53" s="10">
        <v>637547</v>
      </c>
      <c r="F53" s="10">
        <v>5000</v>
      </c>
      <c r="G53" s="10">
        <f>SUM(C53:F53)</f>
        <v>1542223</v>
      </c>
      <c r="H53" s="16">
        <f>ROUND(G53/5067,2)</f>
        <v>304.37</v>
      </c>
      <c r="I53" s="9"/>
      <c r="J53" s="9"/>
    </row>
    <row r="54" spans="1:10" x14ac:dyDescent="0.25">
      <c r="A54" s="29" t="s">
        <v>55</v>
      </c>
      <c r="B54" s="29"/>
      <c r="C54" s="10">
        <v>210990</v>
      </c>
      <c r="D54" s="10">
        <v>0</v>
      </c>
      <c r="E54" s="10">
        <v>70860</v>
      </c>
      <c r="F54" s="10">
        <v>55910</v>
      </c>
      <c r="G54" s="10">
        <f>SUM(C54:F54)</f>
        <v>337760</v>
      </c>
      <c r="H54" s="16">
        <f>ROUND(G54/5067,2)</f>
        <v>66.66</v>
      </c>
      <c r="I54" s="9"/>
      <c r="J54" s="9"/>
    </row>
    <row r="55" spans="1:10" x14ac:dyDescent="0.25">
      <c r="A55" s="29" t="s">
        <v>56</v>
      </c>
      <c r="B55" s="29"/>
      <c r="C55" s="10">
        <v>0</v>
      </c>
      <c r="D55" s="10">
        <v>0</v>
      </c>
      <c r="E55" s="10">
        <v>0</v>
      </c>
      <c r="F55" s="10">
        <v>0</v>
      </c>
      <c r="G55" s="10">
        <f>SUM(C55:F55)</f>
        <v>0</v>
      </c>
      <c r="H55" s="16">
        <f>ROUND(G55/5067,2)</f>
        <v>0</v>
      </c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21"/>
      <c r="H57" s="8"/>
      <c r="I57" s="9"/>
      <c r="J57" s="9"/>
    </row>
    <row r="58" spans="1:10" x14ac:dyDescent="0.25">
      <c r="C58" s="8"/>
      <c r="D58" s="8"/>
      <c r="E58" s="8"/>
      <c r="F58" s="8"/>
      <c r="G58" s="21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A60" s="30" t="s">
        <v>57</v>
      </c>
      <c r="B60" s="30"/>
      <c r="C60" s="14" t="s">
        <v>2</v>
      </c>
      <c r="D60" s="14">
        <v>2023</v>
      </c>
      <c r="E60" s="14" t="s">
        <v>59</v>
      </c>
      <c r="F60" s="13"/>
      <c r="G60" s="14" t="s">
        <v>60</v>
      </c>
      <c r="H60" s="14" t="s">
        <v>2</v>
      </c>
      <c r="I60" s="12" t="s">
        <v>61</v>
      </c>
      <c r="J60" s="12" t="s">
        <v>59</v>
      </c>
    </row>
    <row r="61" spans="1:10" x14ac:dyDescent="0.25">
      <c r="A61" s="29" t="s">
        <v>58</v>
      </c>
      <c r="B61" s="29"/>
      <c r="C61" s="15">
        <f>ROUND(0.8763, 4)</f>
        <v>0.87629999999999997</v>
      </c>
      <c r="D61" s="15">
        <f>ROUND(0.84, 4)</f>
        <v>0.84</v>
      </c>
      <c r="E61" s="15">
        <f>ROUND(0.777, 4)</f>
        <v>0.77700000000000002</v>
      </c>
      <c r="F61" s="8"/>
      <c r="G61" s="14" t="s">
        <v>62</v>
      </c>
      <c r="H61" s="33" t="s">
        <v>63</v>
      </c>
      <c r="I61" s="31" t="s">
        <v>64</v>
      </c>
      <c r="J61" s="31" t="s">
        <v>65</v>
      </c>
    </row>
    <row r="62" spans="1:10" x14ac:dyDescent="0.25">
      <c r="A62" s="29" t="s">
        <v>66</v>
      </c>
      <c r="B62" s="29"/>
      <c r="C62" s="15">
        <f>ROUND(0.8656, 4)</f>
        <v>0.86560000000000004</v>
      </c>
      <c r="D62" s="15">
        <f>ROUND(0.8097, 4)</f>
        <v>0.80969999999999998</v>
      </c>
      <c r="E62" s="15">
        <f>ROUND(0.7608, 4)</f>
        <v>0.76080000000000003</v>
      </c>
      <c r="F62" s="8"/>
      <c r="G62" s="14" t="s">
        <v>67</v>
      </c>
      <c r="H62" s="34"/>
      <c r="I62" s="32"/>
      <c r="J62" s="32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30" t="s">
        <v>68</v>
      </c>
      <c r="B66" s="30"/>
      <c r="C66" s="14" t="s">
        <v>2</v>
      </c>
      <c r="D66" s="14" t="s">
        <v>237</v>
      </c>
      <c r="E66" s="14" t="s">
        <v>70</v>
      </c>
      <c r="F66" s="14" t="s">
        <v>71</v>
      </c>
      <c r="G66" s="14" t="s">
        <v>72</v>
      </c>
      <c r="H66" s="13"/>
      <c r="I66" s="17"/>
      <c r="J66" s="17"/>
    </row>
    <row r="67" spans="1:10" x14ac:dyDescent="0.25">
      <c r="A67" s="29" t="s">
        <v>73</v>
      </c>
      <c r="B67" s="29"/>
      <c r="C67" s="16">
        <v>41.64</v>
      </c>
      <c r="D67" s="16">
        <v>55.95</v>
      </c>
      <c r="E67" s="16">
        <v>93.87</v>
      </c>
      <c r="F67" s="16">
        <v>57.16</v>
      </c>
      <c r="G67" s="16">
        <f>12/12*C67</f>
        <v>41.64</v>
      </c>
      <c r="H67" s="8"/>
      <c r="I67" s="9"/>
      <c r="J67" s="9"/>
    </row>
    <row r="68" spans="1:10" x14ac:dyDescent="0.25">
      <c r="A68" s="29" t="s">
        <v>74</v>
      </c>
      <c r="B68" s="29"/>
      <c r="C68" s="16">
        <v>64.28</v>
      </c>
      <c r="D68" s="16">
        <v>76.180000000000007</v>
      </c>
      <c r="E68" s="16">
        <v>62.84</v>
      </c>
      <c r="F68" s="16">
        <v>65.39</v>
      </c>
      <c r="G68" s="16">
        <f>12/12*C68</f>
        <v>64.28</v>
      </c>
      <c r="H68" s="8"/>
      <c r="I68" s="9"/>
      <c r="J68" s="9"/>
    </row>
    <row r="69" spans="1:10" x14ac:dyDescent="0.25">
      <c r="A69" s="29" t="s">
        <v>75</v>
      </c>
      <c r="B69" s="29"/>
      <c r="C69" s="16">
        <v>304.37</v>
      </c>
      <c r="D69" s="16">
        <v>350.88</v>
      </c>
      <c r="E69" s="16">
        <v>295.08999999999997</v>
      </c>
      <c r="F69" s="16">
        <v>289.06</v>
      </c>
      <c r="G69" s="16">
        <f>12/12*C69</f>
        <v>304.37</v>
      </c>
      <c r="H69" s="8"/>
      <c r="I69" s="9"/>
      <c r="J69" s="9"/>
    </row>
    <row r="70" spans="1:10" x14ac:dyDescent="0.25">
      <c r="A70" s="29" t="s">
        <v>76</v>
      </c>
      <c r="B70" s="29"/>
      <c r="C70" s="16">
        <v>66.66</v>
      </c>
      <c r="D70" s="16">
        <v>75.760000000000005</v>
      </c>
      <c r="E70" s="16">
        <v>118.05</v>
      </c>
      <c r="F70" s="16">
        <v>81.41</v>
      </c>
      <c r="G70" s="16">
        <f>12/12*C70</f>
        <v>66.66</v>
      </c>
      <c r="H70" s="8"/>
      <c r="I70" s="9"/>
      <c r="J70" s="9"/>
    </row>
    <row r="73" spans="1:10" x14ac:dyDescent="0.25">
      <c r="A73" s="28" t="s">
        <v>60</v>
      </c>
      <c r="B73" s="35"/>
    </row>
    <row r="74" spans="1:10" x14ac:dyDescent="0.25">
      <c r="A74" s="3" t="s">
        <v>77</v>
      </c>
      <c r="B74" s="1" t="s">
        <v>238</v>
      </c>
    </row>
    <row r="75" spans="1:10" x14ac:dyDescent="0.25">
      <c r="A75" s="3" t="s">
        <v>70</v>
      </c>
      <c r="B75" s="1" t="s">
        <v>79</v>
      </c>
    </row>
    <row r="76" spans="1:10" x14ac:dyDescent="0.25">
      <c r="A76" s="3" t="s">
        <v>71</v>
      </c>
      <c r="B76" s="1" t="s">
        <v>80</v>
      </c>
    </row>
    <row r="77" spans="1:10" x14ac:dyDescent="0.25">
      <c r="A77" s="3" t="s">
        <v>72</v>
      </c>
      <c r="B77" s="1" t="s">
        <v>81</v>
      </c>
    </row>
  </sheetData>
  <mergeCells count="19">
    <mergeCell ref="A68:B68"/>
    <mergeCell ref="A69:B69"/>
    <mergeCell ref="A70:B70"/>
    <mergeCell ref="A73:B73"/>
    <mergeCell ref="I61:I62"/>
    <mergeCell ref="J61:J62"/>
    <mergeCell ref="A62:B62"/>
    <mergeCell ref="A66:B66"/>
    <mergeCell ref="A67:B67"/>
    <mergeCell ref="A54:B54"/>
    <mergeCell ref="A55:B55"/>
    <mergeCell ref="A60:B60"/>
    <mergeCell ref="A61:B61"/>
    <mergeCell ref="H61:H62"/>
    <mergeCell ref="C7:G7"/>
    <mergeCell ref="A46:B46"/>
    <mergeCell ref="A47:B47"/>
    <mergeCell ref="A52:B52"/>
    <mergeCell ref="A53:B5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2:J79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2.425781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239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1952</v>
      </c>
    </row>
    <row r="7" spans="1:10" x14ac:dyDescent="0.25">
      <c r="C7" s="28" t="s">
        <v>5</v>
      </c>
      <c r="D7" s="29"/>
      <c r="E7" s="29"/>
      <c r="F7" s="29"/>
      <c r="G7" s="29"/>
    </row>
    <row r="8" spans="1:10" x14ac:dyDescent="0.25">
      <c r="A8" s="25" t="s">
        <v>6</v>
      </c>
      <c r="B8" s="25" t="s">
        <v>7</v>
      </c>
      <c r="C8" s="27" t="s">
        <v>8</v>
      </c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40</v>
      </c>
      <c r="F9" s="10"/>
      <c r="G9" s="10">
        <f t="shared" ref="G9:G38" si="0">SUM(C9:F9)</f>
        <v>40</v>
      </c>
      <c r="H9" s="16">
        <f t="shared" ref="H9:H38" si="1">ROUND(G9/1952,2)</f>
        <v>0.02</v>
      </c>
      <c r="I9" s="15">
        <f t="shared" ref="I9:I38" si="2">ROUND(G9/$G$39,3)</f>
        <v>0</v>
      </c>
      <c r="J9" s="15"/>
    </row>
    <row r="10" spans="1:10" x14ac:dyDescent="0.25">
      <c r="A10" s="1" t="s">
        <v>16</v>
      </c>
      <c r="B10" s="1" t="s">
        <v>19</v>
      </c>
      <c r="C10" s="10">
        <v>66950</v>
      </c>
      <c r="D10" s="10"/>
      <c r="E10" s="10">
        <v>9117</v>
      </c>
      <c r="F10" s="10">
        <v>280</v>
      </c>
      <c r="G10" s="10">
        <f t="shared" si="0"/>
        <v>76347</v>
      </c>
      <c r="H10" s="16">
        <f t="shared" si="1"/>
        <v>39.11</v>
      </c>
      <c r="I10" s="15">
        <f t="shared" si="2"/>
        <v>8.5999999999999993E-2</v>
      </c>
      <c r="J10" s="15">
        <f>ROUND(G10/60261.14-1,2)</f>
        <v>0.27</v>
      </c>
    </row>
    <row r="11" spans="1:10" x14ac:dyDescent="0.25">
      <c r="A11" s="1" t="s">
        <v>16</v>
      </c>
      <c r="B11" s="1" t="s">
        <v>20</v>
      </c>
      <c r="C11" s="10">
        <v>83130</v>
      </c>
      <c r="D11" s="10"/>
      <c r="E11" s="10">
        <v>4200</v>
      </c>
      <c r="F11" s="10"/>
      <c r="G11" s="10">
        <f t="shared" si="0"/>
        <v>87330</v>
      </c>
      <c r="H11" s="16">
        <f t="shared" si="1"/>
        <v>44.74</v>
      </c>
      <c r="I11" s="15">
        <f t="shared" si="2"/>
        <v>9.9000000000000005E-2</v>
      </c>
      <c r="J11" s="15">
        <f>ROUND(G11/86290-1,2)</f>
        <v>0.01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295</v>
      </c>
      <c r="F12" s="10"/>
      <c r="G12" s="10">
        <f t="shared" si="0"/>
        <v>295</v>
      </c>
      <c r="H12" s="16">
        <f t="shared" si="1"/>
        <v>0.15</v>
      </c>
      <c r="I12" s="15">
        <f t="shared" si="2"/>
        <v>0</v>
      </c>
      <c r="J12" s="15">
        <f>ROUND(G12/88.98-1,2)</f>
        <v>2.3199999999999998</v>
      </c>
    </row>
    <row r="13" spans="1:10" x14ac:dyDescent="0.25">
      <c r="A13" s="1" t="s">
        <v>16</v>
      </c>
      <c r="B13" s="1" t="s">
        <v>22</v>
      </c>
      <c r="C13" s="10"/>
      <c r="D13" s="10"/>
      <c r="E13" s="10">
        <v>2219</v>
      </c>
      <c r="F13" s="10"/>
      <c r="G13" s="10">
        <f t="shared" si="0"/>
        <v>2219</v>
      </c>
      <c r="H13" s="16">
        <f t="shared" si="1"/>
        <v>1.1399999999999999</v>
      </c>
      <c r="I13" s="15">
        <f t="shared" si="2"/>
        <v>3.0000000000000001E-3</v>
      </c>
      <c r="J13" s="15">
        <f>ROUND(G13/428.57-1,2)</f>
        <v>4.18</v>
      </c>
    </row>
    <row r="14" spans="1:10" x14ac:dyDescent="0.25">
      <c r="A14" s="1" t="s">
        <v>16</v>
      </c>
      <c r="B14" s="1" t="s">
        <v>23</v>
      </c>
      <c r="C14" s="10"/>
      <c r="D14" s="10"/>
      <c r="E14" s="10">
        <v>77507</v>
      </c>
      <c r="F14" s="10"/>
      <c r="G14" s="10">
        <f t="shared" si="0"/>
        <v>77507</v>
      </c>
      <c r="H14" s="16">
        <f t="shared" si="1"/>
        <v>39.71</v>
      </c>
      <c r="I14" s="15">
        <f t="shared" si="2"/>
        <v>8.7999999999999995E-2</v>
      </c>
      <c r="J14" s="15">
        <f>ROUND(G14/31938.21-1,2)</f>
        <v>1.43</v>
      </c>
    </row>
    <row r="15" spans="1:10" x14ac:dyDescent="0.25">
      <c r="A15" s="1" t="s">
        <v>16</v>
      </c>
      <c r="B15" s="1" t="s">
        <v>24</v>
      </c>
      <c r="C15" s="10">
        <v>77830</v>
      </c>
      <c r="D15" s="10"/>
      <c r="E15" s="10">
        <v>29788</v>
      </c>
      <c r="F15" s="10">
        <v>320</v>
      </c>
      <c r="G15" s="10">
        <f t="shared" si="0"/>
        <v>107938</v>
      </c>
      <c r="H15" s="16">
        <f t="shared" si="1"/>
        <v>55.3</v>
      </c>
      <c r="I15" s="15">
        <f t="shared" si="2"/>
        <v>0.122</v>
      </c>
      <c r="J15" s="15">
        <f>ROUND(G15/72862.13-1,2)</f>
        <v>0.48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7674</v>
      </c>
      <c r="F16" s="10"/>
      <c r="G16" s="10">
        <f t="shared" si="0"/>
        <v>7674</v>
      </c>
      <c r="H16" s="16">
        <f t="shared" si="1"/>
        <v>3.93</v>
      </c>
      <c r="I16" s="15">
        <f t="shared" si="2"/>
        <v>8.9999999999999993E-3</v>
      </c>
      <c r="J16" s="15"/>
    </row>
    <row r="17" spans="1:10" x14ac:dyDescent="0.25">
      <c r="A17" s="1" t="s">
        <v>16</v>
      </c>
      <c r="B17" s="1" t="s">
        <v>26</v>
      </c>
      <c r="C17" s="10">
        <v>77410</v>
      </c>
      <c r="D17" s="10"/>
      <c r="E17" s="10"/>
      <c r="F17" s="10">
        <v>280</v>
      </c>
      <c r="G17" s="10">
        <f t="shared" si="0"/>
        <v>77690</v>
      </c>
      <c r="H17" s="16">
        <f t="shared" si="1"/>
        <v>39.799999999999997</v>
      </c>
      <c r="I17" s="15">
        <f t="shared" si="2"/>
        <v>8.7999999999999995E-2</v>
      </c>
      <c r="J17" s="15">
        <f>ROUND(G17/68330-1,2)</f>
        <v>0.14000000000000001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957</v>
      </c>
      <c r="F18" s="10"/>
      <c r="G18" s="10">
        <f t="shared" si="0"/>
        <v>957</v>
      </c>
      <c r="H18" s="16">
        <f t="shared" si="1"/>
        <v>0.49</v>
      </c>
      <c r="I18" s="15">
        <f t="shared" si="2"/>
        <v>1E-3</v>
      </c>
      <c r="J18" s="15"/>
    </row>
    <row r="19" spans="1:10" x14ac:dyDescent="0.25">
      <c r="A19" s="1" t="s">
        <v>16</v>
      </c>
      <c r="B19" s="1" t="s">
        <v>28</v>
      </c>
      <c r="C19" s="10"/>
      <c r="D19" s="10"/>
      <c r="E19" s="10">
        <v>437</v>
      </c>
      <c r="F19" s="10"/>
      <c r="G19" s="10">
        <f t="shared" si="0"/>
        <v>437</v>
      </c>
      <c r="H19" s="16">
        <f t="shared" si="1"/>
        <v>0.22</v>
      </c>
      <c r="I19" s="15">
        <f t="shared" si="2"/>
        <v>0</v>
      </c>
      <c r="J19" s="15"/>
    </row>
    <row r="20" spans="1:10" x14ac:dyDescent="0.25">
      <c r="A20" s="1" t="s">
        <v>16</v>
      </c>
      <c r="B20" s="1" t="s">
        <v>42</v>
      </c>
      <c r="C20" s="10"/>
      <c r="D20" s="10"/>
      <c r="E20" s="10">
        <v>106</v>
      </c>
      <c r="F20" s="10"/>
      <c r="G20" s="10">
        <f t="shared" si="0"/>
        <v>106</v>
      </c>
      <c r="H20" s="16">
        <f t="shared" si="1"/>
        <v>0.05</v>
      </c>
      <c r="I20" s="15">
        <f t="shared" si="2"/>
        <v>0</v>
      </c>
      <c r="J20" s="15">
        <f>ROUND(G20/56.37-1,2)</f>
        <v>0.88</v>
      </c>
    </row>
    <row r="21" spans="1:10" x14ac:dyDescent="0.25">
      <c r="A21" s="1" t="s">
        <v>16</v>
      </c>
      <c r="B21" s="1" t="s">
        <v>29</v>
      </c>
      <c r="C21" s="10"/>
      <c r="D21" s="10"/>
      <c r="E21" s="10">
        <v>1263</v>
      </c>
      <c r="F21" s="10"/>
      <c r="G21" s="10">
        <f t="shared" si="0"/>
        <v>1263</v>
      </c>
      <c r="H21" s="16">
        <f t="shared" si="1"/>
        <v>0.65</v>
      </c>
      <c r="I21" s="15">
        <f t="shared" si="2"/>
        <v>1E-3</v>
      </c>
      <c r="J21" s="15">
        <f>ROUND(G21/1710.66-1,2)</f>
        <v>-0.26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492</v>
      </c>
      <c r="F22" s="10"/>
      <c r="G22" s="10">
        <f t="shared" si="0"/>
        <v>492</v>
      </c>
      <c r="H22" s="16">
        <f t="shared" si="1"/>
        <v>0.25</v>
      </c>
      <c r="I22" s="15">
        <f t="shared" si="2"/>
        <v>1E-3</v>
      </c>
      <c r="J22" s="15">
        <f>ROUND(G22/191.14-1,2)</f>
        <v>1.57</v>
      </c>
    </row>
    <row r="23" spans="1:10" x14ac:dyDescent="0.25">
      <c r="A23" s="1" t="s">
        <v>16</v>
      </c>
      <c r="B23" s="1" t="s">
        <v>31</v>
      </c>
      <c r="C23" s="10"/>
      <c r="D23" s="10"/>
      <c r="E23" s="10">
        <v>113</v>
      </c>
      <c r="F23" s="10"/>
      <c r="G23" s="10">
        <f t="shared" si="0"/>
        <v>113</v>
      </c>
      <c r="H23" s="16">
        <f t="shared" si="1"/>
        <v>0.06</v>
      </c>
      <c r="I23" s="15">
        <f t="shared" si="2"/>
        <v>0</v>
      </c>
      <c r="J23" s="15"/>
    </row>
    <row r="24" spans="1:10" x14ac:dyDescent="0.25">
      <c r="A24" s="1" t="s">
        <v>16</v>
      </c>
      <c r="B24" s="1" t="s">
        <v>32</v>
      </c>
      <c r="C24" s="10"/>
      <c r="D24" s="10"/>
      <c r="E24" s="10">
        <v>2893</v>
      </c>
      <c r="F24" s="10"/>
      <c r="G24" s="10">
        <f t="shared" si="0"/>
        <v>2893</v>
      </c>
      <c r="H24" s="16">
        <f t="shared" si="1"/>
        <v>1.48</v>
      </c>
      <c r="I24" s="15">
        <f t="shared" si="2"/>
        <v>3.0000000000000001E-3</v>
      </c>
      <c r="J24" s="15">
        <f>ROUND(G24/650.75-1,2)</f>
        <v>3.45</v>
      </c>
    </row>
    <row r="25" spans="1:10" x14ac:dyDescent="0.25">
      <c r="A25" s="1" t="s">
        <v>16</v>
      </c>
      <c r="B25" s="1" t="s">
        <v>33</v>
      </c>
      <c r="C25" s="10"/>
      <c r="D25" s="10"/>
      <c r="E25" s="10">
        <v>145</v>
      </c>
      <c r="F25" s="10"/>
      <c r="G25" s="10">
        <f t="shared" si="0"/>
        <v>145</v>
      </c>
      <c r="H25" s="16">
        <f t="shared" si="1"/>
        <v>7.0000000000000007E-2</v>
      </c>
      <c r="I25" s="15">
        <f t="shared" si="2"/>
        <v>0</v>
      </c>
      <c r="J25" s="15">
        <f>ROUND(G25/60-1,2)</f>
        <v>1.42</v>
      </c>
    </row>
    <row r="26" spans="1:10" x14ac:dyDescent="0.25">
      <c r="A26" s="1" t="s">
        <v>16</v>
      </c>
      <c r="B26" s="1" t="s">
        <v>35</v>
      </c>
      <c r="C26" s="10"/>
      <c r="D26" s="10"/>
      <c r="E26" s="10">
        <v>316</v>
      </c>
      <c r="F26" s="10"/>
      <c r="G26" s="10">
        <f t="shared" si="0"/>
        <v>316</v>
      </c>
      <c r="H26" s="16">
        <f t="shared" si="1"/>
        <v>0.16</v>
      </c>
      <c r="I26" s="15">
        <f t="shared" si="2"/>
        <v>0</v>
      </c>
      <c r="J26" s="15"/>
    </row>
    <row r="27" spans="1:10" x14ac:dyDescent="0.25">
      <c r="A27" s="1" t="s">
        <v>16</v>
      </c>
      <c r="B27" s="1" t="s">
        <v>34</v>
      </c>
      <c r="C27" s="10"/>
      <c r="D27" s="10"/>
      <c r="E27" s="10">
        <v>212</v>
      </c>
      <c r="F27" s="10"/>
      <c r="G27" s="10">
        <f t="shared" si="0"/>
        <v>212</v>
      </c>
      <c r="H27" s="16">
        <f t="shared" si="1"/>
        <v>0.11</v>
      </c>
      <c r="I27" s="15">
        <f t="shared" si="2"/>
        <v>0</v>
      </c>
      <c r="J27" s="15"/>
    </row>
    <row r="28" spans="1:10" x14ac:dyDescent="0.25">
      <c r="A28" s="1" t="s">
        <v>16</v>
      </c>
      <c r="B28" s="1" t="s">
        <v>37</v>
      </c>
      <c r="C28" s="10"/>
      <c r="D28" s="10"/>
      <c r="E28" s="10">
        <v>3922</v>
      </c>
      <c r="F28" s="10"/>
      <c r="G28" s="10">
        <f t="shared" si="0"/>
        <v>3922</v>
      </c>
      <c r="H28" s="16">
        <f t="shared" si="1"/>
        <v>2.0099999999999998</v>
      </c>
      <c r="I28" s="15">
        <f t="shared" si="2"/>
        <v>4.0000000000000001E-3</v>
      </c>
      <c r="J28" s="15">
        <f>ROUND(G28/2076.33-1,2)</f>
        <v>0.89</v>
      </c>
    </row>
    <row r="29" spans="1:10" x14ac:dyDescent="0.25">
      <c r="A29" s="1" t="s">
        <v>16</v>
      </c>
      <c r="B29" s="1" t="s">
        <v>43</v>
      </c>
      <c r="C29" s="10"/>
      <c r="D29" s="10"/>
      <c r="E29" s="10">
        <v>2200</v>
      </c>
      <c r="F29" s="10"/>
      <c r="G29" s="10">
        <f t="shared" si="0"/>
        <v>2200</v>
      </c>
      <c r="H29" s="16">
        <f t="shared" si="1"/>
        <v>1.1299999999999999</v>
      </c>
      <c r="I29" s="15">
        <f t="shared" si="2"/>
        <v>2E-3</v>
      </c>
      <c r="J29" s="15"/>
    </row>
    <row r="30" spans="1:10" x14ac:dyDescent="0.25">
      <c r="A30" s="1" t="s">
        <v>16</v>
      </c>
      <c r="B30" s="1" t="s">
        <v>38</v>
      </c>
      <c r="C30" s="10"/>
      <c r="D30" s="10"/>
      <c r="E30" s="10">
        <v>76466</v>
      </c>
      <c r="F30" s="10"/>
      <c r="G30" s="10">
        <f t="shared" si="0"/>
        <v>76466</v>
      </c>
      <c r="H30" s="16">
        <f t="shared" si="1"/>
        <v>39.17</v>
      </c>
      <c r="I30" s="15">
        <f t="shared" si="2"/>
        <v>8.6999999999999994E-2</v>
      </c>
      <c r="J30" s="15">
        <f>ROUND(G30/34948.57-1,2)</f>
        <v>1.19</v>
      </c>
    </row>
    <row r="31" spans="1:10" x14ac:dyDescent="0.25">
      <c r="A31" s="1" t="s">
        <v>16</v>
      </c>
      <c r="B31" s="1" t="s">
        <v>39</v>
      </c>
      <c r="C31" s="10"/>
      <c r="D31" s="10"/>
      <c r="E31" s="10">
        <v>5933</v>
      </c>
      <c r="F31" s="10"/>
      <c r="G31" s="10">
        <f t="shared" si="0"/>
        <v>5933</v>
      </c>
      <c r="H31" s="16">
        <f t="shared" si="1"/>
        <v>3.04</v>
      </c>
      <c r="I31" s="15">
        <f t="shared" si="2"/>
        <v>7.0000000000000001E-3</v>
      </c>
      <c r="J31" s="15">
        <f>ROUND(G31/2134.84-1,2)</f>
        <v>1.78</v>
      </c>
    </row>
    <row r="32" spans="1:10" x14ac:dyDescent="0.25">
      <c r="A32" s="1" t="s">
        <v>16</v>
      </c>
      <c r="B32" s="1" t="s">
        <v>40</v>
      </c>
      <c r="C32" s="10"/>
      <c r="D32" s="10"/>
      <c r="E32" s="10">
        <v>19384</v>
      </c>
      <c r="F32" s="10"/>
      <c r="G32" s="10">
        <f t="shared" si="0"/>
        <v>19384</v>
      </c>
      <c r="H32" s="16">
        <f t="shared" si="1"/>
        <v>9.93</v>
      </c>
      <c r="I32" s="15">
        <f t="shared" si="2"/>
        <v>2.1999999999999999E-2</v>
      </c>
      <c r="J32" s="15">
        <f>ROUND(G32/8106.69-1,2)</f>
        <v>1.39</v>
      </c>
    </row>
    <row r="33" spans="1:10" x14ac:dyDescent="0.25">
      <c r="A33" s="1" t="s">
        <v>16</v>
      </c>
      <c r="B33" s="1" t="s">
        <v>41</v>
      </c>
      <c r="C33" s="10"/>
      <c r="D33" s="10"/>
      <c r="E33" s="10">
        <v>23580</v>
      </c>
      <c r="F33" s="10"/>
      <c r="G33" s="10">
        <f t="shared" si="0"/>
        <v>23580</v>
      </c>
      <c r="H33" s="16">
        <f t="shared" si="1"/>
        <v>12.08</v>
      </c>
      <c r="I33" s="15">
        <f t="shared" si="2"/>
        <v>2.7E-2</v>
      </c>
      <c r="J33" s="15">
        <f>ROUND(G33/8801.51-1,2)</f>
        <v>1.68</v>
      </c>
    </row>
    <row r="34" spans="1:10" x14ac:dyDescent="0.25">
      <c r="A34" s="1" t="s">
        <v>16</v>
      </c>
      <c r="B34" s="1" t="s">
        <v>36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ROUND(G34/1155.15-1,2)</f>
        <v>-1</v>
      </c>
    </row>
    <row r="35" spans="1:10" x14ac:dyDescent="0.25">
      <c r="A35" s="1" t="s">
        <v>44</v>
      </c>
      <c r="B35" s="1" t="s">
        <v>45</v>
      </c>
      <c r="C35" s="10">
        <v>265680</v>
      </c>
      <c r="D35" s="10"/>
      <c r="E35" s="10"/>
      <c r="F35" s="10">
        <v>490</v>
      </c>
      <c r="G35" s="10">
        <f t="shared" si="0"/>
        <v>266170</v>
      </c>
      <c r="H35" s="16">
        <f t="shared" si="1"/>
        <v>136.36000000000001</v>
      </c>
      <c r="I35" s="15">
        <f t="shared" si="2"/>
        <v>0.30199999999999999</v>
      </c>
      <c r="J35" s="15">
        <f>ROUND(G35/264450-1,2)</f>
        <v>0.01</v>
      </c>
    </row>
    <row r="36" spans="1:10" x14ac:dyDescent="0.25">
      <c r="A36" s="1" t="s">
        <v>44</v>
      </c>
      <c r="B36" s="1" t="s">
        <v>46</v>
      </c>
      <c r="C36" s="10"/>
      <c r="D36" s="10"/>
      <c r="E36" s="10">
        <v>41064</v>
      </c>
      <c r="F36" s="10"/>
      <c r="G36" s="10">
        <f t="shared" si="0"/>
        <v>41064</v>
      </c>
      <c r="H36" s="16">
        <f t="shared" si="1"/>
        <v>21.04</v>
      </c>
      <c r="I36" s="15">
        <f t="shared" si="2"/>
        <v>4.7E-2</v>
      </c>
      <c r="J36" s="15">
        <f>ROUND(G36/15493.21-1,2)</f>
        <v>1.65</v>
      </c>
    </row>
    <row r="37" spans="1:10" x14ac:dyDescent="0.25">
      <c r="A37" s="1" t="s">
        <v>44</v>
      </c>
      <c r="B37" s="1" t="s">
        <v>47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1" t="s">
        <v>48</v>
      </c>
      <c r="B38" s="1" t="s">
        <v>51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30" t="s">
        <v>12</v>
      </c>
      <c r="B39" s="30"/>
      <c r="C39" s="11">
        <f t="shared" ref="C39:H39" si="3">SUM(C8:C38)</f>
        <v>571000</v>
      </c>
      <c r="D39" s="11">
        <f t="shared" si="3"/>
        <v>0</v>
      </c>
      <c r="E39" s="11">
        <f t="shared" si="3"/>
        <v>310323</v>
      </c>
      <c r="F39" s="11">
        <f t="shared" si="3"/>
        <v>1370</v>
      </c>
      <c r="G39" s="11">
        <f t="shared" si="3"/>
        <v>882693</v>
      </c>
      <c r="H39" s="14">
        <f t="shared" si="3"/>
        <v>452.2000000000001</v>
      </c>
      <c r="I39" s="17"/>
      <c r="J39" s="17"/>
    </row>
    <row r="40" spans="1:10" x14ac:dyDescent="0.25">
      <c r="A40" s="30" t="s">
        <v>14</v>
      </c>
      <c r="B40" s="30"/>
      <c r="C40" s="12">
        <f>ROUND(C39/G39,2)</f>
        <v>0.65</v>
      </c>
      <c r="D40" s="12">
        <f>ROUND(D39/G39,2)</f>
        <v>0</v>
      </c>
      <c r="E40" s="12">
        <f>ROUND(E39/G39,2)</f>
        <v>0.35</v>
      </c>
      <c r="F40" s="12">
        <f>ROUND(F39/G39,2)</f>
        <v>0</v>
      </c>
      <c r="G40" s="13"/>
      <c r="H40" s="13"/>
      <c r="I40" s="17"/>
      <c r="J40" s="17"/>
    </row>
    <row r="41" spans="1:10" x14ac:dyDescent="0.25">
      <c r="A41" s="2" t="s">
        <v>52</v>
      </c>
      <c r="B41" s="2"/>
      <c r="C41" s="13"/>
      <c r="D41" s="13"/>
      <c r="E41" s="13"/>
      <c r="F41" s="13"/>
      <c r="G41" s="13"/>
      <c r="H41" s="13"/>
      <c r="I41" s="17"/>
      <c r="J41" s="17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A45" s="30" t="s">
        <v>53</v>
      </c>
      <c r="B45" s="30"/>
      <c r="C45" s="11" t="s">
        <v>8</v>
      </c>
      <c r="D45" s="11" t="s">
        <v>9</v>
      </c>
      <c r="E45" s="11" t="s">
        <v>10</v>
      </c>
      <c r="F45" s="11" t="s">
        <v>11</v>
      </c>
      <c r="G45" s="11" t="s">
        <v>12</v>
      </c>
      <c r="H45" s="14" t="s">
        <v>13</v>
      </c>
      <c r="I45" s="17"/>
      <c r="J45" s="17"/>
    </row>
    <row r="46" spans="1:10" x14ac:dyDescent="0.25">
      <c r="A46" s="29" t="s">
        <v>54</v>
      </c>
      <c r="B46" s="29"/>
      <c r="C46" s="10">
        <v>305320</v>
      </c>
      <c r="D46" s="10">
        <v>0</v>
      </c>
      <c r="E46" s="10">
        <v>269259</v>
      </c>
      <c r="F46" s="10">
        <v>880</v>
      </c>
      <c r="G46" s="10">
        <f>SUM(C46:F46)</f>
        <v>575459</v>
      </c>
      <c r="H46" s="16">
        <f>ROUND(G46/1952,2)</f>
        <v>294.8</v>
      </c>
      <c r="I46" s="9"/>
      <c r="J46" s="9"/>
    </row>
    <row r="47" spans="1:10" x14ac:dyDescent="0.25">
      <c r="A47" s="29" t="s">
        <v>55</v>
      </c>
      <c r="B47" s="29"/>
      <c r="C47" s="10">
        <v>265680</v>
      </c>
      <c r="D47" s="10">
        <v>0</v>
      </c>
      <c r="E47" s="10">
        <v>41064</v>
      </c>
      <c r="F47" s="10">
        <v>490</v>
      </c>
      <c r="G47" s="10">
        <f>SUM(C47:F47)</f>
        <v>307234</v>
      </c>
      <c r="H47" s="16">
        <f>ROUND(G47/1952,2)</f>
        <v>157.38999999999999</v>
      </c>
      <c r="I47" s="9"/>
      <c r="J47" s="9"/>
    </row>
    <row r="48" spans="1:10" x14ac:dyDescent="0.25">
      <c r="A48" s="29" t="s">
        <v>56</v>
      </c>
      <c r="B48" s="29"/>
      <c r="C48" s="10">
        <v>0</v>
      </c>
      <c r="D48" s="10">
        <v>0</v>
      </c>
      <c r="E48" s="10">
        <v>0</v>
      </c>
      <c r="F48" s="10">
        <v>0</v>
      </c>
      <c r="G48" s="10">
        <f>SUM(C48:F48)</f>
        <v>0</v>
      </c>
      <c r="H48" s="16">
        <f>ROUND(G48/1952,2)</f>
        <v>0</v>
      </c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A53" s="30" t="s">
        <v>57</v>
      </c>
      <c r="B53" s="30"/>
      <c r="C53" s="14" t="s">
        <v>2</v>
      </c>
      <c r="D53" s="14">
        <v>2023</v>
      </c>
      <c r="E53" s="14" t="s">
        <v>59</v>
      </c>
      <c r="F53" s="13"/>
      <c r="G53" s="14" t="s">
        <v>60</v>
      </c>
      <c r="H53" s="14" t="s">
        <v>2</v>
      </c>
      <c r="I53" s="12" t="s">
        <v>61</v>
      </c>
      <c r="J53" s="12" t="s">
        <v>59</v>
      </c>
    </row>
    <row r="54" spans="1:10" x14ac:dyDescent="0.25">
      <c r="A54" s="29" t="s">
        <v>58</v>
      </c>
      <c r="B54" s="29"/>
      <c r="C54" s="15">
        <f>ROUND(0.6671, 4)</f>
        <v>0.66710000000000003</v>
      </c>
      <c r="D54" s="15">
        <f>ROUND(0.576, 4)</f>
        <v>0.57599999999999996</v>
      </c>
      <c r="E54" s="15">
        <f>ROUND(0.777, 4)</f>
        <v>0.77700000000000002</v>
      </c>
      <c r="F54" s="8"/>
      <c r="G54" s="14" t="s">
        <v>62</v>
      </c>
      <c r="H54" s="33" t="s">
        <v>63</v>
      </c>
      <c r="I54" s="31" t="s">
        <v>64</v>
      </c>
      <c r="J54" s="31" t="s">
        <v>65</v>
      </c>
    </row>
    <row r="55" spans="1:10" x14ac:dyDescent="0.25">
      <c r="A55" s="29" t="s">
        <v>66</v>
      </c>
      <c r="B55" s="29"/>
      <c r="C55" s="15">
        <f>ROUND(0.6318, 4)</f>
        <v>0.63180000000000003</v>
      </c>
      <c r="D55" s="15">
        <f>ROUND(0.5403, 4)</f>
        <v>0.5403</v>
      </c>
      <c r="E55" s="15">
        <f>ROUND(0.7608, 4)</f>
        <v>0.76080000000000003</v>
      </c>
      <c r="F55" s="8"/>
      <c r="G55" s="14" t="s">
        <v>67</v>
      </c>
      <c r="H55" s="34"/>
      <c r="I55" s="32"/>
      <c r="J55" s="32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21"/>
      <c r="H57" s="8"/>
      <c r="I57" s="9"/>
      <c r="J57" s="9"/>
    </row>
    <row r="58" spans="1:10" x14ac:dyDescent="0.25">
      <c r="C58" s="8"/>
      <c r="D58" s="8"/>
      <c r="E58" s="8"/>
      <c r="F58" s="8"/>
      <c r="G58" s="21"/>
      <c r="H58" s="8"/>
      <c r="I58" s="9"/>
      <c r="J58" s="9"/>
    </row>
    <row r="59" spans="1:10" x14ac:dyDescent="0.25">
      <c r="A59" s="30" t="s">
        <v>68</v>
      </c>
      <c r="B59" s="30"/>
      <c r="C59" s="14" t="s">
        <v>2</v>
      </c>
      <c r="D59" s="14" t="s">
        <v>240</v>
      </c>
      <c r="E59" s="14" t="s">
        <v>70</v>
      </c>
      <c r="F59" s="14" t="s">
        <v>71</v>
      </c>
      <c r="G59" s="14" t="s">
        <v>72</v>
      </c>
      <c r="H59" s="13"/>
      <c r="I59" s="17"/>
      <c r="J59" s="17"/>
    </row>
    <row r="60" spans="1:10" x14ac:dyDescent="0.25">
      <c r="A60" s="29" t="s">
        <v>73</v>
      </c>
      <c r="B60" s="29"/>
      <c r="C60" s="16">
        <v>136.36000000000001</v>
      </c>
      <c r="D60" s="16">
        <v>132.22</v>
      </c>
      <c r="E60" s="16">
        <v>93.87</v>
      </c>
      <c r="F60" s="16">
        <v>57.16</v>
      </c>
      <c r="G60" s="16">
        <f>12/12*C60</f>
        <v>136.36000000000001</v>
      </c>
      <c r="H60" s="8"/>
      <c r="I60" s="9"/>
      <c r="J60" s="9"/>
    </row>
    <row r="61" spans="1:10" x14ac:dyDescent="0.25">
      <c r="A61" s="29" t="s">
        <v>74</v>
      </c>
      <c r="B61" s="29"/>
      <c r="C61" s="16">
        <v>39.799999999999997</v>
      </c>
      <c r="D61" s="16">
        <v>47.62</v>
      </c>
      <c r="E61" s="16">
        <v>62.84</v>
      </c>
      <c r="F61" s="16">
        <v>65.39</v>
      </c>
      <c r="G61" s="16">
        <f>12/12*C61</f>
        <v>39.799999999999997</v>
      </c>
      <c r="H61" s="8"/>
      <c r="I61" s="9"/>
      <c r="J61" s="9"/>
    </row>
    <row r="62" spans="1:10" x14ac:dyDescent="0.25">
      <c r="A62" s="29" t="s">
        <v>75</v>
      </c>
      <c r="B62" s="29"/>
      <c r="C62" s="16">
        <v>294.8</v>
      </c>
      <c r="D62" s="16">
        <v>271.02</v>
      </c>
      <c r="E62" s="16">
        <v>295.08999999999997</v>
      </c>
      <c r="F62" s="16">
        <v>289.06</v>
      </c>
      <c r="G62" s="16">
        <f>12/12*C62</f>
        <v>294.8</v>
      </c>
      <c r="H62" s="8"/>
      <c r="I62" s="9"/>
      <c r="J62" s="9"/>
    </row>
    <row r="63" spans="1:10" x14ac:dyDescent="0.25">
      <c r="A63" s="29" t="s">
        <v>76</v>
      </c>
      <c r="B63" s="29"/>
      <c r="C63" s="16">
        <v>157.38999999999999</v>
      </c>
      <c r="D63" s="16">
        <v>150.24</v>
      </c>
      <c r="E63" s="16">
        <v>118.05</v>
      </c>
      <c r="F63" s="16">
        <v>81.41</v>
      </c>
      <c r="G63" s="16">
        <f>12/12*C63</f>
        <v>157.38999999999999</v>
      </c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28" t="s">
        <v>60</v>
      </c>
      <c r="B66" s="35"/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77</v>
      </c>
      <c r="B67" s="1" t="s">
        <v>241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70</v>
      </c>
      <c r="B68" s="1" t="s">
        <v>79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71</v>
      </c>
      <c r="B69" s="1" t="s">
        <v>80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72</v>
      </c>
      <c r="B70" s="1" t="s">
        <v>81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  <row r="76" spans="1:10" x14ac:dyDescent="0.25">
      <c r="C76" s="8"/>
      <c r="D76" s="8"/>
      <c r="E76" s="8"/>
      <c r="F76" s="8"/>
      <c r="G76" s="8"/>
      <c r="H76" s="8"/>
      <c r="I76" s="9"/>
      <c r="J76" s="9"/>
    </row>
    <row r="77" spans="1:10" x14ac:dyDescent="0.25">
      <c r="C77" s="8"/>
      <c r="D77" s="8"/>
      <c r="E77" s="8"/>
      <c r="F77" s="8"/>
      <c r="G77" s="8"/>
      <c r="H77" s="8"/>
      <c r="I77" s="9"/>
      <c r="J77" s="9"/>
    </row>
    <row r="78" spans="1:10" x14ac:dyDescent="0.25">
      <c r="C78" s="8"/>
      <c r="D78" s="8"/>
      <c r="E78" s="8"/>
      <c r="F78" s="8"/>
      <c r="G78" s="8"/>
      <c r="H78" s="8"/>
      <c r="I78" s="9"/>
      <c r="J78" s="9"/>
    </row>
    <row r="79" spans="1:10" x14ac:dyDescent="0.25">
      <c r="C79" s="8"/>
      <c r="D79" s="8"/>
      <c r="E79" s="8"/>
      <c r="F79" s="8"/>
      <c r="G79" s="8"/>
      <c r="H79" s="8"/>
      <c r="I79" s="9"/>
      <c r="J79" s="9"/>
    </row>
  </sheetData>
  <mergeCells count="19">
    <mergeCell ref="A61:B61"/>
    <mergeCell ref="A62:B62"/>
    <mergeCell ref="A63:B63"/>
    <mergeCell ref="A66:B66"/>
    <mergeCell ref="I54:I55"/>
    <mergeCell ref="J54:J55"/>
    <mergeCell ref="A55:B55"/>
    <mergeCell ref="A59:B59"/>
    <mergeCell ref="A60:B60"/>
    <mergeCell ref="A47:B47"/>
    <mergeCell ref="A48:B48"/>
    <mergeCell ref="A53:B53"/>
    <mergeCell ref="A54:B54"/>
    <mergeCell ref="H54:H55"/>
    <mergeCell ref="C7:G7"/>
    <mergeCell ref="A39:B39"/>
    <mergeCell ref="A40:B40"/>
    <mergeCell ref="A45:B45"/>
    <mergeCell ref="A46:B46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2:J79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30.1406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242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9241</v>
      </c>
    </row>
    <row r="7" spans="1:10" x14ac:dyDescent="0.25">
      <c r="C7" s="28" t="s">
        <v>5</v>
      </c>
      <c r="D7" s="29"/>
      <c r="E7" s="29"/>
      <c r="F7" s="29"/>
      <c r="G7" s="29"/>
    </row>
    <row r="8" spans="1:10" x14ac:dyDescent="0.25">
      <c r="A8" s="25" t="s">
        <v>6</v>
      </c>
      <c r="B8" s="25" t="s">
        <v>7</v>
      </c>
      <c r="C8" s="27" t="s">
        <v>8</v>
      </c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</row>
    <row r="9" spans="1:10" x14ac:dyDescent="0.25">
      <c r="A9" s="1" t="s">
        <v>48</v>
      </c>
      <c r="B9" s="1" t="s">
        <v>49</v>
      </c>
      <c r="C9" s="10"/>
      <c r="D9" s="10"/>
      <c r="E9" s="10"/>
      <c r="F9" s="10">
        <v>116</v>
      </c>
      <c r="G9" s="10">
        <f t="shared" ref="G9:G47" si="0">SUM(C9:F9)</f>
        <v>116</v>
      </c>
      <c r="H9" s="16">
        <f t="shared" ref="H9:H47" si="1">ROUND(G9/9241,2)</f>
        <v>0.01</v>
      </c>
      <c r="I9" s="15">
        <f t="shared" ref="I9:I47" si="2">ROUND(G9/$G$48,3)</f>
        <v>0</v>
      </c>
      <c r="J9" s="15">
        <f>ROUND(G9/10-1,2)</f>
        <v>10.6</v>
      </c>
    </row>
    <row r="10" spans="1:10" x14ac:dyDescent="0.25">
      <c r="A10" s="1" t="s">
        <v>48</v>
      </c>
      <c r="B10" s="1" t="s">
        <v>50</v>
      </c>
      <c r="C10" s="10"/>
      <c r="D10" s="10"/>
      <c r="E10" s="10"/>
      <c r="F10" s="10">
        <v>232</v>
      </c>
      <c r="G10" s="10">
        <f t="shared" si="0"/>
        <v>232</v>
      </c>
      <c r="H10" s="16">
        <f t="shared" si="1"/>
        <v>0.03</v>
      </c>
      <c r="I10" s="15">
        <f t="shared" si="2"/>
        <v>0</v>
      </c>
      <c r="J10" s="15">
        <f>ROUND(G10/871-1,2)</f>
        <v>-0.73</v>
      </c>
    </row>
    <row r="11" spans="1:10" x14ac:dyDescent="0.25">
      <c r="A11" s="1" t="s">
        <v>48</v>
      </c>
      <c r="B11" s="1" t="s">
        <v>86</v>
      </c>
      <c r="C11" s="10"/>
      <c r="D11" s="10"/>
      <c r="E11" s="10"/>
      <c r="F11" s="10"/>
      <c r="G11" s="10">
        <f t="shared" si="0"/>
        <v>0</v>
      </c>
      <c r="H11" s="16">
        <f t="shared" si="1"/>
        <v>0</v>
      </c>
      <c r="I11" s="15">
        <f t="shared" si="2"/>
        <v>0</v>
      </c>
      <c r="J11" s="15"/>
    </row>
    <row r="12" spans="1:10" x14ac:dyDescent="0.25">
      <c r="A12" s="1" t="s">
        <v>48</v>
      </c>
      <c r="B12" s="1" t="s">
        <v>51</v>
      </c>
      <c r="C12" s="10"/>
      <c r="D12" s="10"/>
      <c r="E12" s="10"/>
      <c r="F12" s="10"/>
      <c r="G12" s="10">
        <f t="shared" si="0"/>
        <v>0</v>
      </c>
      <c r="H12" s="16">
        <f t="shared" si="1"/>
        <v>0</v>
      </c>
      <c r="I12" s="15">
        <f t="shared" si="2"/>
        <v>0</v>
      </c>
      <c r="J12" s="15"/>
    </row>
    <row r="13" spans="1:10" x14ac:dyDescent="0.25">
      <c r="A13" s="1" t="s">
        <v>16</v>
      </c>
      <c r="B13" s="1" t="s">
        <v>17</v>
      </c>
      <c r="C13" s="10"/>
      <c r="D13" s="10"/>
      <c r="E13" s="10">
        <v>195</v>
      </c>
      <c r="F13" s="10"/>
      <c r="G13" s="10">
        <f t="shared" si="0"/>
        <v>195</v>
      </c>
      <c r="H13" s="16">
        <f t="shared" si="1"/>
        <v>0.02</v>
      </c>
      <c r="I13" s="15">
        <f t="shared" si="2"/>
        <v>0</v>
      </c>
      <c r="J13" s="15">
        <f>ROUND(G13/149-1,2)</f>
        <v>0.31</v>
      </c>
    </row>
    <row r="14" spans="1:10" x14ac:dyDescent="0.25">
      <c r="A14" s="1" t="s">
        <v>16</v>
      </c>
      <c r="B14" s="1" t="s">
        <v>19</v>
      </c>
      <c r="C14" s="10">
        <v>265200</v>
      </c>
      <c r="D14" s="10"/>
      <c r="E14" s="10">
        <v>16035</v>
      </c>
      <c r="F14" s="10"/>
      <c r="G14" s="10">
        <f t="shared" si="0"/>
        <v>281235</v>
      </c>
      <c r="H14" s="16">
        <f t="shared" si="1"/>
        <v>30.43</v>
      </c>
      <c r="I14" s="15">
        <f t="shared" si="2"/>
        <v>7.2999999999999995E-2</v>
      </c>
      <c r="J14" s="15">
        <f>ROUND(G14/276045-1,2)</f>
        <v>0.02</v>
      </c>
    </row>
    <row r="15" spans="1:10" x14ac:dyDescent="0.25">
      <c r="A15" s="1" t="s">
        <v>16</v>
      </c>
      <c r="B15" s="1" t="s">
        <v>20</v>
      </c>
      <c r="C15" s="10">
        <v>303860</v>
      </c>
      <c r="D15" s="10"/>
      <c r="E15" s="10"/>
      <c r="F15" s="10"/>
      <c r="G15" s="10">
        <f t="shared" si="0"/>
        <v>303860</v>
      </c>
      <c r="H15" s="16">
        <f t="shared" si="1"/>
        <v>32.880000000000003</v>
      </c>
      <c r="I15" s="15">
        <f t="shared" si="2"/>
        <v>7.9000000000000001E-2</v>
      </c>
      <c r="J15" s="15">
        <f>ROUND(G15/312230-1,2)</f>
        <v>-0.03</v>
      </c>
    </row>
    <row r="16" spans="1:10" x14ac:dyDescent="0.25">
      <c r="A16" s="1" t="s">
        <v>16</v>
      </c>
      <c r="B16" s="1" t="s">
        <v>95</v>
      </c>
      <c r="C16" s="10"/>
      <c r="D16" s="10"/>
      <c r="E16" s="10">
        <v>188</v>
      </c>
      <c r="F16" s="10"/>
      <c r="G16" s="10">
        <f t="shared" si="0"/>
        <v>188</v>
      </c>
      <c r="H16" s="16">
        <f t="shared" si="1"/>
        <v>0.02</v>
      </c>
      <c r="I16" s="15">
        <f t="shared" si="2"/>
        <v>0</v>
      </c>
      <c r="J16" s="15">
        <f>ROUND(G16/105-1,2)</f>
        <v>0.79</v>
      </c>
    </row>
    <row r="17" spans="1:10" x14ac:dyDescent="0.25">
      <c r="A17" s="1" t="s">
        <v>16</v>
      </c>
      <c r="B17" s="1" t="s">
        <v>21</v>
      </c>
      <c r="C17" s="10"/>
      <c r="D17" s="10"/>
      <c r="E17" s="10">
        <v>396</v>
      </c>
      <c r="F17" s="10"/>
      <c r="G17" s="10">
        <f t="shared" si="0"/>
        <v>396</v>
      </c>
      <c r="H17" s="16">
        <f t="shared" si="1"/>
        <v>0.04</v>
      </c>
      <c r="I17" s="15">
        <f t="shared" si="2"/>
        <v>0</v>
      </c>
      <c r="J17" s="15">
        <f>ROUND(G17/360-1,2)</f>
        <v>0.1</v>
      </c>
    </row>
    <row r="18" spans="1:10" x14ac:dyDescent="0.25">
      <c r="A18" s="1" t="s">
        <v>16</v>
      </c>
      <c r="B18" s="1" t="s">
        <v>22</v>
      </c>
      <c r="C18" s="10"/>
      <c r="D18" s="10"/>
      <c r="E18" s="10">
        <v>4700</v>
      </c>
      <c r="F18" s="10"/>
      <c r="G18" s="10">
        <f t="shared" si="0"/>
        <v>4700</v>
      </c>
      <c r="H18" s="16">
        <f t="shared" si="1"/>
        <v>0.51</v>
      </c>
      <c r="I18" s="15">
        <f t="shared" si="2"/>
        <v>1E-3</v>
      </c>
      <c r="J18" s="15">
        <f>ROUND(G18/3300-1,2)</f>
        <v>0.42</v>
      </c>
    </row>
    <row r="19" spans="1:10" x14ac:dyDescent="0.25">
      <c r="A19" s="1" t="s">
        <v>16</v>
      </c>
      <c r="B19" s="1" t="s">
        <v>23</v>
      </c>
      <c r="C19" s="10"/>
      <c r="D19" s="10"/>
      <c r="E19" s="10">
        <v>212980</v>
      </c>
      <c r="F19" s="10"/>
      <c r="G19" s="10">
        <f t="shared" si="0"/>
        <v>212980</v>
      </c>
      <c r="H19" s="16">
        <f t="shared" si="1"/>
        <v>23.05</v>
      </c>
      <c r="I19" s="15">
        <f t="shared" si="2"/>
        <v>5.5E-2</v>
      </c>
      <c r="J19" s="15">
        <f>ROUND(G19/186520-1,2)</f>
        <v>0.14000000000000001</v>
      </c>
    </row>
    <row r="20" spans="1:10" x14ac:dyDescent="0.25">
      <c r="A20" s="1" t="s">
        <v>16</v>
      </c>
      <c r="B20" s="1" t="s">
        <v>24</v>
      </c>
      <c r="C20" s="10">
        <v>447640</v>
      </c>
      <c r="D20" s="10"/>
      <c r="E20" s="10">
        <v>70700</v>
      </c>
      <c r="F20" s="10"/>
      <c r="G20" s="10">
        <f t="shared" si="0"/>
        <v>518340</v>
      </c>
      <c r="H20" s="16">
        <f t="shared" si="1"/>
        <v>56.09</v>
      </c>
      <c r="I20" s="15">
        <f t="shared" si="2"/>
        <v>0.13400000000000001</v>
      </c>
      <c r="J20" s="15">
        <f>ROUND(G20/486535-1,2)</f>
        <v>7.0000000000000007E-2</v>
      </c>
    </row>
    <row r="21" spans="1:10" x14ac:dyDescent="0.25">
      <c r="A21" s="1" t="s">
        <v>16</v>
      </c>
      <c r="B21" s="1" t="s">
        <v>25</v>
      </c>
      <c r="C21" s="10"/>
      <c r="D21" s="10"/>
      <c r="E21" s="10">
        <v>11650</v>
      </c>
      <c r="F21" s="10"/>
      <c r="G21" s="10">
        <f t="shared" si="0"/>
        <v>11650</v>
      </c>
      <c r="H21" s="16">
        <f t="shared" si="1"/>
        <v>1.26</v>
      </c>
      <c r="I21" s="15">
        <f t="shared" si="2"/>
        <v>3.0000000000000001E-3</v>
      </c>
      <c r="J21" s="15">
        <f>ROUND(G21/14095-1,2)</f>
        <v>-0.17</v>
      </c>
    </row>
    <row r="22" spans="1:10" x14ac:dyDescent="0.25">
      <c r="A22" s="1" t="s">
        <v>16</v>
      </c>
      <c r="B22" s="1" t="s">
        <v>26</v>
      </c>
      <c r="C22" s="10">
        <v>636010</v>
      </c>
      <c r="D22" s="10"/>
      <c r="E22" s="10"/>
      <c r="F22" s="10">
        <v>960</v>
      </c>
      <c r="G22" s="10">
        <f t="shared" si="0"/>
        <v>636970</v>
      </c>
      <c r="H22" s="16">
        <f t="shared" si="1"/>
        <v>68.930000000000007</v>
      </c>
      <c r="I22" s="15">
        <f t="shared" si="2"/>
        <v>0.16500000000000001</v>
      </c>
      <c r="J22" s="15">
        <f>ROUND(G22/632860-1,2)</f>
        <v>0.01</v>
      </c>
    </row>
    <row r="23" spans="1:10" x14ac:dyDescent="0.25">
      <c r="A23" s="1" t="s">
        <v>16</v>
      </c>
      <c r="B23" s="1" t="s">
        <v>27</v>
      </c>
      <c r="C23" s="10"/>
      <c r="D23" s="10"/>
      <c r="E23" s="10">
        <v>2556</v>
      </c>
      <c r="F23" s="10"/>
      <c r="G23" s="10">
        <f t="shared" si="0"/>
        <v>2556</v>
      </c>
      <c r="H23" s="16">
        <f t="shared" si="1"/>
        <v>0.28000000000000003</v>
      </c>
      <c r="I23" s="15">
        <f t="shared" si="2"/>
        <v>1E-3</v>
      </c>
      <c r="J23" s="15">
        <f>ROUND(G23/1883-1,2)</f>
        <v>0.36</v>
      </c>
    </row>
    <row r="24" spans="1:10" x14ac:dyDescent="0.25">
      <c r="A24" s="1" t="s">
        <v>16</v>
      </c>
      <c r="B24" s="1" t="s">
        <v>28</v>
      </c>
      <c r="C24" s="10"/>
      <c r="D24" s="10"/>
      <c r="E24" s="10">
        <v>2026</v>
      </c>
      <c r="F24" s="10"/>
      <c r="G24" s="10">
        <f t="shared" si="0"/>
        <v>2026</v>
      </c>
      <c r="H24" s="16">
        <f t="shared" si="1"/>
        <v>0.22</v>
      </c>
      <c r="I24" s="15">
        <f t="shared" si="2"/>
        <v>1E-3</v>
      </c>
      <c r="J24" s="15">
        <f>ROUND(G24/1906-1,2)</f>
        <v>0.06</v>
      </c>
    </row>
    <row r="25" spans="1:10" x14ac:dyDescent="0.25">
      <c r="A25" s="1" t="s">
        <v>16</v>
      </c>
      <c r="B25" s="1" t="s">
        <v>42</v>
      </c>
      <c r="C25" s="10"/>
      <c r="D25" s="10"/>
      <c r="E25" s="10">
        <v>70</v>
      </c>
      <c r="F25" s="10"/>
      <c r="G25" s="10">
        <f t="shared" si="0"/>
        <v>70</v>
      </c>
      <c r="H25" s="16">
        <f t="shared" si="1"/>
        <v>0.01</v>
      </c>
      <c r="I25" s="15">
        <f t="shared" si="2"/>
        <v>0</v>
      </c>
      <c r="J25" s="15">
        <f>ROUND(G25/436-1,2)</f>
        <v>-0.84</v>
      </c>
    </row>
    <row r="26" spans="1:10" x14ac:dyDescent="0.25">
      <c r="A26" s="1" t="s">
        <v>16</v>
      </c>
      <c r="B26" s="1" t="s">
        <v>29</v>
      </c>
      <c r="C26" s="10"/>
      <c r="D26" s="10"/>
      <c r="E26" s="10">
        <v>5540</v>
      </c>
      <c r="F26" s="10"/>
      <c r="G26" s="10">
        <f t="shared" si="0"/>
        <v>5540</v>
      </c>
      <c r="H26" s="16">
        <f t="shared" si="1"/>
        <v>0.6</v>
      </c>
      <c r="I26" s="15">
        <f t="shared" si="2"/>
        <v>1E-3</v>
      </c>
      <c r="J26" s="15">
        <f>ROUND(G26/8709-1,2)</f>
        <v>-0.36</v>
      </c>
    </row>
    <row r="27" spans="1:10" x14ac:dyDescent="0.25">
      <c r="A27" s="1" t="s">
        <v>16</v>
      </c>
      <c r="B27" s="1" t="s">
        <v>30</v>
      </c>
      <c r="C27" s="10"/>
      <c r="D27" s="10"/>
      <c r="E27" s="10">
        <v>2630</v>
      </c>
      <c r="F27" s="10"/>
      <c r="G27" s="10">
        <f t="shared" si="0"/>
        <v>2630</v>
      </c>
      <c r="H27" s="16">
        <f t="shared" si="1"/>
        <v>0.28000000000000003</v>
      </c>
      <c r="I27" s="15">
        <f t="shared" si="2"/>
        <v>1E-3</v>
      </c>
      <c r="J27" s="15">
        <f>ROUND(G27/3180-1,2)</f>
        <v>-0.17</v>
      </c>
    </row>
    <row r="28" spans="1:10" x14ac:dyDescent="0.25">
      <c r="A28" s="1" t="s">
        <v>16</v>
      </c>
      <c r="B28" s="1" t="s">
        <v>31</v>
      </c>
      <c r="C28" s="10"/>
      <c r="D28" s="10"/>
      <c r="E28" s="10">
        <v>1170</v>
      </c>
      <c r="F28" s="10"/>
      <c r="G28" s="10">
        <f t="shared" si="0"/>
        <v>1170</v>
      </c>
      <c r="H28" s="16">
        <f t="shared" si="1"/>
        <v>0.13</v>
      </c>
      <c r="I28" s="15">
        <f t="shared" si="2"/>
        <v>0</v>
      </c>
      <c r="J28" s="15">
        <f>ROUND(G28/840-1,2)</f>
        <v>0.39</v>
      </c>
    </row>
    <row r="29" spans="1:10" x14ac:dyDescent="0.25">
      <c r="A29" s="1" t="s">
        <v>16</v>
      </c>
      <c r="B29" s="1" t="s">
        <v>32</v>
      </c>
      <c r="C29" s="10"/>
      <c r="D29" s="10"/>
      <c r="E29" s="10">
        <v>5120</v>
      </c>
      <c r="F29" s="10"/>
      <c r="G29" s="10">
        <f t="shared" si="0"/>
        <v>5120</v>
      </c>
      <c r="H29" s="16">
        <f t="shared" si="1"/>
        <v>0.55000000000000004</v>
      </c>
      <c r="I29" s="15">
        <f t="shared" si="2"/>
        <v>1E-3</v>
      </c>
      <c r="J29" s="15">
        <f>ROUND(G29/4680-1,2)</f>
        <v>0.09</v>
      </c>
    </row>
    <row r="30" spans="1:10" x14ac:dyDescent="0.25">
      <c r="A30" s="1" t="s">
        <v>16</v>
      </c>
      <c r="B30" s="1" t="s">
        <v>33</v>
      </c>
      <c r="C30" s="10"/>
      <c r="D30" s="10">
        <v>863</v>
      </c>
      <c r="E30" s="10">
        <v>203</v>
      </c>
      <c r="F30" s="10"/>
      <c r="G30" s="10">
        <f t="shared" si="0"/>
        <v>1066</v>
      </c>
      <c r="H30" s="16">
        <f t="shared" si="1"/>
        <v>0.12</v>
      </c>
      <c r="I30" s="15">
        <f t="shared" si="2"/>
        <v>0</v>
      </c>
      <c r="J30" s="15">
        <f>ROUND(G30/991-1,2)</f>
        <v>0.08</v>
      </c>
    </row>
    <row r="31" spans="1:10" x14ac:dyDescent="0.25">
      <c r="A31" s="1" t="s">
        <v>16</v>
      </c>
      <c r="B31" s="1" t="s">
        <v>35</v>
      </c>
      <c r="C31" s="10"/>
      <c r="D31" s="10"/>
      <c r="E31" s="10">
        <v>1060</v>
      </c>
      <c r="F31" s="10"/>
      <c r="G31" s="10">
        <f t="shared" si="0"/>
        <v>1060</v>
      </c>
      <c r="H31" s="16">
        <f t="shared" si="1"/>
        <v>0.11</v>
      </c>
      <c r="I31" s="15">
        <f t="shared" si="2"/>
        <v>0</v>
      </c>
      <c r="J31" s="15">
        <f>ROUND(G31/996-1,2)</f>
        <v>0.06</v>
      </c>
    </row>
    <row r="32" spans="1:10" x14ac:dyDescent="0.25">
      <c r="A32" s="1" t="s">
        <v>16</v>
      </c>
      <c r="B32" s="1" t="s">
        <v>36</v>
      </c>
      <c r="C32" s="10"/>
      <c r="D32" s="10"/>
      <c r="E32" s="10">
        <v>2770</v>
      </c>
      <c r="F32" s="10"/>
      <c r="G32" s="10">
        <f t="shared" si="0"/>
        <v>2770</v>
      </c>
      <c r="H32" s="16">
        <f t="shared" si="1"/>
        <v>0.3</v>
      </c>
      <c r="I32" s="15">
        <f t="shared" si="2"/>
        <v>1E-3</v>
      </c>
      <c r="J32" s="15">
        <f>ROUND(G32/5643-1,2)</f>
        <v>-0.51</v>
      </c>
    </row>
    <row r="33" spans="1:10" x14ac:dyDescent="0.25">
      <c r="A33" s="1" t="s">
        <v>16</v>
      </c>
      <c r="B33" s="1" t="s">
        <v>37</v>
      </c>
      <c r="C33" s="10"/>
      <c r="D33" s="10"/>
      <c r="E33" s="10">
        <v>6759</v>
      </c>
      <c r="F33" s="10"/>
      <c r="G33" s="10">
        <f t="shared" si="0"/>
        <v>6759</v>
      </c>
      <c r="H33" s="16">
        <f t="shared" si="1"/>
        <v>0.73</v>
      </c>
      <c r="I33" s="15">
        <f t="shared" si="2"/>
        <v>2E-3</v>
      </c>
      <c r="J33" s="15">
        <f>ROUND(G33/10400-1,2)</f>
        <v>-0.35</v>
      </c>
    </row>
    <row r="34" spans="1:10" x14ac:dyDescent="0.25">
      <c r="A34" s="1" t="s">
        <v>16</v>
      </c>
      <c r="B34" s="1" t="s">
        <v>43</v>
      </c>
      <c r="C34" s="10"/>
      <c r="D34" s="10"/>
      <c r="E34" s="10">
        <v>10140</v>
      </c>
      <c r="F34" s="10"/>
      <c r="G34" s="10">
        <f t="shared" si="0"/>
        <v>10140</v>
      </c>
      <c r="H34" s="16">
        <f t="shared" si="1"/>
        <v>1.1000000000000001</v>
      </c>
      <c r="I34" s="15">
        <f t="shared" si="2"/>
        <v>3.0000000000000001E-3</v>
      </c>
      <c r="J34" s="15">
        <f>ROUND(G34/21807-1,2)</f>
        <v>-0.54</v>
      </c>
    </row>
    <row r="35" spans="1:10" x14ac:dyDescent="0.25">
      <c r="A35" s="1" t="s">
        <v>16</v>
      </c>
      <c r="B35" s="1" t="s">
        <v>38</v>
      </c>
      <c r="C35" s="10"/>
      <c r="D35" s="10"/>
      <c r="E35" s="10">
        <v>232710</v>
      </c>
      <c r="F35" s="10"/>
      <c r="G35" s="10">
        <f t="shared" si="0"/>
        <v>232710</v>
      </c>
      <c r="H35" s="16">
        <f t="shared" si="1"/>
        <v>25.18</v>
      </c>
      <c r="I35" s="15">
        <f t="shared" si="2"/>
        <v>0.06</v>
      </c>
      <c r="J35" s="15">
        <f>ROUND(G35/197775-1,2)</f>
        <v>0.18</v>
      </c>
    </row>
    <row r="36" spans="1:10" x14ac:dyDescent="0.25">
      <c r="A36" s="1" t="s">
        <v>16</v>
      </c>
      <c r="B36" s="1" t="s">
        <v>39</v>
      </c>
      <c r="C36" s="10"/>
      <c r="D36" s="10"/>
      <c r="E36" s="10">
        <v>7855</v>
      </c>
      <c r="F36" s="10"/>
      <c r="G36" s="10">
        <f t="shared" si="0"/>
        <v>7855</v>
      </c>
      <c r="H36" s="16">
        <f t="shared" si="1"/>
        <v>0.85</v>
      </c>
      <c r="I36" s="15">
        <f t="shared" si="2"/>
        <v>2E-3</v>
      </c>
      <c r="J36" s="15">
        <f>ROUND(G36/7930-1,2)</f>
        <v>-0.01</v>
      </c>
    </row>
    <row r="37" spans="1:10" x14ac:dyDescent="0.25">
      <c r="A37" s="1" t="s">
        <v>16</v>
      </c>
      <c r="B37" s="1" t="s">
        <v>40</v>
      </c>
      <c r="C37" s="10"/>
      <c r="D37" s="10"/>
      <c r="E37" s="10">
        <v>16590</v>
      </c>
      <c r="F37" s="10"/>
      <c r="G37" s="10">
        <f t="shared" si="0"/>
        <v>16590</v>
      </c>
      <c r="H37" s="16">
        <f t="shared" si="1"/>
        <v>1.8</v>
      </c>
      <c r="I37" s="15">
        <f t="shared" si="2"/>
        <v>4.0000000000000001E-3</v>
      </c>
      <c r="J37" s="15">
        <f>ROUND(G37/26640-1,2)</f>
        <v>-0.38</v>
      </c>
    </row>
    <row r="38" spans="1:10" x14ac:dyDescent="0.25">
      <c r="A38" s="1" t="s">
        <v>16</v>
      </c>
      <c r="B38" s="1" t="s">
        <v>41</v>
      </c>
      <c r="C38" s="10"/>
      <c r="D38" s="10"/>
      <c r="E38" s="10">
        <v>724270</v>
      </c>
      <c r="F38" s="10">
        <v>1700</v>
      </c>
      <c r="G38" s="10">
        <f t="shared" si="0"/>
        <v>725970</v>
      </c>
      <c r="H38" s="16">
        <f t="shared" si="1"/>
        <v>78.56</v>
      </c>
      <c r="I38" s="15">
        <f t="shared" si="2"/>
        <v>0.188</v>
      </c>
      <c r="J38" s="15">
        <f>ROUND(G38/636760-1,2)</f>
        <v>0.14000000000000001</v>
      </c>
    </row>
    <row r="39" spans="1:10" x14ac:dyDescent="0.25">
      <c r="A39" s="1" t="s">
        <v>16</v>
      </c>
      <c r="B39" s="1" t="s">
        <v>98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>
        <f>ROUND(G39/645-1,2)</f>
        <v>-1</v>
      </c>
    </row>
    <row r="40" spans="1:10" x14ac:dyDescent="0.25">
      <c r="A40" s="1" t="s">
        <v>16</v>
      </c>
      <c r="B40" s="1" t="s">
        <v>34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>
        <f>ROUND(G40/460-1,2)</f>
        <v>-1</v>
      </c>
    </row>
    <row r="41" spans="1:10" x14ac:dyDescent="0.25">
      <c r="A41" s="1" t="s">
        <v>16</v>
      </c>
      <c r="B41" s="1" t="s">
        <v>243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>
        <f>ROUND(G41/836-1,2)</f>
        <v>-1</v>
      </c>
    </row>
    <row r="42" spans="1:10" x14ac:dyDescent="0.25">
      <c r="A42" s="1" t="s">
        <v>16</v>
      </c>
      <c r="B42" s="1" t="s">
        <v>96</v>
      </c>
      <c r="C42" s="10"/>
      <c r="D42" s="10"/>
      <c r="E42" s="10"/>
      <c r="F42" s="10"/>
      <c r="G42" s="10">
        <f t="shared" si="0"/>
        <v>0</v>
      </c>
      <c r="H42" s="16">
        <f t="shared" si="1"/>
        <v>0</v>
      </c>
      <c r="I42" s="15">
        <f t="shared" si="2"/>
        <v>0</v>
      </c>
      <c r="J42" s="15">
        <f>ROUND(G42/200-1,2)</f>
        <v>-1</v>
      </c>
    </row>
    <row r="43" spans="1:10" x14ac:dyDescent="0.25">
      <c r="A43" s="1" t="s">
        <v>16</v>
      </c>
      <c r="B43" s="1" t="s">
        <v>161</v>
      </c>
      <c r="C43" s="10"/>
      <c r="D43" s="10"/>
      <c r="E43" s="10"/>
      <c r="F43" s="10"/>
      <c r="G43" s="10">
        <f t="shared" si="0"/>
        <v>0</v>
      </c>
      <c r="H43" s="16">
        <f t="shared" si="1"/>
        <v>0</v>
      </c>
      <c r="I43" s="15">
        <f t="shared" si="2"/>
        <v>0</v>
      </c>
      <c r="J43" s="15"/>
    </row>
    <row r="44" spans="1:10" x14ac:dyDescent="0.25">
      <c r="A44" s="1" t="s">
        <v>16</v>
      </c>
      <c r="B44" s="1" t="s">
        <v>120</v>
      </c>
      <c r="C44" s="10"/>
      <c r="D44" s="10"/>
      <c r="E44" s="10"/>
      <c r="F44" s="10"/>
      <c r="G44" s="10">
        <f t="shared" si="0"/>
        <v>0</v>
      </c>
      <c r="H44" s="16">
        <f t="shared" si="1"/>
        <v>0</v>
      </c>
      <c r="I44" s="15">
        <f t="shared" si="2"/>
        <v>0</v>
      </c>
      <c r="J44" s="15"/>
    </row>
    <row r="45" spans="1:10" x14ac:dyDescent="0.25">
      <c r="A45" s="1" t="s">
        <v>44</v>
      </c>
      <c r="B45" s="1" t="s">
        <v>45</v>
      </c>
      <c r="C45" s="10">
        <v>590970</v>
      </c>
      <c r="D45" s="10"/>
      <c r="E45" s="10"/>
      <c r="F45" s="10">
        <v>110</v>
      </c>
      <c r="G45" s="10">
        <f t="shared" si="0"/>
        <v>591080</v>
      </c>
      <c r="H45" s="16">
        <f t="shared" si="1"/>
        <v>63.96</v>
      </c>
      <c r="I45" s="15">
        <f t="shared" si="2"/>
        <v>0.153</v>
      </c>
      <c r="J45" s="15">
        <f>ROUND(G45/558030-1,2)</f>
        <v>0.06</v>
      </c>
    </row>
    <row r="46" spans="1:10" x14ac:dyDescent="0.25">
      <c r="A46" s="1" t="s">
        <v>44</v>
      </c>
      <c r="B46" s="1" t="s">
        <v>47</v>
      </c>
      <c r="C46" s="10"/>
      <c r="D46" s="10"/>
      <c r="E46" s="10"/>
      <c r="F46" s="10">
        <v>70160</v>
      </c>
      <c r="G46" s="10">
        <f t="shared" si="0"/>
        <v>70160</v>
      </c>
      <c r="H46" s="16">
        <f t="shared" si="1"/>
        <v>7.59</v>
      </c>
      <c r="I46" s="15">
        <f t="shared" si="2"/>
        <v>1.7999999999999999E-2</v>
      </c>
      <c r="J46" s="15">
        <f>ROUND(G46/76760-1,2)</f>
        <v>-0.09</v>
      </c>
    </row>
    <row r="47" spans="1:10" x14ac:dyDescent="0.25">
      <c r="A47" s="1" t="s">
        <v>44</v>
      </c>
      <c r="B47" s="1" t="s">
        <v>46</v>
      </c>
      <c r="C47" s="10"/>
      <c r="D47" s="10"/>
      <c r="E47" s="10">
        <v>202600</v>
      </c>
      <c r="F47" s="10"/>
      <c r="G47" s="10">
        <f t="shared" si="0"/>
        <v>202600</v>
      </c>
      <c r="H47" s="16">
        <f t="shared" si="1"/>
        <v>21.92</v>
      </c>
      <c r="I47" s="15">
        <f t="shared" si="2"/>
        <v>5.2999999999999999E-2</v>
      </c>
      <c r="J47" s="15">
        <f>ROUND(G47/166050-1,2)</f>
        <v>0.22</v>
      </c>
    </row>
    <row r="48" spans="1:10" x14ac:dyDescent="0.25">
      <c r="A48" s="30" t="s">
        <v>12</v>
      </c>
      <c r="B48" s="30"/>
      <c r="C48" s="11">
        <f t="shared" ref="C48:H48" si="3">SUM(C8:C47)</f>
        <v>2243680</v>
      </c>
      <c r="D48" s="11">
        <f t="shared" si="3"/>
        <v>863</v>
      </c>
      <c r="E48" s="11">
        <f t="shared" si="3"/>
        <v>1540913</v>
      </c>
      <c r="F48" s="11">
        <f t="shared" si="3"/>
        <v>73278</v>
      </c>
      <c r="G48" s="11">
        <f t="shared" si="3"/>
        <v>3858734</v>
      </c>
      <c r="H48" s="14">
        <f t="shared" si="3"/>
        <v>417.56</v>
      </c>
      <c r="I48" s="17"/>
      <c r="J48" s="17"/>
    </row>
    <row r="49" spans="1:10" x14ac:dyDescent="0.25">
      <c r="A49" s="30" t="s">
        <v>14</v>
      </c>
      <c r="B49" s="30"/>
      <c r="C49" s="12">
        <f>ROUND(C48/G48,2)</f>
        <v>0.57999999999999996</v>
      </c>
      <c r="D49" s="12">
        <f>ROUND(D48/G48,2)</f>
        <v>0</v>
      </c>
      <c r="E49" s="12">
        <f>ROUND(E48/G48,2)</f>
        <v>0.4</v>
      </c>
      <c r="F49" s="12">
        <f>ROUND(F48/G48,2)</f>
        <v>0.02</v>
      </c>
      <c r="G49" s="13"/>
      <c r="H49" s="13"/>
      <c r="I49" s="17"/>
      <c r="J49" s="17"/>
    </row>
    <row r="50" spans="1:10" x14ac:dyDescent="0.25">
      <c r="A50" s="2" t="s">
        <v>52</v>
      </c>
      <c r="B50" s="2"/>
      <c r="C50" s="13"/>
      <c r="D50" s="13"/>
      <c r="E50" s="13"/>
      <c r="F50" s="13"/>
      <c r="G50" s="13"/>
      <c r="H50" s="13"/>
      <c r="I50" s="17"/>
      <c r="J50" s="17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A54" s="30" t="s">
        <v>53</v>
      </c>
      <c r="B54" s="30"/>
      <c r="C54" s="11" t="s">
        <v>8</v>
      </c>
      <c r="D54" s="11" t="s">
        <v>9</v>
      </c>
      <c r="E54" s="11" t="s">
        <v>10</v>
      </c>
      <c r="F54" s="11" t="s">
        <v>11</v>
      </c>
      <c r="G54" s="11" t="s">
        <v>12</v>
      </c>
      <c r="H54" s="14" t="s">
        <v>13</v>
      </c>
      <c r="I54" s="17"/>
      <c r="J54" s="17"/>
    </row>
    <row r="55" spans="1:10" x14ac:dyDescent="0.25">
      <c r="A55" s="29" t="s">
        <v>54</v>
      </c>
      <c r="B55" s="29"/>
      <c r="C55" s="10">
        <v>1652710</v>
      </c>
      <c r="D55" s="10">
        <v>863</v>
      </c>
      <c r="E55" s="10">
        <v>1338313</v>
      </c>
      <c r="F55" s="10">
        <v>2660</v>
      </c>
      <c r="G55" s="10">
        <f>SUM(C55:F55)</f>
        <v>2994546</v>
      </c>
      <c r="H55" s="16">
        <f>ROUND(G55/9241,2)</f>
        <v>324.05</v>
      </c>
      <c r="I55" s="9"/>
      <c r="J55" s="9"/>
    </row>
    <row r="56" spans="1:10" x14ac:dyDescent="0.25">
      <c r="A56" s="29" t="s">
        <v>55</v>
      </c>
      <c r="B56" s="29"/>
      <c r="C56" s="10">
        <v>590970</v>
      </c>
      <c r="D56" s="10">
        <v>0</v>
      </c>
      <c r="E56" s="10">
        <v>202600</v>
      </c>
      <c r="F56" s="10">
        <v>70270</v>
      </c>
      <c r="G56" s="10">
        <f>SUM(C56:F56)</f>
        <v>863840</v>
      </c>
      <c r="H56" s="16">
        <f>ROUND(G56/9241,2)</f>
        <v>93.48</v>
      </c>
      <c r="I56" s="9"/>
      <c r="J56" s="9"/>
    </row>
    <row r="57" spans="1:10" x14ac:dyDescent="0.25">
      <c r="A57" s="29" t="s">
        <v>56</v>
      </c>
      <c r="B57" s="29"/>
      <c r="C57" s="10">
        <v>0</v>
      </c>
      <c r="D57" s="10">
        <v>0</v>
      </c>
      <c r="E57" s="10">
        <v>0</v>
      </c>
      <c r="F57" s="10">
        <v>348</v>
      </c>
      <c r="G57" s="23">
        <f>SUM(C57:F57)</f>
        <v>348</v>
      </c>
      <c r="H57" s="16">
        <f>ROUND(G57/9241,2)</f>
        <v>0.04</v>
      </c>
      <c r="I57" s="9"/>
      <c r="J57" s="9"/>
    </row>
    <row r="58" spans="1:10" x14ac:dyDescent="0.25">
      <c r="C58" s="8"/>
      <c r="D58" s="8"/>
      <c r="E58" s="8"/>
      <c r="F58" s="8"/>
      <c r="G58" s="21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A62" s="30" t="s">
        <v>57</v>
      </c>
      <c r="B62" s="30"/>
      <c r="C62" s="14" t="s">
        <v>2</v>
      </c>
      <c r="D62" s="14">
        <v>2023</v>
      </c>
      <c r="E62" s="14" t="s">
        <v>59</v>
      </c>
      <c r="F62" s="13"/>
      <c r="G62" s="14" t="s">
        <v>60</v>
      </c>
      <c r="H62" s="14" t="s">
        <v>2</v>
      </c>
      <c r="I62" s="12" t="s">
        <v>61</v>
      </c>
      <c r="J62" s="12" t="s">
        <v>59</v>
      </c>
    </row>
    <row r="63" spans="1:10" x14ac:dyDescent="0.25">
      <c r="A63" s="29" t="s">
        <v>58</v>
      </c>
      <c r="B63" s="29"/>
      <c r="C63" s="15">
        <f>ROUND(0.8298, 4)</f>
        <v>0.82979999999999998</v>
      </c>
      <c r="D63" s="15">
        <f>ROUND(0.8302, 4)</f>
        <v>0.83020000000000005</v>
      </c>
      <c r="E63" s="15">
        <f>ROUND(0.777, 4)</f>
        <v>0.77700000000000002</v>
      </c>
      <c r="F63" s="8"/>
      <c r="G63" s="14" t="s">
        <v>62</v>
      </c>
      <c r="H63" s="33" t="s">
        <v>63</v>
      </c>
      <c r="I63" s="31" t="s">
        <v>64</v>
      </c>
      <c r="J63" s="31" t="s">
        <v>65</v>
      </c>
    </row>
    <row r="64" spans="1:10" x14ac:dyDescent="0.25">
      <c r="A64" s="29" t="s">
        <v>66</v>
      </c>
      <c r="B64" s="29"/>
      <c r="C64" s="15">
        <f>ROUND(0.8199, 4)</f>
        <v>0.81989999999999996</v>
      </c>
      <c r="D64" s="15">
        <f>ROUND(0.8199, 4)</f>
        <v>0.81989999999999996</v>
      </c>
      <c r="E64" s="15">
        <f>ROUND(0.7608, 4)</f>
        <v>0.76080000000000003</v>
      </c>
      <c r="F64" s="8"/>
      <c r="G64" s="14" t="s">
        <v>67</v>
      </c>
      <c r="H64" s="34"/>
      <c r="I64" s="32"/>
      <c r="J64" s="32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0" t="s">
        <v>68</v>
      </c>
      <c r="B68" s="30"/>
      <c r="C68" s="14" t="s">
        <v>2</v>
      </c>
      <c r="D68" s="14" t="s">
        <v>244</v>
      </c>
      <c r="E68" s="14" t="s">
        <v>70</v>
      </c>
      <c r="F68" s="14" t="s">
        <v>71</v>
      </c>
      <c r="G68" s="14" t="s">
        <v>72</v>
      </c>
      <c r="H68" s="13"/>
      <c r="I68" s="17"/>
      <c r="J68" s="17"/>
    </row>
    <row r="69" spans="1:10" x14ac:dyDescent="0.25">
      <c r="A69" s="29" t="s">
        <v>73</v>
      </c>
      <c r="B69" s="29"/>
      <c r="C69" s="16">
        <v>63.96</v>
      </c>
      <c r="D69" s="16">
        <v>59.09</v>
      </c>
      <c r="E69" s="16">
        <v>93.87</v>
      </c>
      <c r="F69" s="16">
        <v>57.16</v>
      </c>
      <c r="G69" s="16">
        <f>12/12*C69</f>
        <v>63.96</v>
      </c>
      <c r="H69" s="8"/>
      <c r="I69" s="9"/>
      <c r="J69" s="9"/>
    </row>
    <row r="70" spans="1:10" x14ac:dyDescent="0.25">
      <c r="A70" s="29" t="s">
        <v>74</v>
      </c>
      <c r="B70" s="29"/>
      <c r="C70" s="16">
        <v>68.930000000000007</v>
      </c>
      <c r="D70" s="16">
        <v>67.900000000000006</v>
      </c>
      <c r="E70" s="16">
        <v>62.84</v>
      </c>
      <c r="F70" s="16">
        <v>65.39</v>
      </c>
      <c r="G70" s="16">
        <f>12/12*C70</f>
        <v>68.930000000000007</v>
      </c>
      <c r="H70" s="8"/>
      <c r="I70" s="9"/>
      <c r="J70" s="9"/>
    </row>
    <row r="71" spans="1:10" x14ac:dyDescent="0.25">
      <c r="A71" s="29" t="s">
        <v>75</v>
      </c>
      <c r="B71" s="29"/>
      <c r="C71" s="16">
        <v>324.05</v>
      </c>
      <c r="D71" s="16">
        <v>312.8</v>
      </c>
      <c r="E71" s="16">
        <v>295.08999999999997</v>
      </c>
      <c r="F71" s="16">
        <v>289.06</v>
      </c>
      <c r="G71" s="16">
        <f>12/12*C71</f>
        <v>324.05</v>
      </c>
      <c r="H71" s="8"/>
      <c r="I71" s="9"/>
      <c r="J71" s="9"/>
    </row>
    <row r="72" spans="1:10" x14ac:dyDescent="0.25">
      <c r="A72" s="29" t="s">
        <v>76</v>
      </c>
      <c r="B72" s="29"/>
      <c r="C72" s="16">
        <v>93.48</v>
      </c>
      <c r="D72" s="16">
        <v>83.93</v>
      </c>
      <c r="E72" s="16">
        <v>118.05</v>
      </c>
      <c r="F72" s="16">
        <v>81.41</v>
      </c>
      <c r="G72" s="16">
        <f>12/12*C72</f>
        <v>93.48</v>
      </c>
      <c r="H72" s="8"/>
      <c r="I72" s="9"/>
      <c r="J72" s="9"/>
    </row>
    <row r="75" spans="1:10" x14ac:dyDescent="0.25">
      <c r="A75" s="28" t="s">
        <v>60</v>
      </c>
      <c r="B75" s="35"/>
    </row>
    <row r="76" spans="1:10" x14ac:dyDescent="0.25">
      <c r="A76" s="3" t="s">
        <v>77</v>
      </c>
      <c r="B76" s="1" t="s">
        <v>245</v>
      </c>
    </row>
    <row r="77" spans="1:10" x14ac:dyDescent="0.25">
      <c r="A77" s="3" t="s">
        <v>70</v>
      </c>
      <c r="B77" s="1" t="s">
        <v>79</v>
      </c>
    </row>
    <row r="78" spans="1:10" x14ac:dyDescent="0.25">
      <c r="A78" s="3" t="s">
        <v>71</v>
      </c>
      <c r="B78" s="1" t="s">
        <v>80</v>
      </c>
    </row>
    <row r="79" spans="1:10" x14ac:dyDescent="0.25">
      <c r="A79" s="3" t="s">
        <v>72</v>
      </c>
      <c r="B79" s="1" t="s">
        <v>81</v>
      </c>
    </row>
  </sheetData>
  <mergeCells count="19">
    <mergeCell ref="A70:B70"/>
    <mergeCell ref="A71:B71"/>
    <mergeCell ref="A72:B72"/>
    <mergeCell ref="A75:B75"/>
    <mergeCell ref="I63:I64"/>
    <mergeCell ref="J63:J64"/>
    <mergeCell ref="A64:B64"/>
    <mergeCell ref="A68:B68"/>
    <mergeCell ref="A69:B69"/>
    <mergeCell ref="A56:B56"/>
    <mergeCell ref="A57:B57"/>
    <mergeCell ref="A62:B62"/>
    <mergeCell ref="A63:B63"/>
    <mergeCell ref="H63:H64"/>
    <mergeCell ref="C7:G7"/>
    <mergeCell ref="A48:B48"/>
    <mergeCell ref="A49:B49"/>
    <mergeCell ref="A54:B54"/>
    <mergeCell ref="A55:B55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2:J74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3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246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2340</v>
      </c>
    </row>
    <row r="7" spans="1:10" x14ac:dyDescent="0.25">
      <c r="C7" s="28" t="s">
        <v>5</v>
      </c>
      <c r="D7" s="29"/>
      <c r="E7" s="29"/>
      <c r="F7" s="29"/>
      <c r="G7" s="29"/>
    </row>
    <row r="8" spans="1:10" x14ac:dyDescent="0.25">
      <c r="A8" s="25" t="s">
        <v>6</v>
      </c>
      <c r="B8" s="25" t="s">
        <v>7</v>
      </c>
      <c r="C8" s="27" t="s">
        <v>8</v>
      </c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</row>
    <row r="9" spans="1:10" x14ac:dyDescent="0.25">
      <c r="A9" s="1" t="s">
        <v>16</v>
      </c>
      <c r="B9" s="1" t="s">
        <v>19</v>
      </c>
      <c r="C9" s="10">
        <v>88370</v>
      </c>
      <c r="D9" s="10"/>
      <c r="E9" s="10">
        <v>2140</v>
      </c>
      <c r="F9" s="10">
        <v>80</v>
      </c>
      <c r="G9" s="10">
        <f t="shared" ref="G9:G40" si="0">SUM(C9:F9)</f>
        <v>90590</v>
      </c>
      <c r="H9" s="16">
        <f t="shared" ref="H9:H40" si="1">ROUND(G9/2340,2)</f>
        <v>38.71</v>
      </c>
      <c r="I9" s="15">
        <f t="shared" ref="I9:I40" si="2">ROUND(G9/$G$41,3)</f>
        <v>0.104</v>
      </c>
      <c r="J9" s="15">
        <f>ROUND(G9/86610-1,2)</f>
        <v>0.05</v>
      </c>
    </row>
    <row r="10" spans="1:10" x14ac:dyDescent="0.25">
      <c r="A10" s="1" t="s">
        <v>16</v>
      </c>
      <c r="B10" s="1" t="s">
        <v>20</v>
      </c>
      <c r="C10" s="10">
        <v>76095</v>
      </c>
      <c r="D10" s="10"/>
      <c r="E10" s="10">
        <v>2340</v>
      </c>
      <c r="F10" s="10"/>
      <c r="G10" s="10">
        <f t="shared" si="0"/>
        <v>78435</v>
      </c>
      <c r="H10" s="16">
        <f t="shared" si="1"/>
        <v>33.520000000000003</v>
      </c>
      <c r="I10" s="15">
        <f t="shared" si="2"/>
        <v>0.09</v>
      </c>
      <c r="J10" s="15">
        <f>ROUND(G10/85290-1,2)</f>
        <v>-0.08</v>
      </c>
    </row>
    <row r="11" spans="1:10" x14ac:dyDescent="0.25">
      <c r="A11" s="1" t="s">
        <v>16</v>
      </c>
      <c r="B11" s="1" t="s">
        <v>21</v>
      </c>
      <c r="C11" s="10"/>
      <c r="D11" s="10"/>
      <c r="E11" s="10">
        <v>70</v>
      </c>
      <c r="F11" s="10"/>
      <c r="G11" s="10">
        <f t="shared" si="0"/>
        <v>70</v>
      </c>
      <c r="H11" s="16">
        <f t="shared" si="1"/>
        <v>0.03</v>
      </c>
      <c r="I11" s="15">
        <f t="shared" si="2"/>
        <v>0</v>
      </c>
      <c r="J11" s="15">
        <f>ROUND(G11/165-1,2)</f>
        <v>-0.57999999999999996</v>
      </c>
    </row>
    <row r="12" spans="1:10" x14ac:dyDescent="0.25">
      <c r="A12" s="1" t="s">
        <v>16</v>
      </c>
      <c r="B12" s="1" t="s">
        <v>23</v>
      </c>
      <c r="C12" s="10"/>
      <c r="D12" s="10"/>
      <c r="E12" s="10">
        <v>49990</v>
      </c>
      <c r="F12" s="10"/>
      <c r="G12" s="10">
        <f t="shared" si="0"/>
        <v>49990</v>
      </c>
      <c r="H12" s="16">
        <f t="shared" si="1"/>
        <v>21.36</v>
      </c>
      <c r="I12" s="15">
        <f t="shared" si="2"/>
        <v>5.7000000000000002E-2</v>
      </c>
      <c r="J12" s="15">
        <f>ROUND(G12/82980-1,2)</f>
        <v>-0.4</v>
      </c>
    </row>
    <row r="13" spans="1:10" x14ac:dyDescent="0.25">
      <c r="A13" s="1" t="s">
        <v>16</v>
      </c>
      <c r="B13" s="1" t="s">
        <v>24</v>
      </c>
      <c r="C13" s="10">
        <v>88240</v>
      </c>
      <c r="D13" s="10"/>
      <c r="E13" s="10">
        <v>23010</v>
      </c>
      <c r="F13" s="10">
        <v>60</v>
      </c>
      <c r="G13" s="10">
        <f t="shared" si="0"/>
        <v>111310</v>
      </c>
      <c r="H13" s="16">
        <f t="shared" si="1"/>
        <v>47.57</v>
      </c>
      <c r="I13" s="15">
        <f t="shared" si="2"/>
        <v>0.127</v>
      </c>
      <c r="J13" s="15">
        <f>ROUND(G13/109610-1,2)</f>
        <v>0.02</v>
      </c>
    </row>
    <row r="14" spans="1:10" x14ac:dyDescent="0.25">
      <c r="A14" s="1" t="s">
        <v>16</v>
      </c>
      <c r="B14" s="1" t="s">
        <v>25</v>
      </c>
      <c r="C14" s="10"/>
      <c r="D14" s="10"/>
      <c r="E14" s="10">
        <v>3820</v>
      </c>
      <c r="F14" s="10"/>
      <c r="G14" s="10">
        <f t="shared" si="0"/>
        <v>3820</v>
      </c>
      <c r="H14" s="16">
        <f t="shared" si="1"/>
        <v>1.63</v>
      </c>
      <c r="I14" s="15">
        <f t="shared" si="2"/>
        <v>4.0000000000000001E-3</v>
      </c>
      <c r="J14" s="15">
        <f>ROUND(G14/2380-1,2)</f>
        <v>0.61</v>
      </c>
    </row>
    <row r="15" spans="1:10" x14ac:dyDescent="0.25">
      <c r="A15" s="1" t="s">
        <v>16</v>
      </c>
      <c r="B15" s="1" t="s">
        <v>26</v>
      </c>
      <c r="C15" s="10">
        <v>100590</v>
      </c>
      <c r="D15" s="10"/>
      <c r="E15" s="10"/>
      <c r="F15" s="10">
        <v>20</v>
      </c>
      <c r="G15" s="10">
        <f t="shared" si="0"/>
        <v>100610</v>
      </c>
      <c r="H15" s="16">
        <f t="shared" si="1"/>
        <v>43</v>
      </c>
      <c r="I15" s="15">
        <f t="shared" si="2"/>
        <v>0.115</v>
      </c>
      <c r="J15" s="15">
        <f>ROUND(G15/110530-1,2)</f>
        <v>-0.09</v>
      </c>
    </row>
    <row r="16" spans="1:10" x14ac:dyDescent="0.25">
      <c r="A16" s="1" t="s">
        <v>16</v>
      </c>
      <c r="B16" s="1" t="s">
        <v>27</v>
      </c>
      <c r="C16" s="10"/>
      <c r="D16" s="10"/>
      <c r="E16" s="10">
        <v>1509</v>
      </c>
      <c r="F16" s="10"/>
      <c r="G16" s="10">
        <f t="shared" si="0"/>
        <v>1509</v>
      </c>
      <c r="H16" s="16">
        <f t="shared" si="1"/>
        <v>0.64</v>
      </c>
      <c r="I16" s="15">
        <f t="shared" si="2"/>
        <v>2E-3</v>
      </c>
      <c r="J16" s="15">
        <f>ROUND(G16/1179-1,2)</f>
        <v>0.28000000000000003</v>
      </c>
    </row>
    <row r="17" spans="1:10" x14ac:dyDescent="0.25">
      <c r="A17" s="1" t="s">
        <v>16</v>
      </c>
      <c r="B17" s="1" t="s">
        <v>28</v>
      </c>
      <c r="C17" s="10"/>
      <c r="D17" s="10"/>
      <c r="E17" s="10">
        <v>865</v>
      </c>
      <c r="F17" s="10"/>
      <c r="G17" s="10">
        <f t="shared" si="0"/>
        <v>865</v>
      </c>
      <c r="H17" s="16">
        <f t="shared" si="1"/>
        <v>0.37</v>
      </c>
      <c r="I17" s="15">
        <f t="shared" si="2"/>
        <v>1E-3</v>
      </c>
      <c r="J17" s="15">
        <f>ROUND(G17/540-1,2)</f>
        <v>0.6</v>
      </c>
    </row>
    <row r="18" spans="1:10" x14ac:dyDescent="0.25">
      <c r="A18" s="1" t="s">
        <v>16</v>
      </c>
      <c r="B18" s="1" t="s">
        <v>42</v>
      </c>
      <c r="C18" s="10"/>
      <c r="D18" s="10"/>
      <c r="E18" s="10">
        <v>90</v>
      </c>
      <c r="F18" s="10"/>
      <c r="G18" s="10">
        <f t="shared" si="0"/>
        <v>90</v>
      </c>
      <c r="H18" s="16">
        <f t="shared" si="1"/>
        <v>0.04</v>
      </c>
      <c r="I18" s="15">
        <f t="shared" si="2"/>
        <v>0</v>
      </c>
      <c r="J18" s="15"/>
    </row>
    <row r="19" spans="1:10" x14ac:dyDescent="0.25">
      <c r="A19" s="1" t="s">
        <v>16</v>
      </c>
      <c r="B19" s="1" t="s">
        <v>29</v>
      </c>
      <c r="C19" s="10"/>
      <c r="D19" s="10"/>
      <c r="E19" s="10">
        <v>770</v>
      </c>
      <c r="F19" s="10"/>
      <c r="G19" s="10">
        <f t="shared" si="0"/>
        <v>770</v>
      </c>
      <c r="H19" s="16">
        <f t="shared" si="1"/>
        <v>0.33</v>
      </c>
      <c r="I19" s="15">
        <f t="shared" si="2"/>
        <v>1E-3</v>
      </c>
      <c r="J19" s="15">
        <f>ROUND(G19/5500-1,2)</f>
        <v>-0.86</v>
      </c>
    </row>
    <row r="20" spans="1:10" x14ac:dyDescent="0.25">
      <c r="A20" s="1" t="s">
        <v>16</v>
      </c>
      <c r="B20" s="1" t="s">
        <v>30</v>
      </c>
      <c r="C20" s="10"/>
      <c r="D20" s="10"/>
      <c r="E20" s="10">
        <v>950</v>
      </c>
      <c r="F20" s="10"/>
      <c r="G20" s="10">
        <f t="shared" si="0"/>
        <v>950</v>
      </c>
      <c r="H20" s="16">
        <f t="shared" si="1"/>
        <v>0.41</v>
      </c>
      <c r="I20" s="15">
        <f t="shared" si="2"/>
        <v>1E-3</v>
      </c>
      <c r="J20" s="15">
        <f>ROUND(G20/860-1,2)</f>
        <v>0.1</v>
      </c>
    </row>
    <row r="21" spans="1:10" x14ac:dyDescent="0.25">
      <c r="A21" s="1" t="s">
        <v>16</v>
      </c>
      <c r="B21" s="1" t="s">
        <v>31</v>
      </c>
      <c r="C21" s="10"/>
      <c r="D21" s="10"/>
      <c r="E21" s="10">
        <v>460</v>
      </c>
      <c r="F21" s="10"/>
      <c r="G21" s="10">
        <f t="shared" si="0"/>
        <v>460</v>
      </c>
      <c r="H21" s="16">
        <f t="shared" si="1"/>
        <v>0.2</v>
      </c>
      <c r="I21" s="15">
        <f t="shared" si="2"/>
        <v>1E-3</v>
      </c>
      <c r="J21" s="15">
        <f>ROUND(G21/240-1,2)</f>
        <v>0.92</v>
      </c>
    </row>
    <row r="22" spans="1:10" x14ac:dyDescent="0.25">
      <c r="A22" s="1" t="s">
        <v>16</v>
      </c>
      <c r="B22" s="1" t="s">
        <v>32</v>
      </c>
      <c r="C22" s="10"/>
      <c r="D22" s="10"/>
      <c r="E22" s="10">
        <v>985</v>
      </c>
      <c r="F22" s="10"/>
      <c r="G22" s="10">
        <f t="shared" si="0"/>
        <v>985</v>
      </c>
      <c r="H22" s="16">
        <f t="shared" si="1"/>
        <v>0.42</v>
      </c>
      <c r="I22" s="15">
        <f t="shared" si="2"/>
        <v>1E-3</v>
      </c>
      <c r="J22" s="15">
        <f>ROUND(G22/990-1,2)</f>
        <v>-0.01</v>
      </c>
    </row>
    <row r="23" spans="1:10" x14ac:dyDescent="0.25">
      <c r="A23" s="1" t="s">
        <v>16</v>
      </c>
      <c r="B23" s="1" t="s">
        <v>33</v>
      </c>
      <c r="C23" s="10"/>
      <c r="D23" s="10"/>
      <c r="E23" s="10">
        <v>75</v>
      </c>
      <c r="F23" s="10"/>
      <c r="G23" s="10">
        <f t="shared" si="0"/>
        <v>75</v>
      </c>
      <c r="H23" s="16">
        <f t="shared" si="1"/>
        <v>0.03</v>
      </c>
      <c r="I23" s="15">
        <f t="shared" si="2"/>
        <v>0</v>
      </c>
      <c r="J23" s="15"/>
    </row>
    <row r="24" spans="1:10" x14ac:dyDescent="0.25">
      <c r="A24" s="1" t="s">
        <v>16</v>
      </c>
      <c r="B24" s="1" t="s">
        <v>37</v>
      </c>
      <c r="C24" s="10"/>
      <c r="D24" s="10"/>
      <c r="E24" s="10">
        <v>4280</v>
      </c>
      <c r="F24" s="10"/>
      <c r="G24" s="10">
        <f t="shared" si="0"/>
        <v>4280</v>
      </c>
      <c r="H24" s="16">
        <f t="shared" si="1"/>
        <v>1.83</v>
      </c>
      <c r="I24" s="15">
        <f t="shared" si="2"/>
        <v>5.0000000000000001E-3</v>
      </c>
      <c r="J24" s="15">
        <f>ROUND(G24/5600-1,2)</f>
        <v>-0.24</v>
      </c>
    </row>
    <row r="25" spans="1:10" x14ac:dyDescent="0.25">
      <c r="A25" s="1" t="s">
        <v>16</v>
      </c>
      <c r="B25" s="1" t="s">
        <v>38</v>
      </c>
      <c r="C25" s="10"/>
      <c r="D25" s="10"/>
      <c r="E25" s="10">
        <v>50635</v>
      </c>
      <c r="F25" s="10"/>
      <c r="G25" s="10">
        <f t="shared" si="0"/>
        <v>50635</v>
      </c>
      <c r="H25" s="16">
        <f t="shared" si="1"/>
        <v>21.64</v>
      </c>
      <c r="I25" s="15">
        <f t="shared" si="2"/>
        <v>5.8000000000000003E-2</v>
      </c>
      <c r="J25" s="15">
        <f>ROUND(G25/60220-1,2)</f>
        <v>-0.16</v>
      </c>
    </row>
    <row r="26" spans="1:10" x14ac:dyDescent="0.25">
      <c r="A26" s="1" t="s">
        <v>16</v>
      </c>
      <c r="B26" s="1" t="s">
        <v>39</v>
      </c>
      <c r="C26" s="10"/>
      <c r="D26" s="10"/>
      <c r="E26" s="10">
        <v>6280</v>
      </c>
      <c r="F26" s="10"/>
      <c r="G26" s="10">
        <f t="shared" si="0"/>
        <v>6280</v>
      </c>
      <c r="H26" s="16">
        <f t="shared" si="1"/>
        <v>2.68</v>
      </c>
      <c r="I26" s="15">
        <f t="shared" si="2"/>
        <v>7.0000000000000001E-3</v>
      </c>
      <c r="J26" s="15">
        <f>ROUND(G26/6260-1,2)</f>
        <v>0</v>
      </c>
    </row>
    <row r="27" spans="1:10" x14ac:dyDescent="0.25">
      <c r="A27" s="1" t="s">
        <v>16</v>
      </c>
      <c r="B27" s="1" t="s">
        <v>40</v>
      </c>
      <c r="C27" s="10"/>
      <c r="D27" s="10"/>
      <c r="E27" s="10">
        <v>22770</v>
      </c>
      <c r="F27" s="10"/>
      <c r="G27" s="10">
        <f t="shared" si="0"/>
        <v>22770</v>
      </c>
      <c r="H27" s="16">
        <f t="shared" si="1"/>
        <v>9.73</v>
      </c>
      <c r="I27" s="15">
        <f t="shared" si="2"/>
        <v>2.5999999999999999E-2</v>
      </c>
      <c r="J27" s="15">
        <f>ROUND(G27/25870-1,2)</f>
        <v>-0.12</v>
      </c>
    </row>
    <row r="28" spans="1:10" x14ac:dyDescent="0.25">
      <c r="A28" s="1" t="s">
        <v>16</v>
      </c>
      <c r="B28" s="1" t="s">
        <v>41</v>
      </c>
      <c r="C28" s="10"/>
      <c r="D28" s="10"/>
      <c r="E28" s="10">
        <v>20890</v>
      </c>
      <c r="F28" s="10"/>
      <c r="G28" s="10">
        <f t="shared" si="0"/>
        <v>20890</v>
      </c>
      <c r="H28" s="16">
        <f t="shared" si="1"/>
        <v>8.93</v>
      </c>
      <c r="I28" s="15">
        <f t="shared" si="2"/>
        <v>2.4E-2</v>
      </c>
      <c r="J28" s="15">
        <f>ROUND(G28/8095-1,2)</f>
        <v>1.58</v>
      </c>
    </row>
    <row r="29" spans="1:10" x14ac:dyDescent="0.25">
      <c r="A29" s="1" t="s">
        <v>16</v>
      </c>
      <c r="B29" s="1" t="s">
        <v>18</v>
      </c>
      <c r="C29" s="10"/>
      <c r="D29" s="10"/>
      <c r="E29" s="10"/>
      <c r="F29" s="10"/>
      <c r="G29" s="10">
        <f t="shared" si="0"/>
        <v>0</v>
      </c>
      <c r="H29" s="16">
        <f t="shared" si="1"/>
        <v>0</v>
      </c>
      <c r="I29" s="15">
        <f t="shared" si="2"/>
        <v>0</v>
      </c>
      <c r="J29" s="15">
        <f>ROUND(G29/1980-1,2)</f>
        <v>-1</v>
      </c>
    </row>
    <row r="30" spans="1:10" x14ac:dyDescent="0.25">
      <c r="A30" s="1" t="s">
        <v>16</v>
      </c>
      <c r="B30" s="1" t="s">
        <v>36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>
        <f>ROUND(G30/1830-1,2)</f>
        <v>-1</v>
      </c>
    </row>
    <row r="31" spans="1:10" x14ac:dyDescent="0.25">
      <c r="A31" s="1" t="s">
        <v>16</v>
      </c>
      <c r="B31" s="1" t="s">
        <v>43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>
        <f>ROUND(G31/13460-1,2)</f>
        <v>-1</v>
      </c>
    </row>
    <row r="32" spans="1:10" x14ac:dyDescent="0.25">
      <c r="A32" s="1" t="s">
        <v>16</v>
      </c>
      <c r="B32" s="1" t="s">
        <v>22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/>
    </row>
    <row r="33" spans="1:10" x14ac:dyDescent="0.25">
      <c r="A33" s="1" t="s">
        <v>16</v>
      </c>
      <c r="B33" s="1" t="s">
        <v>120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/>
    </row>
    <row r="34" spans="1:10" x14ac:dyDescent="0.25">
      <c r="A34" s="1" t="s">
        <v>16</v>
      </c>
      <c r="B34" s="1" t="s">
        <v>34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/>
    </row>
    <row r="35" spans="1:10" x14ac:dyDescent="0.25">
      <c r="A35" s="1" t="s">
        <v>16</v>
      </c>
      <c r="B35" s="1" t="s">
        <v>35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44</v>
      </c>
      <c r="B36" s="1" t="s">
        <v>45</v>
      </c>
      <c r="C36" s="10">
        <v>264140</v>
      </c>
      <c r="D36" s="10"/>
      <c r="E36" s="10"/>
      <c r="F36" s="10">
        <v>120</v>
      </c>
      <c r="G36" s="10">
        <f t="shared" si="0"/>
        <v>264260</v>
      </c>
      <c r="H36" s="16">
        <f t="shared" si="1"/>
        <v>112.93</v>
      </c>
      <c r="I36" s="15">
        <f t="shared" si="2"/>
        <v>0.30199999999999999</v>
      </c>
      <c r="J36" s="15">
        <f>ROUND(G36/285190-1,2)</f>
        <v>-7.0000000000000007E-2</v>
      </c>
    </row>
    <row r="37" spans="1:10" x14ac:dyDescent="0.25">
      <c r="A37" s="1" t="s">
        <v>44</v>
      </c>
      <c r="B37" s="1" t="s">
        <v>47</v>
      </c>
      <c r="C37" s="10"/>
      <c r="D37" s="10"/>
      <c r="E37" s="10"/>
      <c r="F37" s="10">
        <v>34200</v>
      </c>
      <c r="G37" s="10">
        <f t="shared" si="0"/>
        <v>34200</v>
      </c>
      <c r="H37" s="16">
        <f t="shared" si="1"/>
        <v>14.62</v>
      </c>
      <c r="I37" s="15">
        <f t="shared" si="2"/>
        <v>3.9E-2</v>
      </c>
      <c r="J37" s="15">
        <f>ROUND(G37/23740-1,2)</f>
        <v>0.44</v>
      </c>
    </row>
    <row r="38" spans="1:10" x14ac:dyDescent="0.25">
      <c r="A38" s="1" t="s">
        <v>44</v>
      </c>
      <c r="B38" s="1" t="s">
        <v>46</v>
      </c>
      <c r="C38" s="10"/>
      <c r="D38" s="10"/>
      <c r="E38" s="10">
        <v>30295</v>
      </c>
      <c r="F38" s="10"/>
      <c r="G38" s="10">
        <f t="shared" si="0"/>
        <v>30295</v>
      </c>
      <c r="H38" s="16">
        <f t="shared" si="1"/>
        <v>12.95</v>
      </c>
      <c r="I38" s="15">
        <f t="shared" si="2"/>
        <v>3.5000000000000003E-2</v>
      </c>
      <c r="J38" s="15">
        <f>ROUND(G38/24780-1,2)</f>
        <v>0.22</v>
      </c>
    </row>
    <row r="39" spans="1:10" x14ac:dyDescent="0.25">
      <c r="A39" s="1" t="s">
        <v>48</v>
      </c>
      <c r="B39" s="1" t="s">
        <v>86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1" t="s">
        <v>48</v>
      </c>
      <c r="B40" s="1" t="s">
        <v>51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>
        <f>ROUND(G40/12-1,2)</f>
        <v>-1</v>
      </c>
    </row>
    <row r="41" spans="1:10" x14ac:dyDescent="0.25">
      <c r="A41" s="30" t="s">
        <v>12</v>
      </c>
      <c r="B41" s="30"/>
      <c r="C41" s="11">
        <f t="shared" ref="C41:H41" si="3">SUM(C8:C40)</f>
        <v>617435</v>
      </c>
      <c r="D41" s="11">
        <f t="shared" si="3"/>
        <v>0</v>
      </c>
      <c r="E41" s="11">
        <f t="shared" si="3"/>
        <v>222224</v>
      </c>
      <c r="F41" s="11">
        <f t="shared" si="3"/>
        <v>34480</v>
      </c>
      <c r="G41" s="11">
        <f t="shared" si="3"/>
        <v>874139</v>
      </c>
      <c r="H41" s="14">
        <f t="shared" si="3"/>
        <v>373.57</v>
      </c>
      <c r="I41" s="17"/>
      <c r="J41" s="17"/>
    </row>
    <row r="42" spans="1:10" x14ac:dyDescent="0.25">
      <c r="A42" s="30" t="s">
        <v>14</v>
      </c>
      <c r="B42" s="30"/>
      <c r="C42" s="12">
        <f>ROUND(C41/G41,2)</f>
        <v>0.71</v>
      </c>
      <c r="D42" s="12">
        <f>ROUND(D41/G41,2)</f>
        <v>0</v>
      </c>
      <c r="E42" s="12">
        <f>ROUND(E41/G41,2)</f>
        <v>0.25</v>
      </c>
      <c r="F42" s="12">
        <f>ROUND(F41/G41,2)</f>
        <v>0.04</v>
      </c>
      <c r="G42" s="13"/>
      <c r="H42" s="13"/>
      <c r="I42" s="17"/>
      <c r="J42" s="17"/>
    </row>
    <row r="43" spans="1:10" x14ac:dyDescent="0.25">
      <c r="A43" s="2" t="s">
        <v>52</v>
      </c>
      <c r="B43" s="2"/>
      <c r="C43" s="13"/>
      <c r="D43" s="13"/>
      <c r="E43" s="13"/>
      <c r="F43" s="13"/>
      <c r="G43" s="13"/>
      <c r="H43" s="13"/>
      <c r="I43" s="17"/>
      <c r="J43" s="17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A47" s="30" t="s">
        <v>53</v>
      </c>
      <c r="B47" s="30"/>
      <c r="C47" s="11" t="s">
        <v>8</v>
      </c>
      <c r="D47" s="11" t="s">
        <v>9</v>
      </c>
      <c r="E47" s="11" t="s">
        <v>10</v>
      </c>
      <c r="F47" s="11" t="s">
        <v>11</v>
      </c>
      <c r="G47" s="11" t="s">
        <v>12</v>
      </c>
      <c r="H47" s="14" t="s">
        <v>13</v>
      </c>
      <c r="I47" s="17"/>
      <c r="J47" s="17"/>
    </row>
    <row r="48" spans="1:10" x14ac:dyDescent="0.25">
      <c r="A48" s="29" t="s">
        <v>54</v>
      </c>
      <c r="B48" s="29"/>
      <c r="C48" s="10">
        <v>353295</v>
      </c>
      <c r="D48" s="10">
        <v>0</v>
      </c>
      <c r="E48" s="10">
        <v>191929</v>
      </c>
      <c r="F48" s="10">
        <v>160</v>
      </c>
      <c r="G48" s="10">
        <f>SUM(C48:F48)</f>
        <v>545384</v>
      </c>
      <c r="H48" s="16">
        <f>ROUND(G48/2340,2)</f>
        <v>233.07</v>
      </c>
      <c r="I48" s="9"/>
      <c r="J48" s="9"/>
    </row>
    <row r="49" spans="1:10" x14ac:dyDescent="0.25">
      <c r="A49" s="29" t="s">
        <v>55</v>
      </c>
      <c r="B49" s="29"/>
      <c r="C49" s="10">
        <v>264140</v>
      </c>
      <c r="D49" s="10">
        <v>0</v>
      </c>
      <c r="E49" s="10">
        <v>30295</v>
      </c>
      <c r="F49" s="10">
        <v>34320</v>
      </c>
      <c r="G49" s="10">
        <f>SUM(C49:F49)</f>
        <v>328755</v>
      </c>
      <c r="H49" s="16">
        <f>ROUND(G49/2340,2)</f>
        <v>140.49</v>
      </c>
      <c r="I49" s="9"/>
      <c r="J49" s="9"/>
    </row>
    <row r="50" spans="1:10" x14ac:dyDescent="0.25">
      <c r="A50" s="29" t="s">
        <v>56</v>
      </c>
      <c r="B50" s="29"/>
      <c r="C50" s="10">
        <v>0</v>
      </c>
      <c r="D50" s="10">
        <v>0</v>
      </c>
      <c r="E50" s="10">
        <v>0</v>
      </c>
      <c r="F50" s="10">
        <v>0</v>
      </c>
      <c r="G50" s="10">
        <f>SUM(C50:F50)</f>
        <v>0</v>
      </c>
      <c r="H50" s="16">
        <f>ROUND(G50/2340,2)</f>
        <v>0</v>
      </c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A55" s="30" t="s">
        <v>57</v>
      </c>
      <c r="B55" s="30"/>
      <c r="C55" s="14" t="s">
        <v>2</v>
      </c>
      <c r="D55" s="14">
        <v>2023</v>
      </c>
      <c r="E55" s="14" t="s">
        <v>59</v>
      </c>
      <c r="F55" s="13"/>
      <c r="G55" s="14" t="s">
        <v>60</v>
      </c>
      <c r="H55" s="14" t="s">
        <v>2</v>
      </c>
      <c r="I55" s="12" t="s">
        <v>61</v>
      </c>
      <c r="J55" s="12" t="s">
        <v>59</v>
      </c>
    </row>
    <row r="56" spans="1:10" x14ac:dyDescent="0.25">
      <c r="A56" s="29" t="s">
        <v>58</v>
      </c>
      <c r="B56" s="29"/>
      <c r="C56" s="15">
        <f>ROUND(0.6724, 4)</f>
        <v>0.6724</v>
      </c>
      <c r="D56" s="15">
        <f>ROUND(0.6617, 4)</f>
        <v>0.66169999999999995</v>
      </c>
      <c r="E56" s="15">
        <f>ROUND(0.777, 4)</f>
        <v>0.77700000000000002</v>
      </c>
      <c r="F56" s="8"/>
      <c r="G56" s="14" t="s">
        <v>62</v>
      </c>
      <c r="H56" s="33" t="s">
        <v>63</v>
      </c>
      <c r="I56" s="31" t="s">
        <v>64</v>
      </c>
      <c r="J56" s="31" t="s">
        <v>65</v>
      </c>
    </row>
    <row r="57" spans="1:10" x14ac:dyDescent="0.25">
      <c r="A57" s="29" t="s">
        <v>66</v>
      </c>
      <c r="B57" s="29"/>
      <c r="C57" s="15">
        <f>ROUND(0.6315, 4)</f>
        <v>0.63149999999999995</v>
      </c>
      <c r="D57" s="15">
        <f>ROUND(0.6243, 4)</f>
        <v>0.62429999999999997</v>
      </c>
      <c r="E57" s="15">
        <f>ROUND(0.7608, 4)</f>
        <v>0.76080000000000003</v>
      </c>
      <c r="F57" s="8"/>
      <c r="G57" s="20" t="s">
        <v>67</v>
      </c>
      <c r="H57" s="34"/>
      <c r="I57" s="32"/>
      <c r="J57" s="32"/>
    </row>
    <row r="58" spans="1:10" x14ac:dyDescent="0.25">
      <c r="C58" s="8"/>
      <c r="D58" s="8"/>
      <c r="E58" s="8"/>
      <c r="F58" s="8"/>
      <c r="G58" s="21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A61" s="30" t="s">
        <v>68</v>
      </c>
      <c r="B61" s="30"/>
      <c r="C61" s="14" t="s">
        <v>2</v>
      </c>
      <c r="D61" s="14" t="s">
        <v>247</v>
      </c>
      <c r="E61" s="14" t="s">
        <v>70</v>
      </c>
      <c r="F61" s="14" t="s">
        <v>71</v>
      </c>
      <c r="G61" s="14" t="s">
        <v>72</v>
      </c>
      <c r="H61" s="13"/>
      <c r="I61" s="17"/>
      <c r="J61" s="17"/>
    </row>
    <row r="62" spans="1:10" x14ac:dyDescent="0.25">
      <c r="A62" s="29" t="s">
        <v>73</v>
      </c>
      <c r="B62" s="29"/>
      <c r="C62" s="16">
        <v>112.93</v>
      </c>
      <c r="D62" s="16">
        <v>109.95</v>
      </c>
      <c r="E62" s="16">
        <v>93.87</v>
      </c>
      <c r="F62" s="16">
        <v>57.16</v>
      </c>
      <c r="G62" s="16">
        <f>12/12*C62</f>
        <v>112.93</v>
      </c>
      <c r="H62" s="8"/>
      <c r="I62" s="9"/>
      <c r="J62" s="9"/>
    </row>
    <row r="63" spans="1:10" x14ac:dyDescent="0.25">
      <c r="A63" s="29" t="s">
        <v>74</v>
      </c>
      <c r="B63" s="29"/>
      <c r="C63" s="16">
        <v>43</v>
      </c>
      <c r="D63" s="16">
        <v>60.14</v>
      </c>
      <c r="E63" s="16">
        <v>62.84</v>
      </c>
      <c r="F63" s="16">
        <v>65.39</v>
      </c>
      <c r="G63" s="16">
        <f>12/12*C63</f>
        <v>43</v>
      </c>
      <c r="H63" s="8"/>
      <c r="I63" s="9"/>
      <c r="J63" s="9"/>
    </row>
    <row r="64" spans="1:10" x14ac:dyDescent="0.25">
      <c r="A64" s="29" t="s">
        <v>75</v>
      </c>
      <c r="B64" s="29"/>
      <c r="C64" s="16">
        <v>233.07</v>
      </c>
      <c r="D64" s="16">
        <v>255.35</v>
      </c>
      <c r="E64" s="16">
        <v>295.08999999999997</v>
      </c>
      <c r="F64" s="16">
        <v>289.06</v>
      </c>
      <c r="G64" s="16">
        <f>12/12*C64</f>
        <v>233.07</v>
      </c>
      <c r="H64" s="8"/>
      <c r="I64" s="9"/>
      <c r="J64" s="9"/>
    </row>
    <row r="65" spans="1:10" x14ac:dyDescent="0.25">
      <c r="A65" s="29" t="s">
        <v>76</v>
      </c>
      <c r="B65" s="29"/>
      <c r="C65" s="16">
        <v>140.49</v>
      </c>
      <c r="D65" s="16">
        <v>132.43</v>
      </c>
      <c r="E65" s="16">
        <v>118.05</v>
      </c>
      <c r="F65" s="16">
        <v>81.41</v>
      </c>
      <c r="G65" s="16">
        <f>12/12*C65</f>
        <v>140.49</v>
      </c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28" t="s">
        <v>60</v>
      </c>
      <c r="B68" s="35"/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77</v>
      </c>
      <c r="B69" s="1" t="s">
        <v>248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70</v>
      </c>
      <c r="B70" s="1" t="s">
        <v>79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3" t="s">
        <v>71</v>
      </c>
      <c r="B71" s="1" t="s">
        <v>80</v>
      </c>
      <c r="C71" s="8"/>
      <c r="D71" s="8"/>
      <c r="E71" s="8"/>
      <c r="F71" s="8"/>
      <c r="G71" s="8"/>
      <c r="H71" s="8"/>
      <c r="I71" s="9"/>
      <c r="J71" s="9"/>
    </row>
    <row r="72" spans="1:10" x14ac:dyDescent="0.25">
      <c r="A72" s="3" t="s">
        <v>72</v>
      </c>
      <c r="B72" s="1" t="s">
        <v>81</v>
      </c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</sheetData>
  <mergeCells count="19">
    <mergeCell ref="A63:B63"/>
    <mergeCell ref="A64:B64"/>
    <mergeCell ref="A65:B65"/>
    <mergeCell ref="A68:B68"/>
    <mergeCell ref="I56:I57"/>
    <mergeCell ref="J56:J57"/>
    <mergeCell ref="A57:B57"/>
    <mergeCell ref="A61:B61"/>
    <mergeCell ref="A62:B62"/>
    <mergeCell ref="A49:B49"/>
    <mergeCell ref="A50:B50"/>
    <mergeCell ref="A55:B55"/>
    <mergeCell ref="A56:B56"/>
    <mergeCell ref="H56:H57"/>
    <mergeCell ref="C7:G7"/>
    <mergeCell ref="A41:B41"/>
    <mergeCell ref="A42:B42"/>
    <mergeCell ref="A47:B47"/>
    <mergeCell ref="A48:B48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2:J79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8.57031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249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5480</v>
      </c>
    </row>
    <row r="7" spans="1:10" x14ac:dyDescent="0.25">
      <c r="C7" s="28" t="s">
        <v>5</v>
      </c>
      <c r="D7" s="29"/>
      <c r="E7" s="29"/>
      <c r="F7" s="29"/>
      <c r="G7" s="29"/>
    </row>
    <row r="8" spans="1:10" x14ac:dyDescent="0.25">
      <c r="A8" s="25" t="s">
        <v>6</v>
      </c>
      <c r="B8" s="25" t="s">
        <v>7</v>
      </c>
      <c r="C8" s="27" t="s">
        <v>8</v>
      </c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209</v>
      </c>
      <c r="F9" s="10"/>
      <c r="G9" s="10">
        <f t="shared" ref="G9:G42" si="0">SUM(C9:F9)</f>
        <v>209</v>
      </c>
      <c r="H9" s="16">
        <f t="shared" ref="H9:H42" si="1">ROUND(G9/5480,2)</f>
        <v>0.04</v>
      </c>
      <c r="I9" s="15">
        <f t="shared" ref="I9:I42" si="2">ROUND(G9/$G$43,3)</f>
        <v>0</v>
      </c>
      <c r="J9" s="15">
        <f>ROUND(G9/171-1,2)</f>
        <v>0.22</v>
      </c>
    </row>
    <row r="10" spans="1:10" x14ac:dyDescent="0.25">
      <c r="A10" s="1" t="s">
        <v>16</v>
      </c>
      <c r="B10" s="1" t="s">
        <v>19</v>
      </c>
      <c r="C10" s="10">
        <v>246560</v>
      </c>
      <c r="D10" s="10"/>
      <c r="E10" s="10">
        <v>2440</v>
      </c>
      <c r="F10" s="10">
        <v>910</v>
      </c>
      <c r="G10" s="10">
        <f t="shared" si="0"/>
        <v>249910</v>
      </c>
      <c r="H10" s="16">
        <f t="shared" si="1"/>
        <v>45.6</v>
      </c>
      <c r="I10" s="15">
        <f t="shared" si="2"/>
        <v>0.104</v>
      </c>
      <c r="J10" s="15">
        <f>ROUND(G10/222860-1,2)</f>
        <v>0.12</v>
      </c>
    </row>
    <row r="11" spans="1:10" x14ac:dyDescent="0.25">
      <c r="A11" s="1" t="s">
        <v>16</v>
      </c>
      <c r="B11" s="1" t="s">
        <v>20</v>
      </c>
      <c r="C11" s="10">
        <v>215720</v>
      </c>
      <c r="D11" s="10"/>
      <c r="E11" s="10"/>
      <c r="F11" s="10"/>
      <c r="G11" s="10">
        <f t="shared" si="0"/>
        <v>215720</v>
      </c>
      <c r="H11" s="16">
        <f t="shared" si="1"/>
        <v>39.36</v>
      </c>
      <c r="I11" s="15">
        <f t="shared" si="2"/>
        <v>0.09</v>
      </c>
      <c r="J11" s="15">
        <f>ROUND(G11/228710-1,2)</f>
        <v>-0.06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190</v>
      </c>
      <c r="F12" s="10"/>
      <c r="G12" s="10">
        <f t="shared" si="0"/>
        <v>190</v>
      </c>
      <c r="H12" s="16">
        <f t="shared" si="1"/>
        <v>0.03</v>
      </c>
      <c r="I12" s="15">
        <f t="shared" si="2"/>
        <v>0</v>
      </c>
      <c r="J12" s="15">
        <f>ROUND(G12/286-1,2)</f>
        <v>-0.34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166</v>
      </c>
      <c r="F13" s="10"/>
      <c r="G13" s="10">
        <f t="shared" si="0"/>
        <v>166</v>
      </c>
      <c r="H13" s="16">
        <f t="shared" si="1"/>
        <v>0.03</v>
      </c>
      <c r="I13" s="15">
        <f t="shared" si="2"/>
        <v>0</v>
      </c>
      <c r="J13" s="15">
        <f>ROUND(G13/244-1,2)</f>
        <v>-0.32</v>
      </c>
    </row>
    <row r="14" spans="1:10" x14ac:dyDescent="0.25">
      <c r="A14" s="1" t="s">
        <v>16</v>
      </c>
      <c r="B14" s="1" t="s">
        <v>22</v>
      </c>
      <c r="C14" s="10"/>
      <c r="D14" s="10"/>
      <c r="E14" s="10">
        <v>1400</v>
      </c>
      <c r="F14" s="10"/>
      <c r="G14" s="10">
        <f t="shared" si="0"/>
        <v>1400</v>
      </c>
      <c r="H14" s="16">
        <f t="shared" si="1"/>
        <v>0.26</v>
      </c>
      <c r="I14" s="15">
        <f t="shared" si="2"/>
        <v>1E-3</v>
      </c>
      <c r="J14" s="15">
        <f>ROUND(G14/2440-1,2)</f>
        <v>-0.43</v>
      </c>
    </row>
    <row r="15" spans="1:10" x14ac:dyDescent="0.25">
      <c r="A15" s="1" t="s">
        <v>16</v>
      </c>
      <c r="B15" s="1" t="s">
        <v>23</v>
      </c>
      <c r="C15" s="10"/>
      <c r="D15" s="10"/>
      <c r="E15" s="10">
        <v>53080</v>
      </c>
      <c r="F15" s="10"/>
      <c r="G15" s="10">
        <f t="shared" si="0"/>
        <v>53080</v>
      </c>
      <c r="H15" s="16">
        <f t="shared" si="1"/>
        <v>9.69</v>
      </c>
      <c r="I15" s="15">
        <f t="shared" si="2"/>
        <v>2.1999999999999999E-2</v>
      </c>
      <c r="J15" s="15">
        <f>ROUND(G15/61760-1,2)</f>
        <v>-0.14000000000000001</v>
      </c>
    </row>
    <row r="16" spans="1:10" x14ac:dyDescent="0.25">
      <c r="A16" s="1" t="s">
        <v>16</v>
      </c>
      <c r="B16" s="1" t="s">
        <v>24</v>
      </c>
      <c r="C16" s="10">
        <v>349590</v>
      </c>
      <c r="D16" s="10"/>
      <c r="E16" s="10">
        <v>20130</v>
      </c>
      <c r="F16" s="10">
        <v>390</v>
      </c>
      <c r="G16" s="10">
        <f t="shared" si="0"/>
        <v>370110</v>
      </c>
      <c r="H16" s="16">
        <f t="shared" si="1"/>
        <v>67.540000000000006</v>
      </c>
      <c r="I16" s="15">
        <f t="shared" si="2"/>
        <v>0.154</v>
      </c>
      <c r="J16" s="15">
        <f>ROUND(G16/361420-1,2)</f>
        <v>0.02</v>
      </c>
    </row>
    <row r="17" spans="1:10" x14ac:dyDescent="0.25">
      <c r="A17" s="1" t="s">
        <v>16</v>
      </c>
      <c r="B17" s="1" t="s">
        <v>25</v>
      </c>
      <c r="C17" s="10"/>
      <c r="D17" s="10"/>
      <c r="E17" s="10">
        <v>6115</v>
      </c>
      <c r="F17" s="10"/>
      <c r="G17" s="10">
        <f t="shared" si="0"/>
        <v>6115</v>
      </c>
      <c r="H17" s="16">
        <f t="shared" si="1"/>
        <v>1.1200000000000001</v>
      </c>
      <c r="I17" s="15">
        <f t="shared" si="2"/>
        <v>3.0000000000000001E-3</v>
      </c>
      <c r="J17" s="15">
        <f>ROUND(G17/8545-1,2)</f>
        <v>-0.28000000000000003</v>
      </c>
    </row>
    <row r="18" spans="1:10" x14ac:dyDescent="0.25">
      <c r="A18" s="1" t="s">
        <v>16</v>
      </c>
      <c r="B18" s="1" t="s">
        <v>26</v>
      </c>
      <c r="C18" s="10">
        <v>411550</v>
      </c>
      <c r="D18" s="10"/>
      <c r="E18" s="10"/>
      <c r="F18" s="10">
        <v>1260</v>
      </c>
      <c r="G18" s="10">
        <f t="shared" si="0"/>
        <v>412810</v>
      </c>
      <c r="H18" s="16">
        <f t="shared" si="1"/>
        <v>75.33</v>
      </c>
      <c r="I18" s="15">
        <f t="shared" si="2"/>
        <v>0.17199999999999999</v>
      </c>
      <c r="J18" s="15">
        <f>ROUND(G18/386520-1,2)</f>
        <v>7.0000000000000007E-2</v>
      </c>
    </row>
    <row r="19" spans="1:10" x14ac:dyDescent="0.25">
      <c r="A19" s="1" t="s">
        <v>16</v>
      </c>
      <c r="B19" s="1" t="s">
        <v>27</v>
      </c>
      <c r="C19" s="10"/>
      <c r="D19" s="10"/>
      <c r="E19" s="10">
        <v>1996</v>
      </c>
      <c r="F19" s="10"/>
      <c r="G19" s="10">
        <f t="shared" si="0"/>
        <v>1996</v>
      </c>
      <c r="H19" s="16">
        <f t="shared" si="1"/>
        <v>0.36</v>
      </c>
      <c r="I19" s="15">
        <f t="shared" si="2"/>
        <v>1E-3</v>
      </c>
      <c r="J19" s="15">
        <f>ROUND(G19/1429-1,2)</f>
        <v>0.4</v>
      </c>
    </row>
    <row r="20" spans="1:10" x14ac:dyDescent="0.25">
      <c r="A20" s="1" t="s">
        <v>16</v>
      </c>
      <c r="B20" s="1" t="s">
        <v>28</v>
      </c>
      <c r="C20" s="10"/>
      <c r="D20" s="10"/>
      <c r="E20" s="10">
        <v>1272</v>
      </c>
      <c r="F20" s="10"/>
      <c r="G20" s="10">
        <f t="shared" si="0"/>
        <v>1272</v>
      </c>
      <c r="H20" s="16">
        <f t="shared" si="1"/>
        <v>0.23</v>
      </c>
      <c r="I20" s="15">
        <f t="shared" si="2"/>
        <v>1E-3</v>
      </c>
      <c r="J20" s="15">
        <f>ROUND(G20/682-1,2)</f>
        <v>0.87</v>
      </c>
    </row>
    <row r="21" spans="1:10" x14ac:dyDescent="0.25">
      <c r="A21" s="1" t="s">
        <v>16</v>
      </c>
      <c r="B21" s="1" t="s">
        <v>42</v>
      </c>
      <c r="C21" s="10"/>
      <c r="D21" s="10"/>
      <c r="E21" s="10">
        <v>134</v>
      </c>
      <c r="F21" s="10"/>
      <c r="G21" s="10">
        <f t="shared" si="0"/>
        <v>134</v>
      </c>
      <c r="H21" s="16">
        <f t="shared" si="1"/>
        <v>0.02</v>
      </c>
      <c r="I21" s="15">
        <f t="shared" si="2"/>
        <v>0</v>
      </c>
      <c r="J21" s="15">
        <f>ROUND(G21/181-1,2)</f>
        <v>-0.26</v>
      </c>
    </row>
    <row r="22" spans="1:10" x14ac:dyDescent="0.25">
      <c r="A22" s="1" t="s">
        <v>16</v>
      </c>
      <c r="B22" s="1" t="s">
        <v>29</v>
      </c>
      <c r="C22" s="10"/>
      <c r="D22" s="10"/>
      <c r="E22" s="10">
        <v>2650</v>
      </c>
      <c r="F22" s="10"/>
      <c r="G22" s="10">
        <f t="shared" si="0"/>
        <v>2650</v>
      </c>
      <c r="H22" s="16">
        <f t="shared" si="1"/>
        <v>0.48</v>
      </c>
      <c r="I22" s="15">
        <f t="shared" si="2"/>
        <v>1E-3</v>
      </c>
      <c r="J22" s="15">
        <f>ROUND(G22/8400-1,2)</f>
        <v>-0.68</v>
      </c>
    </row>
    <row r="23" spans="1:10" x14ac:dyDescent="0.25">
      <c r="A23" s="1" t="s">
        <v>16</v>
      </c>
      <c r="B23" s="1" t="s">
        <v>30</v>
      </c>
      <c r="C23" s="10"/>
      <c r="D23" s="10"/>
      <c r="E23" s="10">
        <v>1730</v>
      </c>
      <c r="F23" s="10"/>
      <c r="G23" s="10">
        <f t="shared" si="0"/>
        <v>1730</v>
      </c>
      <c r="H23" s="16">
        <f t="shared" si="1"/>
        <v>0.32</v>
      </c>
      <c r="I23" s="15">
        <f t="shared" si="2"/>
        <v>1E-3</v>
      </c>
      <c r="J23" s="15">
        <f>ROUND(G23/1850-1,2)</f>
        <v>-0.06</v>
      </c>
    </row>
    <row r="24" spans="1:10" x14ac:dyDescent="0.25">
      <c r="A24" s="1" t="s">
        <v>16</v>
      </c>
      <c r="B24" s="1" t="s">
        <v>31</v>
      </c>
      <c r="C24" s="10"/>
      <c r="D24" s="10"/>
      <c r="E24" s="10">
        <v>820</v>
      </c>
      <c r="F24" s="10"/>
      <c r="G24" s="10">
        <f t="shared" si="0"/>
        <v>820</v>
      </c>
      <c r="H24" s="16">
        <f t="shared" si="1"/>
        <v>0.15</v>
      </c>
      <c r="I24" s="15">
        <f t="shared" si="2"/>
        <v>0</v>
      </c>
      <c r="J24" s="15">
        <f>ROUND(G24/740-1,2)</f>
        <v>0.11</v>
      </c>
    </row>
    <row r="25" spans="1:10" x14ac:dyDescent="0.25">
      <c r="A25" s="1" t="s">
        <v>16</v>
      </c>
      <c r="B25" s="1" t="s">
        <v>32</v>
      </c>
      <c r="C25" s="10"/>
      <c r="D25" s="10"/>
      <c r="E25" s="10">
        <v>1965</v>
      </c>
      <c r="F25" s="10"/>
      <c r="G25" s="10">
        <f t="shared" si="0"/>
        <v>1965</v>
      </c>
      <c r="H25" s="16">
        <f t="shared" si="1"/>
        <v>0.36</v>
      </c>
      <c r="I25" s="15">
        <f t="shared" si="2"/>
        <v>1E-3</v>
      </c>
      <c r="J25" s="15">
        <f>ROUND(G25/3365-1,2)</f>
        <v>-0.42</v>
      </c>
    </row>
    <row r="26" spans="1:10" x14ac:dyDescent="0.25">
      <c r="A26" s="1" t="s">
        <v>16</v>
      </c>
      <c r="B26" s="1" t="s">
        <v>33</v>
      </c>
      <c r="C26" s="10"/>
      <c r="D26" s="10">
        <v>413</v>
      </c>
      <c r="E26" s="10">
        <v>101</v>
      </c>
      <c r="F26" s="10"/>
      <c r="G26" s="10">
        <f t="shared" si="0"/>
        <v>514</v>
      </c>
      <c r="H26" s="16">
        <f t="shared" si="1"/>
        <v>0.09</v>
      </c>
      <c r="I26" s="15">
        <f t="shared" si="2"/>
        <v>0</v>
      </c>
      <c r="J26" s="15">
        <f>ROUND(G26/634-1,2)</f>
        <v>-0.19</v>
      </c>
    </row>
    <row r="27" spans="1:10" x14ac:dyDescent="0.25">
      <c r="A27" s="1" t="s">
        <v>16</v>
      </c>
      <c r="B27" s="1" t="s">
        <v>34</v>
      </c>
      <c r="C27" s="10"/>
      <c r="D27" s="10"/>
      <c r="E27" s="10">
        <v>240</v>
      </c>
      <c r="F27" s="10"/>
      <c r="G27" s="10">
        <f t="shared" si="0"/>
        <v>240</v>
      </c>
      <c r="H27" s="16">
        <f t="shared" si="1"/>
        <v>0.04</v>
      </c>
      <c r="I27" s="15">
        <f t="shared" si="2"/>
        <v>0</v>
      </c>
      <c r="J27" s="15">
        <f>ROUND(G27/1470-1,2)</f>
        <v>-0.84</v>
      </c>
    </row>
    <row r="28" spans="1:10" x14ac:dyDescent="0.25">
      <c r="A28" s="1" t="s">
        <v>16</v>
      </c>
      <c r="B28" s="1" t="s">
        <v>35</v>
      </c>
      <c r="C28" s="10"/>
      <c r="D28" s="10">
        <v>220</v>
      </c>
      <c r="E28" s="10"/>
      <c r="F28" s="10"/>
      <c r="G28" s="10">
        <f t="shared" si="0"/>
        <v>220</v>
      </c>
      <c r="H28" s="16">
        <f t="shared" si="1"/>
        <v>0.04</v>
      </c>
      <c r="I28" s="15">
        <f t="shared" si="2"/>
        <v>0</v>
      </c>
      <c r="J28" s="15">
        <f>ROUND(G28/840-1,2)</f>
        <v>-0.74</v>
      </c>
    </row>
    <row r="29" spans="1:10" x14ac:dyDescent="0.25">
      <c r="A29" s="1" t="s">
        <v>16</v>
      </c>
      <c r="B29" s="1" t="s">
        <v>43</v>
      </c>
      <c r="C29" s="10"/>
      <c r="D29" s="10"/>
      <c r="E29" s="10">
        <v>7500</v>
      </c>
      <c r="F29" s="10"/>
      <c r="G29" s="10">
        <f t="shared" si="0"/>
        <v>7500</v>
      </c>
      <c r="H29" s="16">
        <f t="shared" si="1"/>
        <v>1.37</v>
      </c>
      <c r="I29" s="15">
        <f t="shared" si="2"/>
        <v>3.0000000000000001E-3</v>
      </c>
      <c r="J29" s="15">
        <f>ROUND(G29/14541-1,2)</f>
        <v>-0.48</v>
      </c>
    </row>
    <row r="30" spans="1:10" x14ac:dyDescent="0.25">
      <c r="A30" s="1" t="s">
        <v>16</v>
      </c>
      <c r="B30" s="1" t="s">
        <v>37</v>
      </c>
      <c r="C30" s="10"/>
      <c r="D30" s="10"/>
      <c r="E30" s="10">
        <v>5040</v>
      </c>
      <c r="F30" s="10"/>
      <c r="G30" s="10">
        <f t="shared" si="0"/>
        <v>5040</v>
      </c>
      <c r="H30" s="16">
        <f t="shared" si="1"/>
        <v>0.92</v>
      </c>
      <c r="I30" s="15">
        <f t="shared" si="2"/>
        <v>2E-3</v>
      </c>
      <c r="J30" s="15">
        <f>ROUND(G30/9196-1,2)</f>
        <v>-0.45</v>
      </c>
    </row>
    <row r="31" spans="1:10" x14ac:dyDescent="0.25">
      <c r="A31" s="1" t="s">
        <v>16</v>
      </c>
      <c r="B31" s="1" t="s">
        <v>38</v>
      </c>
      <c r="C31" s="10"/>
      <c r="D31" s="10"/>
      <c r="E31" s="10">
        <v>92770</v>
      </c>
      <c r="F31" s="10"/>
      <c r="G31" s="10">
        <f t="shared" si="0"/>
        <v>92770</v>
      </c>
      <c r="H31" s="16">
        <f t="shared" si="1"/>
        <v>16.93</v>
      </c>
      <c r="I31" s="15">
        <f t="shared" si="2"/>
        <v>3.9E-2</v>
      </c>
      <c r="J31" s="15">
        <f>ROUND(G31/97710-1,2)</f>
        <v>-0.05</v>
      </c>
    </row>
    <row r="32" spans="1:10" x14ac:dyDescent="0.25">
      <c r="A32" s="1" t="s">
        <v>16</v>
      </c>
      <c r="B32" s="1" t="s">
        <v>39</v>
      </c>
      <c r="C32" s="10"/>
      <c r="D32" s="10"/>
      <c r="E32" s="10">
        <v>5100</v>
      </c>
      <c r="F32" s="10"/>
      <c r="G32" s="10">
        <f t="shared" si="0"/>
        <v>5100</v>
      </c>
      <c r="H32" s="16">
        <f t="shared" si="1"/>
        <v>0.93</v>
      </c>
      <c r="I32" s="15">
        <f t="shared" si="2"/>
        <v>2E-3</v>
      </c>
      <c r="J32" s="15">
        <f>ROUND(G32/9200-1,2)</f>
        <v>-0.45</v>
      </c>
    </row>
    <row r="33" spans="1:10" x14ac:dyDescent="0.25">
      <c r="A33" s="1" t="s">
        <v>16</v>
      </c>
      <c r="B33" s="1" t="s">
        <v>40</v>
      </c>
      <c r="C33" s="10"/>
      <c r="D33" s="10"/>
      <c r="E33" s="10">
        <v>18490</v>
      </c>
      <c r="F33" s="10"/>
      <c r="G33" s="10">
        <f t="shared" si="0"/>
        <v>18490</v>
      </c>
      <c r="H33" s="16">
        <f t="shared" si="1"/>
        <v>3.37</v>
      </c>
      <c r="I33" s="15">
        <f t="shared" si="2"/>
        <v>8.0000000000000002E-3</v>
      </c>
      <c r="J33" s="15">
        <f>ROUND(G33/21130-1,2)</f>
        <v>-0.12</v>
      </c>
    </row>
    <row r="34" spans="1:10" x14ac:dyDescent="0.25">
      <c r="A34" s="1" t="s">
        <v>16</v>
      </c>
      <c r="B34" s="1" t="s">
        <v>41</v>
      </c>
      <c r="C34" s="10">
        <v>24000</v>
      </c>
      <c r="D34" s="10">
        <v>320180</v>
      </c>
      <c r="E34" s="10">
        <v>96430</v>
      </c>
      <c r="F34" s="10">
        <v>6500</v>
      </c>
      <c r="G34" s="10">
        <f t="shared" si="0"/>
        <v>447110</v>
      </c>
      <c r="H34" s="16">
        <f t="shared" si="1"/>
        <v>81.59</v>
      </c>
      <c r="I34" s="15">
        <f t="shared" si="2"/>
        <v>0.186</v>
      </c>
      <c r="J34" s="15">
        <f>ROUND(G34/798580-1,2)</f>
        <v>-0.44</v>
      </c>
    </row>
    <row r="35" spans="1:10" x14ac:dyDescent="0.25">
      <c r="A35" s="1" t="s">
        <v>16</v>
      </c>
      <c r="B35" s="1" t="s">
        <v>36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>
        <f>ROUND(G35/4830-1,2)</f>
        <v>-1</v>
      </c>
    </row>
    <row r="36" spans="1:10" x14ac:dyDescent="0.25">
      <c r="A36" s="1" t="s">
        <v>44</v>
      </c>
      <c r="B36" s="1" t="s">
        <v>45</v>
      </c>
      <c r="C36" s="10">
        <v>401340</v>
      </c>
      <c r="D36" s="10"/>
      <c r="E36" s="10"/>
      <c r="F36" s="10">
        <v>720</v>
      </c>
      <c r="G36" s="10">
        <f t="shared" si="0"/>
        <v>402060</v>
      </c>
      <c r="H36" s="16">
        <f t="shared" si="1"/>
        <v>73.37</v>
      </c>
      <c r="I36" s="15">
        <f t="shared" si="2"/>
        <v>0.16700000000000001</v>
      </c>
      <c r="J36" s="15">
        <f>ROUND(G36/579070-1,2)</f>
        <v>-0.31</v>
      </c>
    </row>
    <row r="37" spans="1:10" x14ac:dyDescent="0.25">
      <c r="A37" s="1" t="s">
        <v>44</v>
      </c>
      <c r="B37" s="1" t="s">
        <v>47</v>
      </c>
      <c r="C37" s="10"/>
      <c r="D37" s="10"/>
      <c r="E37" s="10"/>
      <c r="F37" s="10">
        <v>27210</v>
      </c>
      <c r="G37" s="10">
        <f t="shared" si="0"/>
        <v>27210</v>
      </c>
      <c r="H37" s="16">
        <f t="shared" si="1"/>
        <v>4.97</v>
      </c>
      <c r="I37" s="15">
        <f t="shared" si="2"/>
        <v>1.0999999999999999E-2</v>
      </c>
      <c r="J37" s="15">
        <f>ROUND(G37/44180-1,2)</f>
        <v>-0.38</v>
      </c>
    </row>
    <row r="38" spans="1:10" x14ac:dyDescent="0.25">
      <c r="A38" s="1" t="s">
        <v>44</v>
      </c>
      <c r="B38" s="1" t="s">
        <v>46</v>
      </c>
      <c r="C38" s="10"/>
      <c r="D38" s="10"/>
      <c r="E38" s="10">
        <v>78605</v>
      </c>
      <c r="F38" s="10"/>
      <c r="G38" s="10">
        <f t="shared" si="0"/>
        <v>78605</v>
      </c>
      <c r="H38" s="16">
        <f t="shared" si="1"/>
        <v>14.34</v>
      </c>
      <c r="I38" s="15">
        <f t="shared" si="2"/>
        <v>3.3000000000000002E-2</v>
      </c>
      <c r="J38" s="15">
        <f>ROUND(G38/67840-1,2)</f>
        <v>0.16</v>
      </c>
    </row>
    <row r="39" spans="1:10" x14ac:dyDescent="0.25">
      <c r="A39" s="1" t="s">
        <v>48</v>
      </c>
      <c r="B39" s="1" t="s">
        <v>51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1" t="s">
        <v>48</v>
      </c>
      <c r="B40" s="1" t="s">
        <v>49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/>
    </row>
    <row r="41" spans="1:10" x14ac:dyDescent="0.25">
      <c r="A41" s="1" t="s">
        <v>48</v>
      </c>
      <c r="B41" s="1" t="s">
        <v>86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>
        <f>ROUND(G41/230-1,2)</f>
        <v>-1</v>
      </c>
    </row>
    <row r="42" spans="1:10" x14ac:dyDescent="0.25">
      <c r="A42" s="1" t="s">
        <v>48</v>
      </c>
      <c r="B42" s="1" t="s">
        <v>50</v>
      </c>
      <c r="C42" s="10"/>
      <c r="D42" s="10"/>
      <c r="E42" s="10"/>
      <c r="F42" s="10"/>
      <c r="G42" s="10">
        <f t="shared" si="0"/>
        <v>0</v>
      </c>
      <c r="H42" s="16">
        <f t="shared" si="1"/>
        <v>0</v>
      </c>
      <c r="I42" s="15">
        <f t="shared" si="2"/>
        <v>0</v>
      </c>
      <c r="J42" s="15"/>
    </row>
    <row r="43" spans="1:10" x14ac:dyDescent="0.25">
      <c r="A43" s="30" t="s">
        <v>12</v>
      </c>
      <c r="B43" s="30"/>
      <c r="C43" s="11">
        <f t="shared" ref="C43:H43" si="3">SUM(C8:C42)</f>
        <v>1648760</v>
      </c>
      <c r="D43" s="11">
        <f t="shared" si="3"/>
        <v>320813</v>
      </c>
      <c r="E43" s="11">
        <f t="shared" si="3"/>
        <v>398573</v>
      </c>
      <c r="F43" s="11">
        <f t="shared" si="3"/>
        <v>36990</v>
      </c>
      <c r="G43" s="11">
        <f t="shared" si="3"/>
        <v>2405136</v>
      </c>
      <c r="H43" s="14">
        <f t="shared" si="3"/>
        <v>438.88000000000005</v>
      </c>
      <c r="I43" s="17"/>
      <c r="J43" s="17"/>
    </row>
    <row r="44" spans="1:10" x14ac:dyDescent="0.25">
      <c r="A44" s="30" t="s">
        <v>14</v>
      </c>
      <c r="B44" s="30"/>
      <c r="C44" s="12">
        <f>ROUND(C43/G43,2)</f>
        <v>0.69</v>
      </c>
      <c r="D44" s="12">
        <f>ROUND(D43/G43,2)</f>
        <v>0.13</v>
      </c>
      <c r="E44" s="12">
        <f>ROUND(E43/G43,2)</f>
        <v>0.17</v>
      </c>
      <c r="F44" s="12">
        <f>ROUND(F43/G43,2)</f>
        <v>0.02</v>
      </c>
      <c r="G44" s="13"/>
      <c r="H44" s="13"/>
      <c r="I44" s="17"/>
      <c r="J44" s="17"/>
    </row>
    <row r="45" spans="1:10" x14ac:dyDescent="0.25">
      <c r="A45" s="2" t="s">
        <v>52</v>
      </c>
      <c r="B45" s="2"/>
      <c r="C45" s="13"/>
      <c r="D45" s="13"/>
      <c r="E45" s="13"/>
      <c r="F45" s="13"/>
      <c r="G45" s="13"/>
      <c r="H45" s="13"/>
      <c r="I45" s="17"/>
      <c r="J45" s="17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A49" s="30" t="s">
        <v>53</v>
      </c>
      <c r="B49" s="30"/>
      <c r="C49" s="11" t="s">
        <v>8</v>
      </c>
      <c r="D49" s="11" t="s">
        <v>9</v>
      </c>
      <c r="E49" s="11" t="s">
        <v>10</v>
      </c>
      <c r="F49" s="11" t="s">
        <v>11</v>
      </c>
      <c r="G49" s="11" t="s">
        <v>12</v>
      </c>
      <c r="H49" s="14" t="s">
        <v>13</v>
      </c>
      <c r="I49" s="17"/>
      <c r="J49" s="17"/>
    </row>
    <row r="50" spans="1:10" x14ac:dyDescent="0.25">
      <c r="A50" s="29" t="s">
        <v>54</v>
      </c>
      <c r="B50" s="29"/>
      <c r="C50" s="10">
        <v>1247420</v>
      </c>
      <c r="D50" s="10">
        <v>320813</v>
      </c>
      <c r="E50" s="10">
        <v>319968</v>
      </c>
      <c r="F50" s="10">
        <v>9060</v>
      </c>
      <c r="G50" s="10">
        <f>SUM(C50:F50)</f>
        <v>1897261</v>
      </c>
      <c r="H50" s="16">
        <f>ROUND(G50/5480,2)</f>
        <v>346.22</v>
      </c>
      <c r="I50" s="9"/>
      <c r="J50" s="9"/>
    </row>
    <row r="51" spans="1:10" x14ac:dyDescent="0.25">
      <c r="A51" s="29" t="s">
        <v>55</v>
      </c>
      <c r="B51" s="29"/>
      <c r="C51" s="10">
        <v>401340</v>
      </c>
      <c r="D51" s="10">
        <v>0</v>
      </c>
      <c r="E51" s="10">
        <v>78605</v>
      </c>
      <c r="F51" s="10">
        <v>27930</v>
      </c>
      <c r="G51" s="10">
        <f>SUM(C51:F51)</f>
        <v>507875</v>
      </c>
      <c r="H51" s="16">
        <f>ROUND(G51/5480,2)</f>
        <v>92.68</v>
      </c>
      <c r="I51" s="9"/>
      <c r="J51" s="9"/>
    </row>
    <row r="52" spans="1:10" x14ac:dyDescent="0.25">
      <c r="A52" s="29" t="s">
        <v>56</v>
      </c>
      <c r="B52" s="29"/>
      <c r="C52" s="10">
        <v>0</v>
      </c>
      <c r="D52" s="10">
        <v>0</v>
      </c>
      <c r="E52" s="10">
        <v>0</v>
      </c>
      <c r="F52" s="10">
        <v>0</v>
      </c>
      <c r="G52" s="10">
        <f>SUM(C52:F52)</f>
        <v>0</v>
      </c>
      <c r="H52" s="16">
        <f>ROUND(G52/5480,2)</f>
        <v>0</v>
      </c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A57" s="30" t="s">
        <v>57</v>
      </c>
      <c r="B57" s="30"/>
      <c r="C57" s="14" t="s">
        <v>2</v>
      </c>
      <c r="D57" s="14">
        <v>2023</v>
      </c>
      <c r="E57" s="14" t="s">
        <v>59</v>
      </c>
      <c r="F57" s="13"/>
      <c r="G57" s="20" t="s">
        <v>60</v>
      </c>
      <c r="H57" s="14" t="s">
        <v>2</v>
      </c>
      <c r="I57" s="12" t="s">
        <v>61</v>
      </c>
      <c r="J57" s="12" t="s">
        <v>59</v>
      </c>
    </row>
    <row r="58" spans="1:10" x14ac:dyDescent="0.25">
      <c r="A58" s="29" t="s">
        <v>58</v>
      </c>
      <c r="B58" s="29"/>
      <c r="C58" s="15">
        <f>ROUND(0.8243, 4)</f>
        <v>0.82430000000000003</v>
      </c>
      <c r="D58" s="15">
        <f>ROUND(0.7944, 4)</f>
        <v>0.7944</v>
      </c>
      <c r="E58" s="15">
        <f>ROUND(0.777, 4)</f>
        <v>0.77700000000000002</v>
      </c>
      <c r="F58" s="8"/>
      <c r="G58" s="20" t="s">
        <v>62</v>
      </c>
      <c r="H58" s="33" t="s">
        <v>63</v>
      </c>
      <c r="I58" s="31" t="s">
        <v>64</v>
      </c>
      <c r="J58" s="31" t="s">
        <v>65</v>
      </c>
    </row>
    <row r="59" spans="1:10" x14ac:dyDescent="0.25">
      <c r="A59" s="29" t="s">
        <v>66</v>
      </c>
      <c r="B59" s="29"/>
      <c r="C59" s="15">
        <f>ROUND(0.8106, 4)</f>
        <v>0.81059999999999999</v>
      </c>
      <c r="D59" s="15">
        <f>ROUND(0.7845, 4)</f>
        <v>0.78449999999999998</v>
      </c>
      <c r="E59" s="15">
        <f>ROUND(0.7608, 4)</f>
        <v>0.76080000000000003</v>
      </c>
      <c r="F59" s="8"/>
      <c r="G59" s="14" t="s">
        <v>67</v>
      </c>
      <c r="H59" s="34"/>
      <c r="I59" s="32"/>
      <c r="J59" s="32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A63" s="30" t="s">
        <v>68</v>
      </c>
      <c r="B63" s="30"/>
      <c r="C63" s="14" t="s">
        <v>2</v>
      </c>
      <c r="D63" s="14" t="s">
        <v>250</v>
      </c>
      <c r="E63" s="14" t="s">
        <v>70</v>
      </c>
      <c r="F63" s="14" t="s">
        <v>71</v>
      </c>
      <c r="G63" s="14" t="s">
        <v>72</v>
      </c>
      <c r="H63" s="13"/>
      <c r="I63" s="17"/>
      <c r="J63" s="17"/>
    </row>
    <row r="64" spans="1:10" x14ac:dyDescent="0.25">
      <c r="A64" s="29" t="s">
        <v>73</v>
      </c>
      <c r="B64" s="29"/>
      <c r="C64" s="16">
        <v>73.37</v>
      </c>
      <c r="D64" s="16">
        <v>97.42</v>
      </c>
      <c r="E64" s="16">
        <v>93.87</v>
      </c>
      <c r="F64" s="16">
        <v>57.16</v>
      </c>
      <c r="G64" s="16">
        <f>12/12*C64</f>
        <v>73.37</v>
      </c>
      <c r="H64" s="8"/>
      <c r="I64" s="9"/>
      <c r="J64" s="9"/>
    </row>
    <row r="65" spans="1:10" x14ac:dyDescent="0.25">
      <c r="A65" s="29" t="s">
        <v>74</v>
      </c>
      <c r="B65" s="29"/>
      <c r="C65" s="16">
        <v>75.33</v>
      </c>
      <c r="D65" s="16">
        <v>74.7</v>
      </c>
      <c r="E65" s="16">
        <v>62.84</v>
      </c>
      <c r="F65" s="16">
        <v>65.39</v>
      </c>
      <c r="G65" s="16">
        <f>12/12*C65</f>
        <v>75.33</v>
      </c>
      <c r="H65" s="8"/>
      <c r="I65" s="9"/>
      <c r="J65" s="9"/>
    </row>
    <row r="66" spans="1:10" x14ac:dyDescent="0.25">
      <c r="A66" s="29" t="s">
        <v>75</v>
      </c>
      <c r="B66" s="29"/>
      <c r="C66" s="16">
        <v>346.22</v>
      </c>
      <c r="D66" s="16">
        <v>388.68</v>
      </c>
      <c r="E66" s="16">
        <v>295.08999999999997</v>
      </c>
      <c r="F66" s="16">
        <v>289.06</v>
      </c>
      <c r="G66" s="16">
        <f>12/12*C66</f>
        <v>346.22</v>
      </c>
      <c r="H66" s="8"/>
      <c r="I66" s="9"/>
      <c r="J66" s="9"/>
    </row>
    <row r="67" spans="1:10" x14ac:dyDescent="0.25">
      <c r="A67" s="29" t="s">
        <v>76</v>
      </c>
      <c r="B67" s="29"/>
      <c r="C67" s="16">
        <v>92.68</v>
      </c>
      <c r="D67" s="16">
        <v>116.04</v>
      </c>
      <c r="E67" s="16">
        <v>118.05</v>
      </c>
      <c r="F67" s="16">
        <v>81.41</v>
      </c>
      <c r="G67" s="16">
        <f>12/12*C67</f>
        <v>92.68</v>
      </c>
      <c r="H67" s="8"/>
      <c r="I67" s="9"/>
      <c r="J67" s="9"/>
    </row>
    <row r="68" spans="1:10" x14ac:dyDescent="0.25">
      <c r="C68" s="8"/>
      <c r="D68" s="8"/>
      <c r="E68" s="8"/>
      <c r="F68" s="8"/>
      <c r="G68" s="8"/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28" t="s">
        <v>60</v>
      </c>
      <c r="B70" s="35"/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3" t="s">
        <v>77</v>
      </c>
      <c r="B71" s="1" t="s">
        <v>251</v>
      </c>
      <c r="C71" s="8"/>
      <c r="D71" s="8"/>
      <c r="E71" s="8"/>
      <c r="F71" s="8"/>
      <c r="G71" s="8"/>
      <c r="H71" s="8"/>
      <c r="I71" s="9"/>
      <c r="J71" s="9"/>
    </row>
    <row r="72" spans="1:10" x14ac:dyDescent="0.25">
      <c r="A72" s="3" t="s">
        <v>70</v>
      </c>
      <c r="B72" s="1" t="s">
        <v>79</v>
      </c>
      <c r="C72" s="8"/>
      <c r="D72" s="8"/>
      <c r="E72" s="8"/>
      <c r="F72" s="8"/>
      <c r="G72" s="8"/>
      <c r="H72" s="8"/>
      <c r="I72" s="9"/>
      <c r="J72" s="9"/>
    </row>
    <row r="73" spans="1:10" x14ac:dyDescent="0.25">
      <c r="A73" s="3" t="s">
        <v>71</v>
      </c>
      <c r="B73" s="1" t="s">
        <v>80</v>
      </c>
      <c r="C73" s="8"/>
      <c r="D73" s="8"/>
      <c r="E73" s="8"/>
      <c r="F73" s="8"/>
      <c r="G73" s="8"/>
      <c r="H73" s="8"/>
      <c r="I73" s="9"/>
      <c r="J73" s="9"/>
    </row>
    <row r="74" spans="1:10" x14ac:dyDescent="0.25">
      <c r="A74" s="3" t="s">
        <v>72</v>
      </c>
      <c r="B74" s="1" t="s">
        <v>81</v>
      </c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  <row r="76" spans="1:10" x14ac:dyDescent="0.25">
      <c r="C76" s="8"/>
      <c r="D76" s="8"/>
      <c r="E76" s="8"/>
      <c r="F76" s="8"/>
      <c r="G76" s="8"/>
      <c r="H76" s="8"/>
      <c r="I76" s="9"/>
      <c r="J76" s="9"/>
    </row>
    <row r="77" spans="1:10" x14ac:dyDescent="0.25">
      <c r="C77" s="8"/>
      <c r="D77" s="8"/>
      <c r="E77" s="8"/>
      <c r="F77" s="8"/>
      <c r="G77" s="8"/>
      <c r="H77" s="8"/>
      <c r="I77" s="9"/>
      <c r="J77" s="9"/>
    </row>
    <row r="78" spans="1:10" x14ac:dyDescent="0.25">
      <c r="C78" s="8"/>
      <c r="D78" s="8"/>
      <c r="E78" s="8"/>
      <c r="F78" s="8"/>
      <c r="G78" s="8"/>
      <c r="H78" s="8"/>
      <c r="I78" s="9"/>
      <c r="J78" s="9"/>
    </row>
    <row r="79" spans="1:10" x14ac:dyDescent="0.25">
      <c r="C79" s="8"/>
      <c r="D79" s="8"/>
      <c r="E79" s="8"/>
      <c r="F79" s="8"/>
      <c r="G79" s="8"/>
      <c r="H79" s="8"/>
      <c r="I79" s="9"/>
      <c r="J79" s="9"/>
    </row>
  </sheetData>
  <mergeCells count="19">
    <mergeCell ref="A65:B65"/>
    <mergeCell ref="A66:B66"/>
    <mergeCell ref="A67:B67"/>
    <mergeCell ref="A70:B70"/>
    <mergeCell ref="I58:I59"/>
    <mergeCell ref="J58:J59"/>
    <mergeCell ref="A59:B59"/>
    <mergeCell ref="A63:B63"/>
    <mergeCell ref="A64:B64"/>
    <mergeCell ref="A51:B51"/>
    <mergeCell ref="A52:B52"/>
    <mergeCell ref="A57:B57"/>
    <mergeCell ref="A58:B58"/>
    <mergeCell ref="H58:H59"/>
    <mergeCell ref="C7:G7"/>
    <mergeCell ref="A43:B43"/>
    <mergeCell ref="A44:B44"/>
    <mergeCell ref="A49:B49"/>
    <mergeCell ref="A50:B5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2:J79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34.1406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252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6878</v>
      </c>
    </row>
    <row r="7" spans="1:10" x14ac:dyDescent="0.25">
      <c r="C7" s="28" t="s">
        <v>5</v>
      </c>
      <c r="D7" s="29"/>
      <c r="E7" s="29"/>
      <c r="F7" s="29"/>
      <c r="G7" s="29"/>
    </row>
    <row r="8" spans="1:10" x14ac:dyDescent="0.25">
      <c r="A8" s="25" t="s">
        <v>6</v>
      </c>
      <c r="B8" s="25" t="s">
        <v>7</v>
      </c>
      <c r="C8" s="27" t="s">
        <v>8</v>
      </c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115</v>
      </c>
      <c r="F9" s="10"/>
      <c r="G9" s="10">
        <f t="shared" ref="G9:G47" si="0">SUM(C9:F9)</f>
        <v>115</v>
      </c>
      <c r="H9" s="16">
        <f t="shared" ref="H9:H47" si="1">ROUND(G9/6878,2)</f>
        <v>0.02</v>
      </c>
      <c r="I9" s="15">
        <f t="shared" ref="I9:I47" si="2">ROUND(G9/$G$48,3)</f>
        <v>0</v>
      </c>
      <c r="J9" s="15">
        <f>ROUND(G9/58-1,2)</f>
        <v>0.98</v>
      </c>
    </row>
    <row r="10" spans="1:10" x14ac:dyDescent="0.25">
      <c r="A10" s="1" t="s">
        <v>16</v>
      </c>
      <c r="B10" s="1" t="s">
        <v>19</v>
      </c>
      <c r="C10" s="10">
        <v>221640</v>
      </c>
      <c r="D10" s="10"/>
      <c r="E10" s="10">
        <v>3580</v>
      </c>
      <c r="F10" s="10">
        <v>660</v>
      </c>
      <c r="G10" s="10">
        <f t="shared" si="0"/>
        <v>225880</v>
      </c>
      <c r="H10" s="16">
        <f t="shared" si="1"/>
        <v>32.840000000000003</v>
      </c>
      <c r="I10" s="15">
        <f t="shared" si="2"/>
        <v>9.2999999999999999E-2</v>
      </c>
      <c r="J10" s="15">
        <f>ROUND(G10/219810-1,2)</f>
        <v>0.03</v>
      </c>
    </row>
    <row r="11" spans="1:10" x14ac:dyDescent="0.25">
      <c r="A11" s="1" t="s">
        <v>16</v>
      </c>
      <c r="B11" s="1" t="s">
        <v>20</v>
      </c>
      <c r="C11" s="10">
        <v>246610</v>
      </c>
      <c r="D11" s="10"/>
      <c r="E11" s="10"/>
      <c r="F11" s="10"/>
      <c r="G11" s="10">
        <f t="shared" si="0"/>
        <v>246610</v>
      </c>
      <c r="H11" s="16">
        <f t="shared" si="1"/>
        <v>35.85</v>
      </c>
      <c r="I11" s="15">
        <f t="shared" si="2"/>
        <v>0.10199999999999999</v>
      </c>
      <c r="J11" s="15">
        <f>ROUND(G11/259070-1,2)</f>
        <v>-0.05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425</v>
      </c>
      <c r="F12" s="10"/>
      <c r="G12" s="10">
        <f t="shared" si="0"/>
        <v>425</v>
      </c>
      <c r="H12" s="16">
        <f t="shared" si="1"/>
        <v>0.06</v>
      </c>
      <c r="I12" s="15">
        <f t="shared" si="2"/>
        <v>0</v>
      </c>
      <c r="J12" s="15">
        <f>ROUND(G12/154-1,2)</f>
        <v>1.76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476</v>
      </c>
      <c r="F13" s="10"/>
      <c r="G13" s="10">
        <f t="shared" si="0"/>
        <v>476</v>
      </c>
      <c r="H13" s="16">
        <f t="shared" si="1"/>
        <v>7.0000000000000007E-2</v>
      </c>
      <c r="I13" s="15">
        <f t="shared" si="2"/>
        <v>0</v>
      </c>
      <c r="J13" s="15">
        <f>ROUND(G13/282-1,2)</f>
        <v>0.69</v>
      </c>
    </row>
    <row r="14" spans="1:10" x14ac:dyDescent="0.25">
      <c r="A14" s="1" t="s">
        <v>16</v>
      </c>
      <c r="B14" s="1" t="s">
        <v>22</v>
      </c>
      <c r="C14" s="10"/>
      <c r="D14" s="10"/>
      <c r="E14" s="10">
        <v>2840</v>
      </c>
      <c r="F14" s="10">
        <v>800</v>
      </c>
      <c r="G14" s="10">
        <f t="shared" si="0"/>
        <v>3640</v>
      </c>
      <c r="H14" s="16">
        <f t="shared" si="1"/>
        <v>0.53</v>
      </c>
      <c r="I14" s="15">
        <f t="shared" si="2"/>
        <v>2E-3</v>
      </c>
      <c r="J14" s="15">
        <f>ROUND(G14/3300-1,2)</f>
        <v>0.1</v>
      </c>
    </row>
    <row r="15" spans="1:10" x14ac:dyDescent="0.25">
      <c r="A15" s="1" t="s">
        <v>16</v>
      </c>
      <c r="B15" s="1" t="s">
        <v>23</v>
      </c>
      <c r="C15" s="10"/>
      <c r="D15" s="10"/>
      <c r="E15" s="10">
        <v>128210</v>
      </c>
      <c r="F15" s="10"/>
      <c r="G15" s="10">
        <f t="shared" si="0"/>
        <v>128210</v>
      </c>
      <c r="H15" s="16">
        <f t="shared" si="1"/>
        <v>18.64</v>
      </c>
      <c r="I15" s="15">
        <f t="shared" si="2"/>
        <v>5.2999999999999999E-2</v>
      </c>
      <c r="J15" s="15">
        <f>ROUND(G15/97120-1,2)</f>
        <v>0.32</v>
      </c>
    </row>
    <row r="16" spans="1:10" x14ac:dyDescent="0.25">
      <c r="A16" s="1" t="s">
        <v>16</v>
      </c>
      <c r="B16" s="1" t="s">
        <v>24</v>
      </c>
      <c r="C16" s="10">
        <v>304710</v>
      </c>
      <c r="D16" s="10"/>
      <c r="E16" s="10">
        <v>29580</v>
      </c>
      <c r="F16" s="10">
        <v>1370</v>
      </c>
      <c r="G16" s="10">
        <f t="shared" si="0"/>
        <v>335660</v>
      </c>
      <c r="H16" s="16">
        <f t="shared" si="1"/>
        <v>48.8</v>
      </c>
      <c r="I16" s="15">
        <f t="shared" si="2"/>
        <v>0.13900000000000001</v>
      </c>
      <c r="J16" s="15">
        <f>ROUND(G16/339390-1,2)</f>
        <v>-0.01</v>
      </c>
    </row>
    <row r="17" spans="1:10" x14ac:dyDescent="0.25">
      <c r="A17" s="1" t="s">
        <v>16</v>
      </c>
      <c r="B17" s="1" t="s">
        <v>25</v>
      </c>
      <c r="C17" s="10"/>
      <c r="D17" s="10"/>
      <c r="E17" s="10">
        <v>12245</v>
      </c>
      <c r="F17" s="10"/>
      <c r="G17" s="10">
        <f t="shared" si="0"/>
        <v>12245</v>
      </c>
      <c r="H17" s="16">
        <f t="shared" si="1"/>
        <v>1.78</v>
      </c>
      <c r="I17" s="15">
        <f t="shared" si="2"/>
        <v>5.0000000000000001E-3</v>
      </c>
      <c r="J17" s="15">
        <f>ROUND(G17/7255-1,2)</f>
        <v>0.69</v>
      </c>
    </row>
    <row r="18" spans="1:10" x14ac:dyDescent="0.25">
      <c r="A18" s="1" t="s">
        <v>16</v>
      </c>
      <c r="B18" s="1" t="s">
        <v>26</v>
      </c>
      <c r="C18" s="10">
        <v>493910</v>
      </c>
      <c r="D18" s="10"/>
      <c r="E18" s="10"/>
      <c r="F18" s="10">
        <v>1270</v>
      </c>
      <c r="G18" s="10">
        <f t="shared" si="0"/>
        <v>495180</v>
      </c>
      <c r="H18" s="16">
        <f t="shared" si="1"/>
        <v>71.989999999999995</v>
      </c>
      <c r="I18" s="15">
        <f t="shared" si="2"/>
        <v>0.20399999999999999</v>
      </c>
      <c r="J18" s="15">
        <f>ROUND(G18/451520-1,2)</f>
        <v>0.1</v>
      </c>
    </row>
    <row r="19" spans="1:10" x14ac:dyDescent="0.25">
      <c r="A19" s="1" t="s">
        <v>16</v>
      </c>
      <c r="B19" s="1" t="s">
        <v>27</v>
      </c>
      <c r="C19" s="10"/>
      <c r="D19" s="10"/>
      <c r="E19" s="10">
        <v>2352</v>
      </c>
      <c r="F19" s="10"/>
      <c r="G19" s="10">
        <f t="shared" si="0"/>
        <v>2352</v>
      </c>
      <c r="H19" s="16">
        <f t="shared" si="1"/>
        <v>0.34</v>
      </c>
      <c r="I19" s="15">
        <f t="shared" si="2"/>
        <v>1E-3</v>
      </c>
      <c r="J19" s="15">
        <f>ROUND(G19/2731-1,2)</f>
        <v>-0.14000000000000001</v>
      </c>
    </row>
    <row r="20" spans="1:10" x14ac:dyDescent="0.25">
      <c r="A20" s="1" t="s">
        <v>16</v>
      </c>
      <c r="B20" s="1" t="s">
        <v>28</v>
      </c>
      <c r="C20" s="10"/>
      <c r="D20" s="10"/>
      <c r="E20" s="10">
        <v>1316</v>
      </c>
      <c r="F20" s="10"/>
      <c r="G20" s="10">
        <f t="shared" si="0"/>
        <v>1316</v>
      </c>
      <c r="H20" s="16">
        <f t="shared" si="1"/>
        <v>0.19</v>
      </c>
      <c r="I20" s="15">
        <f t="shared" si="2"/>
        <v>1E-3</v>
      </c>
      <c r="J20" s="15">
        <f>ROUND(G20/1510-1,2)</f>
        <v>-0.13</v>
      </c>
    </row>
    <row r="21" spans="1:10" x14ac:dyDescent="0.25">
      <c r="A21" s="1" t="s">
        <v>16</v>
      </c>
      <c r="B21" s="1" t="s">
        <v>42</v>
      </c>
      <c r="C21" s="10"/>
      <c r="D21" s="10"/>
      <c r="E21" s="10">
        <v>136</v>
      </c>
      <c r="F21" s="10"/>
      <c r="G21" s="10">
        <f t="shared" si="0"/>
        <v>136</v>
      </c>
      <c r="H21" s="16">
        <f t="shared" si="1"/>
        <v>0.02</v>
      </c>
      <c r="I21" s="15">
        <f t="shared" si="2"/>
        <v>0</v>
      </c>
      <c r="J21" s="15">
        <f>ROUND(G21/345-1,2)</f>
        <v>-0.61</v>
      </c>
    </row>
    <row r="22" spans="1:10" x14ac:dyDescent="0.25">
      <c r="A22" s="1" t="s">
        <v>16</v>
      </c>
      <c r="B22" s="1" t="s">
        <v>29</v>
      </c>
      <c r="C22" s="10"/>
      <c r="D22" s="10"/>
      <c r="E22" s="10">
        <v>4080</v>
      </c>
      <c r="F22" s="10"/>
      <c r="G22" s="10">
        <f t="shared" si="0"/>
        <v>4080</v>
      </c>
      <c r="H22" s="16">
        <f t="shared" si="1"/>
        <v>0.59</v>
      </c>
      <c r="I22" s="15">
        <f t="shared" si="2"/>
        <v>2E-3</v>
      </c>
      <c r="J22" s="15">
        <f>ROUND(G22/8300-1,2)</f>
        <v>-0.51</v>
      </c>
    </row>
    <row r="23" spans="1:10" x14ac:dyDescent="0.25">
      <c r="A23" s="1" t="s">
        <v>16</v>
      </c>
      <c r="B23" s="1" t="s">
        <v>30</v>
      </c>
      <c r="C23" s="10"/>
      <c r="D23" s="10"/>
      <c r="E23" s="10">
        <v>1920</v>
      </c>
      <c r="F23" s="10"/>
      <c r="G23" s="10">
        <f t="shared" si="0"/>
        <v>1920</v>
      </c>
      <c r="H23" s="16">
        <f t="shared" si="1"/>
        <v>0.28000000000000003</v>
      </c>
      <c r="I23" s="15">
        <f t="shared" si="2"/>
        <v>1E-3</v>
      </c>
      <c r="J23" s="15">
        <f>ROUND(G23/2100-1,2)</f>
        <v>-0.09</v>
      </c>
    </row>
    <row r="24" spans="1:10" x14ac:dyDescent="0.25">
      <c r="A24" s="1" t="s">
        <v>16</v>
      </c>
      <c r="B24" s="1" t="s">
        <v>32</v>
      </c>
      <c r="C24" s="10"/>
      <c r="D24" s="10"/>
      <c r="E24" s="10">
        <v>4773</v>
      </c>
      <c r="F24" s="10"/>
      <c r="G24" s="10">
        <f t="shared" si="0"/>
        <v>4773</v>
      </c>
      <c r="H24" s="16">
        <f t="shared" si="1"/>
        <v>0.69</v>
      </c>
      <c r="I24" s="15">
        <f t="shared" si="2"/>
        <v>2E-3</v>
      </c>
      <c r="J24" s="15">
        <f>ROUND(G24/1820-1,2)</f>
        <v>1.62</v>
      </c>
    </row>
    <row r="25" spans="1:10" x14ac:dyDescent="0.25">
      <c r="A25" s="1" t="s">
        <v>16</v>
      </c>
      <c r="B25" s="1" t="s">
        <v>33</v>
      </c>
      <c r="C25" s="10"/>
      <c r="D25" s="10">
        <v>579</v>
      </c>
      <c r="E25" s="10">
        <v>236</v>
      </c>
      <c r="F25" s="10"/>
      <c r="G25" s="10">
        <f t="shared" si="0"/>
        <v>815</v>
      </c>
      <c r="H25" s="16">
        <f t="shared" si="1"/>
        <v>0.12</v>
      </c>
      <c r="I25" s="15">
        <f t="shared" si="2"/>
        <v>0</v>
      </c>
      <c r="J25" s="15">
        <f>ROUND(G25/872-1,2)</f>
        <v>-7.0000000000000007E-2</v>
      </c>
    </row>
    <row r="26" spans="1:10" x14ac:dyDescent="0.25">
      <c r="A26" s="1" t="s">
        <v>16</v>
      </c>
      <c r="B26" s="1" t="s">
        <v>35</v>
      </c>
      <c r="C26" s="10"/>
      <c r="D26" s="10"/>
      <c r="E26" s="10">
        <v>290</v>
      </c>
      <c r="F26" s="10"/>
      <c r="G26" s="10">
        <f t="shared" si="0"/>
        <v>290</v>
      </c>
      <c r="H26" s="16">
        <f t="shared" si="1"/>
        <v>0.04</v>
      </c>
      <c r="I26" s="15">
        <f t="shared" si="2"/>
        <v>0</v>
      </c>
      <c r="J26" s="15">
        <f>ROUND(G26/1062-1,2)</f>
        <v>-0.73</v>
      </c>
    </row>
    <row r="27" spans="1:10" x14ac:dyDescent="0.25">
      <c r="A27" s="1" t="s">
        <v>16</v>
      </c>
      <c r="B27" s="1" t="s">
        <v>37</v>
      </c>
      <c r="C27" s="10"/>
      <c r="D27" s="10"/>
      <c r="E27" s="10">
        <v>6010</v>
      </c>
      <c r="F27" s="10"/>
      <c r="G27" s="10">
        <f t="shared" si="0"/>
        <v>6010</v>
      </c>
      <c r="H27" s="16">
        <f t="shared" si="1"/>
        <v>0.87</v>
      </c>
      <c r="I27" s="15">
        <f t="shared" si="2"/>
        <v>2E-3</v>
      </c>
      <c r="J27" s="15">
        <f>ROUND(G27/8260-1,2)</f>
        <v>-0.27</v>
      </c>
    </row>
    <row r="28" spans="1:10" x14ac:dyDescent="0.25">
      <c r="A28" s="1" t="s">
        <v>16</v>
      </c>
      <c r="B28" s="1" t="s">
        <v>43</v>
      </c>
      <c r="C28" s="10"/>
      <c r="D28" s="10"/>
      <c r="E28" s="10">
        <v>8475</v>
      </c>
      <c r="F28" s="10"/>
      <c r="G28" s="10">
        <f t="shared" si="0"/>
        <v>8475</v>
      </c>
      <c r="H28" s="16">
        <f t="shared" si="1"/>
        <v>1.23</v>
      </c>
      <c r="I28" s="15">
        <f t="shared" si="2"/>
        <v>3.0000000000000001E-3</v>
      </c>
      <c r="J28" s="15">
        <f>ROUND(G28/16248-1,2)</f>
        <v>-0.48</v>
      </c>
    </row>
    <row r="29" spans="1:10" x14ac:dyDescent="0.25">
      <c r="A29" s="1" t="s">
        <v>16</v>
      </c>
      <c r="B29" s="1" t="s">
        <v>38</v>
      </c>
      <c r="C29" s="10"/>
      <c r="D29" s="10"/>
      <c r="E29" s="10">
        <v>148020</v>
      </c>
      <c r="F29" s="10"/>
      <c r="G29" s="10">
        <f t="shared" si="0"/>
        <v>148020</v>
      </c>
      <c r="H29" s="16">
        <f t="shared" si="1"/>
        <v>21.52</v>
      </c>
      <c r="I29" s="15">
        <f t="shared" si="2"/>
        <v>6.0999999999999999E-2</v>
      </c>
      <c r="J29" s="15">
        <f>ROUND(G29/108290-1,2)</f>
        <v>0.37</v>
      </c>
    </row>
    <row r="30" spans="1:10" x14ac:dyDescent="0.25">
      <c r="A30" s="1" t="s">
        <v>16</v>
      </c>
      <c r="B30" s="1" t="s">
        <v>39</v>
      </c>
      <c r="C30" s="10"/>
      <c r="D30" s="10"/>
      <c r="E30" s="10">
        <v>11140</v>
      </c>
      <c r="F30" s="10"/>
      <c r="G30" s="10">
        <f t="shared" si="0"/>
        <v>11140</v>
      </c>
      <c r="H30" s="16">
        <f t="shared" si="1"/>
        <v>1.62</v>
      </c>
      <c r="I30" s="15">
        <f t="shared" si="2"/>
        <v>5.0000000000000001E-3</v>
      </c>
      <c r="J30" s="15">
        <f>ROUND(G30/15140-1,2)</f>
        <v>-0.26</v>
      </c>
    </row>
    <row r="31" spans="1:10" x14ac:dyDescent="0.25">
      <c r="A31" s="1" t="s">
        <v>16</v>
      </c>
      <c r="B31" s="1" t="s">
        <v>40</v>
      </c>
      <c r="C31" s="10"/>
      <c r="D31" s="10"/>
      <c r="E31" s="10">
        <v>40960</v>
      </c>
      <c r="F31" s="10"/>
      <c r="G31" s="10">
        <f t="shared" si="0"/>
        <v>40960</v>
      </c>
      <c r="H31" s="16">
        <f t="shared" si="1"/>
        <v>5.96</v>
      </c>
      <c r="I31" s="15">
        <f t="shared" si="2"/>
        <v>1.7000000000000001E-2</v>
      </c>
      <c r="J31" s="15">
        <f>ROUND(G31/37460-1,2)</f>
        <v>0.09</v>
      </c>
    </row>
    <row r="32" spans="1:10" x14ac:dyDescent="0.25">
      <c r="A32" s="1" t="s">
        <v>16</v>
      </c>
      <c r="B32" s="1" t="s">
        <v>41</v>
      </c>
      <c r="C32" s="10"/>
      <c r="D32" s="10"/>
      <c r="E32" s="10">
        <v>224860</v>
      </c>
      <c r="F32" s="10">
        <v>16700</v>
      </c>
      <c r="G32" s="10">
        <f t="shared" si="0"/>
        <v>241560</v>
      </c>
      <c r="H32" s="16">
        <f t="shared" si="1"/>
        <v>35.119999999999997</v>
      </c>
      <c r="I32" s="15">
        <f t="shared" si="2"/>
        <v>0.1</v>
      </c>
      <c r="J32" s="15">
        <f>ROUND(G32/147060-1,2)</f>
        <v>0.64</v>
      </c>
    </row>
    <row r="33" spans="1:10" x14ac:dyDescent="0.25">
      <c r="A33" s="1" t="s">
        <v>16</v>
      </c>
      <c r="B33" s="1" t="s">
        <v>243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/>
    </row>
    <row r="34" spans="1:10" x14ac:dyDescent="0.25">
      <c r="A34" s="1" t="s">
        <v>16</v>
      </c>
      <c r="B34" s="1" t="s">
        <v>31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ROUND(G34/350-1,2)</f>
        <v>-1</v>
      </c>
    </row>
    <row r="35" spans="1:10" x14ac:dyDescent="0.25">
      <c r="A35" s="1" t="s">
        <v>16</v>
      </c>
      <c r="B35" s="1" t="s">
        <v>36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>
        <f>ROUND(G35/4820-1,2)</f>
        <v>-1</v>
      </c>
    </row>
    <row r="36" spans="1:10" x14ac:dyDescent="0.25">
      <c r="A36" s="1" t="s">
        <v>16</v>
      </c>
      <c r="B36" s="1" t="s">
        <v>127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>
        <f>ROUND(G36/368-1,2)</f>
        <v>-1</v>
      </c>
    </row>
    <row r="37" spans="1:10" x14ac:dyDescent="0.25">
      <c r="A37" s="1" t="s">
        <v>16</v>
      </c>
      <c r="B37" s="1" t="s">
        <v>34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>
        <f>ROUND(G37/550-1,2)</f>
        <v>-1</v>
      </c>
    </row>
    <row r="38" spans="1:10" x14ac:dyDescent="0.25">
      <c r="A38" s="1" t="s">
        <v>16</v>
      </c>
      <c r="B38" s="1" t="s">
        <v>129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1" t="s">
        <v>16</v>
      </c>
      <c r="B39" s="1" t="s">
        <v>145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1" t="s">
        <v>16</v>
      </c>
      <c r="B40" s="1" t="s">
        <v>120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/>
    </row>
    <row r="41" spans="1:10" x14ac:dyDescent="0.25">
      <c r="A41" s="1" t="s">
        <v>44</v>
      </c>
      <c r="B41" s="1" t="s">
        <v>45</v>
      </c>
      <c r="C41" s="10">
        <v>358990</v>
      </c>
      <c r="D41" s="10"/>
      <c r="E41" s="10"/>
      <c r="F41" s="10">
        <v>180</v>
      </c>
      <c r="G41" s="10">
        <f t="shared" si="0"/>
        <v>359170</v>
      </c>
      <c r="H41" s="16">
        <f t="shared" si="1"/>
        <v>52.22</v>
      </c>
      <c r="I41" s="15">
        <f t="shared" si="2"/>
        <v>0.14799999999999999</v>
      </c>
      <c r="J41" s="15">
        <f>ROUND(G41/357840-1,2)</f>
        <v>0</v>
      </c>
    </row>
    <row r="42" spans="1:10" x14ac:dyDescent="0.25">
      <c r="A42" s="1" t="s">
        <v>44</v>
      </c>
      <c r="B42" s="1" t="s">
        <v>47</v>
      </c>
      <c r="C42" s="10"/>
      <c r="D42" s="10"/>
      <c r="E42" s="10"/>
      <c r="F42" s="10">
        <v>38910</v>
      </c>
      <c r="G42" s="10">
        <f t="shared" si="0"/>
        <v>38910</v>
      </c>
      <c r="H42" s="16">
        <f t="shared" si="1"/>
        <v>5.66</v>
      </c>
      <c r="I42" s="15">
        <f t="shared" si="2"/>
        <v>1.6E-2</v>
      </c>
      <c r="J42" s="15">
        <f>ROUND(G42/41605-1,2)</f>
        <v>-0.06</v>
      </c>
    </row>
    <row r="43" spans="1:10" x14ac:dyDescent="0.25">
      <c r="A43" s="1" t="s">
        <v>44</v>
      </c>
      <c r="B43" s="1" t="s">
        <v>46</v>
      </c>
      <c r="C43" s="10"/>
      <c r="D43" s="10"/>
      <c r="E43" s="10">
        <v>103800</v>
      </c>
      <c r="F43" s="10"/>
      <c r="G43" s="10">
        <f t="shared" si="0"/>
        <v>103800</v>
      </c>
      <c r="H43" s="16">
        <f t="shared" si="1"/>
        <v>15.09</v>
      </c>
      <c r="I43" s="15">
        <f t="shared" si="2"/>
        <v>4.2999999999999997E-2</v>
      </c>
      <c r="J43" s="15">
        <f>ROUND(G43/68150-1,2)</f>
        <v>0.52</v>
      </c>
    </row>
    <row r="44" spans="1:10" x14ac:dyDescent="0.25">
      <c r="A44" s="1" t="s">
        <v>48</v>
      </c>
      <c r="B44" s="1" t="s">
        <v>49</v>
      </c>
      <c r="C44" s="10"/>
      <c r="D44" s="10"/>
      <c r="E44" s="10"/>
      <c r="F44" s="10"/>
      <c r="G44" s="10">
        <f t="shared" si="0"/>
        <v>0</v>
      </c>
      <c r="H44" s="16">
        <f t="shared" si="1"/>
        <v>0</v>
      </c>
      <c r="I44" s="15">
        <f t="shared" si="2"/>
        <v>0</v>
      </c>
      <c r="J44" s="15">
        <f>ROUND(G44/400-1,2)</f>
        <v>-1</v>
      </c>
    </row>
    <row r="45" spans="1:10" x14ac:dyDescent="0.25">
      <c r="A45" s="1" t="s">
        <v>48</v>
      </c>
      <c r="B45" s="1" t="s">
        <v>50</v>
      </c>
      <c r="C45" s="10"/>
      <c r="D45" s="10"/>
      <c r="E45" s="10"/>
      <c r="F45" s="10"/>
      <c r="G45" s="10">
        <f t="shared" si="0"/>
        <v>0</v>
      </c>
      <c r="H45" s="16">
        <f t="shared" si="1"/>
        <v>0</v>
      </c>
      <c r="I45" s="15">
        <f t="shared" si="2"/>
        <v>0</v>
      </c>
      <c r="J45" s="15">
        <f>ROUND(G45/975-1,2)</f>
        <v>-1</v>
      </c>
    </row>
    <row r="46" spans="1:10" x14ac:dyDescent="0.25">
      <c r="A46" s="1" t="s">
        <v>48</v>
      </c>
      <c r="B46" s="1" t="s">
        <v>51</v>
      </c>
      <c r="C46" s="10"/>
      <c r="D46" s="10"/>
      <c r="E46" s="10"/>
      <c r="F46" s="10"/>
      <c r="G46" s="10">
        <f t="shared" si="0"/>
        <v>0</v>
      </c>
      <c r="H46" s="16">
        <f t="shared" si="1"/>
        <v>0</v>
      </c>
      <c r="I46" s="15">
        <f t="shared" si="2"/>
        <v>0</v>
      </c>
      <c r="J46" s="15">
        <f>ROUND(G46/36-1,2)</f>
        <v>-1</v>
      </c>
    </row>
    <row r="47" spans="1:10" x14ac:dyDescent="0.25">
      <c r="A47" s="1" t="s">
        <v>48</v>
      </c>
      <c r="B47" s="1" t="s">
        <v>86</v>
      </c>
      <c r="C47" s="10"/>
      <c r="D47" s="10"/>
      <c r="E47" s="10"/>
      <c r="F47" s="10"/>
      <c r="G47" s="10">
        <f t="shared" si="0"/>
        <v>0</v>
      </c>
      <c r="H47" s="16">
        <f t="shared" si="1"/>
        <v>0</v>
      </c>
      <c r="I47" s="15">
        <f t="shared" si="2"/>
        <v>0</v>
      </c>
      <c r="J47" s="15">
        <f>ROUND(G47/70-1,2)</f>
        <v>-1</v>
      </c>
    </row>
    <row r="48" spans="1:10" x14ac:dyDescent="0.25">
      <c r="A48" s="30" t="s">
        <v>12</v>
      </c>
      <c r="B48" s="30"/>
      <c r="C48" s="11">
        <f t="shared" ref="C48:H48" si="3">SUM(C8:C47)</f>
        <v>1625860</v>
      </c>
      <c r="D48" s="11">
        <f t="shared" si="3"/>
        <v>579</v>
      </c>
      <c r="E48" s="11">
        <f t="shared" si="3"/>
        <v>735839</v>
      </c>
      <c r="F48" s="11">
        <f t="shared" si="3"/>
        <v>59890</v>
      </c>
      <c r="G48" s="11">
        <f t="shared" si="3"/>
        <v>2422168</v>
      </c>
      <c r="H48" s="14">
        <f t="shared" si="3"/>
        <v>352.14</v>
      </c>
      <c r="I48" s="17"/>
      <c r="J48" s="17"/>
    </row>
    <row r="49" spans="1:10" x14ac:dyDescent="0.25">
      <c r="A49" s="30" t="s">
        <v>14</v>
      </c>
      <c r="B49" s="30"/>
      <c r="C49" s="12">
        <f>ROUND(C48/G48,2)</f>
        <v>0.67</v>
      </c>
      <c r="D49" s="12">
        <f>ROUND(D48/G48,2)</f>
        <v>0</v>
      </c>
      <c r="E49" s="12">
        <f>ROUND(E48/G48,2)</f>
        <v>0.3</v>
      </c>
      <c r="F49" s="12">
        <f>ROUND(F48/G48,2)</f>
        <v>0.02</v>
      </c>
      <c r="G49" s="13"/>
      <c r="H49" s="13"/>
      <c r="I49" s="17"/>
      <c r="J49" s="17"/>
    </row>
    <row r="50" spans="1:10" x14ac:dyDescent="0.25">
      <c r="A50" s="2" t="s">
        <v>52</v>
      </c>
      <c r="B50" s="2"/>
      <c r="C50" s="13"/>
      <c r="D50" s="13"/>
      <c r="E50" s="13"/>
      <c r="F50" s="13"/>
      <c r="G50" s="13"/>
      <c r="H50" s="13"/>
      <c r="I50" s="17"/>
      <c r="J50" s="17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A54" s="30" t="s">
        <v>53</v>
      </c>
      <c r="B54" s="30"/>
      <c r="C54" s="11" t="s">
        <v>8</v>
      </c>
      <c r="D54" s="11" t="s">
        <v>9</v>
      </c>
      <c r="E54" s="11" t="s">
        <v>10</v>
      </c>
      <c r="F54" s="11" t="s">
        <v>11</v>
      </c>
      <c r="G54" s="11" t="s">
        <v>12</v>
      </c>
      <c r="H54" s="14" t="s">
        <v>13</v>
      </c>
      <c r="I54" s="17"/>
      <c r="J54" s="17"/>
    </row>
    <row r="55" spans="1:10" x14ac:dyDescent="0.25">
      <c r="A55" s="29" t="s">
        <v>54</v>
      </c>
      <c r="B55" s="29"/>
      <c r="C55" s="10">
        <v>1266870</v>
      </c>
      <c r="D55" s="10">
        <v>579</v>
      </c>
      <c r="E55" s="10">
        <v>632039</v>
      </c>
      <c r="F55" s="10">
        <v>20800</v>
      </c>
      <c r="G55" s="10">
        <f>SUM(C55:F55)</f>
        <v>1920288</v>
      </c>
      <c r="H55" s="16">
        <f>ROUND(G55/6878,2)</f>
        <v>279.19</v>
      </c>
      <c r="I55" s="9"/>
      <c r="J55" s="9"/>
    </row>
    <row r="56" spans="1:10" x14ac:dyDescent="0.25">
      <c r="A56" s="29" t="s">
        <v>55</v>
      </c>
      <c r="B56" s="29"/>
      <c r="C56" s="10">
        <v>358990</v>
      </c>
      <c r="D56" s="10">
        <v>0</v>
      </c>
      <c r="E56" s="10">
        <v>103800</v>
      </c>
      <c r="F56" s="10">
        <v>39090</v>
      </c>
      <c r="G56" s="10">
        <f>SUM(C56:F56)</f>
        <v>501880</v>
      </c>
      <c r="H56" s="16">
        <f>ROUND(G56/6878,2)</f>
        <v>72.97</v>
      </c>
      <c r="I56" s="9"/>
      <c r="J56" s="9"/>
    </row>
    <row r="57" spans="1:10" x14ac:dyDescent="0.25">
      <c r="A57" s="29" t="s">
        <v>56</v>
      </c>
      <c r="B57" s="29"/>
      <c r="C57" s="10">
        <v>0</v>
      </c>
      <c r="D57" s="10">
        <v>0</v>
      </c>
      <c r="E57" s="10">
        <v>0</v>
      </c>
      <c r="F57" s="10">
        <v>0</v>
      </c>
      <c r="G57" s="23">
        <f>SUM(C57:F57)</f>
        <v>0</v>
      </c>
      <c r="H57" s="16">
        <f>ROUND(G57/6878,2)</f>
        <v>0</v>
      </c>
      <c r="I57" s="9"/>
      <c r="J57" s="9"/>
    </row>
    <row r="58" spans="1:10" x14ac:dyDescent="0.25">
      <c r="C58" s="8"/>
      <c r="D58" s="8"/>
      <c r="E58" s="8"/>
      <c r="F58" s="8"/>
      <c r="G58" s="21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A62" s="30" t="s">
        <v>57</v>
      </c>
      <c r="B62" s="30"/>
      <c r="C62" s="14" t="s">
        <v>2</v>
      </c>
      <c r="D62" s="14">
        <v>2023</v>
      </c>
      <c r="E62" s="14" t="s">
        <v>59</v>
      </c>
      <c r="F62" s="13"/>
      <c r="G62" s="14" t="s">
        <v>60</v>
      </c>
      <c r="H62" s="14" t="s">
        <v>2</v>
      </c>
      <c r="I62" s="12" t="s">
        <v>61</v>
      </c>
      <c r="J62" s="12" t="s">
        <v>59</v>
      </c>
    </row>
    <row r="63" spans="1:10" x14ac:dyDescent="0.25">
      <c r="A63" s="29" t="s">
        <v>58</v>
      </c>
      <c r="B63" s="29"/>
      <c r="C63" s="15">
        <f>ROUND(0.8368, 4)</f>
        <v>0.83679999999999999</v>
      </c>
      <c r="D63" s="15">
        <f>ROUND(0.8276, 4)</f>
        <v>0.8276</v>
      </c>
      <c r="E63" s="15">
        <f>ROUND(0.777, 4)</f>
        <v>0.77700000000000002</v>
      </c>
      <c r="F63" s="8"/>
      <c r="G63" s="14" t="s">
        <v>62</v>
      </c>
      <c r="H63" s="33" t="s">
        <v>63</v>
      </c>
      <c r="I63" s="31" t="s">
        <v>64</v>
      </c>
      <c r="J63" s="31" t="s">
        <v>65</v>
      </c>
    </row>
    <row r="64" spans="1:10" x14ac:dyDescent="0.25">
      <c r="A64" s="29" t="s">
        <v>66</v>
      </c>
      <c r="B64" s="29"/>
      <c r="C64" s="15">
        <f>ROUND(0.8242, 4)</f>
        <v>0.82420000000000004</v>
      </c>
      <c r="D64" s="15">
        <f>ROUND(0.8145, 4)</f>
        <v>0.8145</v>
      </c>
      <c r="E64" s="15">
        <f>ROUND(0.7608, 4)</f>
        <v>0.76080000000000003</v>
      </c>
      <c r="F64" s="8"/>
      <c r="G64" s="14" t="s">
        <v>67</v>
      </c>
      <c r="H64" s="34"/>
      <c r="I64" s="32"/>
      <c r="J64" s="32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0" t="s">
        <v>68</v>
      </c>
      <c r="B68" s="30"/>
      <c r="C68" s="14" t="s">
        <v>2</v>
      </c>
      <c r="D68" s="14" t="s">
        <v>253</v>
      </c>
      <c r="E68" s="14" t="s">
        <v>70</v>
      </c>
      <c r="F68" s="14" t="s">
        <v>71</v>
      </c>
      <c r="G68" s="14" t="s">
        <v>72</v>
      </c>
      <c r="H68" s="13"/>
      <c r="I68" s="17"/>
      <c r="J68" s="17"/>
    </row>
    <row r="69" spans="1:10" x14ac:dyDescent="0.25">
      <c r="A69" s="29" t="s">
        <v>73</v>
      </c>
      <c r="B69" s="29"/>
      <c r="C69" s="16">
        <v>52.22</v>
      </c>
      <c r="D69" s="16">
        <v>51.92</v>
      </c>
      <c r="E69" s="16">
        <v>93.87</v>
      </c>
      <c r="F69" s="16">
        <v>57.16</v>
      </c>
      <c r="G69" s="16">
        <f>12/12*C69</f>
        <v>52.22</v>
      </c>
      <c r="H69" s="8"/>
      <c r="I69" s="9"/>
      <c r="J69" s="9"/>
    </row>
    <row r="70" spans="1:10" x14ac:dyDescent="0.25">
      <c r="A70" s="29" t="s">
        <v>74</v>
      </c>
      <c r="B70" s="29"/>
      <c r="C70" s="16">
        <v>71.989999999999995</v>
      </c>
      <c r="D70" s="16">
        <v>66.33</v>
      </c>
      <c r="E70" s="16">
        <v>62.84</v>
      </c>
      <c r="F70" s="16">
        <v>65.39</v>
      </c>
      <c r="G70" s="16">
        <f>12/12*C70</f>
        <v>71.989999999999995</v>
      </c>
      <c r="H70" s="8"/>
      <c r="I70" s="9"/>
      <c r="J70" s="9"/>
    </row>
    <row r="71" spans="1:10" x14ac:dyDescent="0.25">
      <c r="A71" s="29" t="s">
        <v>75</v>
      </c>
      <c r="B71" s="29"/>
      <c r="C71" s="16">
        <v>298.93</v>
      </c>
      <c r="D71" s="16">
        <v>258.72000000000003</v>
      </c>
      <c r="E71" s="16">
        <v>295.08999999999997</v>
      </c>
      <c r="F71" s="16">
        <v>289.06</v>
      </c>
      <c r="G71" s="16">
        <f>12/12*C71</f>
        <v>298.93</v>
      </c>
      <c r="H71" s="8"/>
      <c r="I71" s="9"/>
      <c r="J71" s="9"/>
    </row>
    <row r="72" spans="1:10" x14ac:dyDescent="0.25">
      <c r="A72" s="29" t="s">
        <v>76</v>
      </c>
      <c r="B72" s="29"/>
      <c r="C72" s="16">
        <v>72.97</v>
      </c>
      <c r="D72" s="16">
        <v>67.099999999999994</v>
      </c>
      <c r="E72" s="16">
        <v>118.05</v>
      </c>
      <c r="F72" s="16">
        <v>81.41</v>
      </c>
      <c r="G72" s="16">
        <f>12/12*C72</f>
        <v>72.97</v>
      </c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A75" s="28" t="s">
        <v>60</v>
      </c>
      <c r="B75" s="35"/>
      <c r="C75" s="8"/>
      <c r="D75" s="8"/>
      <c r="E75" s="8"/>
      <c r="F75" s="8"/>
      <c r="G75" s="8"/>
      <c r="H75" s="8"/>
      <c r="I75" s="9"/>
      <c r="J75" s="9"/>
    </row>
    <row r="76" spans="1:10" x14ac:dyDescent="0.25">
      <c r="A76" s="3" t="s">
        <v>77</v>
      </c>
      <c r="B76" s="1" t="s">
        <v>254</v>
      </c>
      <c r="C76" s="8"/>
      <c r="D76" s="8"/>
      <c r="E76" s="8"/>
      <c r="F76" s="8"/>
      <c r="G76" s="8"/>
      <c r="H76" s="8"/>
      <c r="I76" s="9"/>
      <c r="J76" s="9"/>
    </row>
    <row r="77" spans="1:10" x14ac:dyDescent="0.25">
      <c r="A77" s="3" t="s">
        <v>70</v>
      </c>
      <c r="B77" s="1" t="s">
        <v>79</v>
      </c>
      <c r="C77" s="8"/>
      <c r="D77" s="8"/>
      <c r="E77" s="8"/>
      <c r="F77" s="8"/>
      <c r="G77" s="8"/>
      <c r="H77" s="8"/>
      <c r="I77" s="9"/>
      <c r="J77" s="9"/>
    </row>
    <row r="78" spans="1:10" x14ac:dyDescent="0.25">
      <c r="A78" s="3" t="s">
        <v>71</v>
      </c>
      <c r="B78" s="1" t="s">
        <v>80</v>
      </c>
      <c r="C78" s="8"/>
      <c r="D78" s="8"/>
      <c r="E78" s="8"/>
      <c r="F78" s="8"/>
      <c r="G78" s="8"/>
      <c r="H78" s="8"/>
      <c r="I78" s="9"/>
      <c r="J78" s="9"/>
    </row>
    <row r="79" spans="1:10" x14ac:dyDescent="0.25">
      <c r="A79" s="3" t="s">
        <v>72</v>
      </c>
      <c r="B79" s="1" t="s">
        <v>81</v>
      </c>
      <c r="C79" s="8"/>
      <c r="D79" s="8"/>
      <c r="E79" s="8"/>
      <c r="F79" s="8"/>
      <c r="G79" s="8"/>
      <c r="H79" s="8"/>
      <c r="I79" s="9"/>
      <c r="J79" s="9"/>
    </row>
  </sheetData>
  <mergeCells count="19">
    <mergeCell ref="A70:B70"/>
    <mergeCell ref="A71:B71"/>
    <mergeCell ref="A72:B72"/>
    <mergeCell ref="A75:B75"/>
    <mergeCell ref="I63:I64"/>
    <mergeCell ref="J63:J64"/>
    <mergeCell ref="A64:B64"/>
    <mergeCell ref="A68:B68"/>
    <mergeCell ref="A69:B69"/>
    <mergeCell ref="A56:B56"/>
    <mergeCell ref="A57:B57"/>
    <mergeCell ref="A62:B62"/>
    <mergeCell ref="A63:B63"/>
    <mergeCell ref="H63:H64"/>
    <mergeCell ref="C7:G7"/>
    <mergeCell ref="A48:B48"/>
    <mergeCell ref="A49:B49"/>
    <mergeCell ref="A54:B54"/>
    <mergeCell ref="A55:B55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2:J79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6.710937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255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3536</v>
      </c>
    </row>
    <row r="7" spans="1:10" x14ac:dyDescent="0.25">
      <c r="C7" s="28" t="s">
        <v>5</v>
      </c>
      <c r="D7" s="29"/>
      <c r="E7" s="29"/>
      <c r="F7" s="29"/>
      <c r="G7" s="29"/>
    </row>
    <row r="8" spans="1:10" x14ac:dyDescent="0.25">
      <c r="A8" s="25" t="s">
        <v>6</v>
      </c>
      <c r="B8" s="25" t="s">
        <v>7</v>
      </c>
      <c r="C8" s="27" t="s">
        <v>8</v>
      </c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</row>
    <row r="9" spans="1:10" x14ac:dyDescent="0.25">
      <c r="A9" s="1" t="s">
        <v>48</v>
      </c>
      <c r="B9" s="1" t="s">
        <v>50</v>
      </c>
      <c r="C9" s="10"/>
      <c r="D9" s="10"/>
      <c r="E9" s="10"/>
      <c r="F9" s="10">
        <v>600</v>
      </c>
      <c r="G9" s="10">
        <f t="shared" ref="G9:G47" si="0">SUM(C9:F9)</f>
        <v>600</v>
      </c>
      <c r="H9" s="16">
        <f t="shared" ref="H9:H47" si="1">ROUND(G9/3536,2)</f>
        <v>0.17</v>
      </c>
      <c r="I9" s="15">
        <f t="shared" ref="I9:I47" si="2">ROUND(G9/$G$48,3)</f>
        <v>0</v>
      </c>
      <c r="J9" s="15">
        <f>ROUND(G9/775-1,2)</f>
        <v>-0.23</v>
      </c>
    </row>
    <row r="10" spans="1:10" x14ac:dyDescent="0.25">
      <c r="A10" s="1" t="s">
        <v>48</v>
      </c>
      <c r="B10" s="1" t="s">
        <v>51</v>
      </c>
      <c r="C10" s="10"/>
      <c r="D10" s="10"/>
      <c r="E10" s="10"/>
      <c r="F10" s="10"/>
      <c r="G10" s="10">
        <f t="shared" si="0"/>
        <v>0</v>
      </c>
      <c r="H10" s="16">
        <f t="shared" si="1"/>
        <v>0</v>
      </c>
      <c r="I10" s="15">
        <f t="shared" si="2"/>
        <v>0</v>
      </c>
      <c r="J10" s="15">
        <f>ROUND(G10/18-1,2)</f>
        <v>-1</v>
      </c>
    </row>
    <row r="11" spans="1:10" x14ac:dyDescent="0.25">
      <c r="A11" s="1" t="s">
        <v>48</v>
      </c>
      <c r="B11" s="1" t="s">
        <v>49</v>
      </c>
      <c r="C11" s="10"/>
      <c r="D11" s="10"/>
      <c r="E11" s="10"/>
      <c r="F11" s="10"/>
      <c r="G11" s="10">
        <f t="shared" si="0"/>
        <v>0</v>
      </c>
      <c r="H11" s="16">
        <f t="shared" si="1"/>
        <v>0</v>
      </c>
      <c r="I11" s="15">
        <f t="shared" si="2"/>
        <v>0</v>
      </c>
      <c r="J11" s="15">
        <f>ROUND(G11/200-1,2)</f>
        <v>-1</v>
      </c>
    </row>
    <row r="12" spans="1:10" x14ac:dyDescent="0.25">
      <c r="A12" s="1" t="s">
        <v>48</v>
      </c>
      <c r="B12" s="1" t="s">
        <v>86</v>
      </c>
      <c r="C12" s="10"/>
      <c r="D12" s="10"/>
      <c r="E12" s="10"/>
      <c r="F12" s="10"/>
      <c r="G12" s="10">
        <f t="shared" si="0"/>
        <v>0</v>
      </c>
      <c r="H12" s="16">
        <f t="shared" si="1"/>
        <v>0</v>
      </c>
      <c r="I12" s="15">
        <f t="shared" si="2"/>
        <v>0</v>
      </c>
      <c r="J12" s="15"/>
    </row>
    <row r="13" spans="1:10" x14ac:dyDescent="0.25">
      <c r="A13" s="1" t="s">
        <v>48</v>
      </c>
      <c r="B13" s="1" t="s">
        <v>94</v>
      </c>
      <c r="C13" s="10"/>
      <c r="D13" s="10"/>
      <c r="E13" s="10"/>
      <c r="F13" s="10"/>
      <c r="G13" s="10">
        <f t="shared" si="0"/>
        <v>0</v>
      </c>
      <c r="H13" s="16">
        <f t="shared" si="1"/>
        <v>0</v>
      </c>
      <c r="I13" s="15">
        <f t="shared" si="2"/>
        <v>0</v>
      </c>
      <c r="J13" s="15"/>
    </row>
    <row r="14" spans="1:10" x14ac:dyDescent="0.25">
      <c r="A14" s="1" t="s">
        <v>16</v>
      </c>
      <c r="B14" s="1" t="s">
        <v>17</v>
      </c>
      <c r="C14" s="10"/>
      <c r="D14" s="10"/>
      <c r="E14" s="10">
        <v>79</v>
      </c>
      <c r="F14" s="10"/>
      <c r="G14" s="10">
        <f t="shared" si="0"/>
        <v>79</v>
      </c>
      <c r="H14" s="16">
        <f t="shared" si="1"/>
        <v>0.02</v>
      </c>
      <c r="I14" s="15">
        <f t="shared" si="2"/>
        <v>0</v>
      </c>
      <c r="J14" s="15">
        <f>ROUND(G14/122-1,2)</f>
        <v>-0.35</v>
      </c>
    </row>
    <row r="15" spans="1:10" x14ac:dyDescent="0.25">
      <c r="A15" s="1" t="s">
        <v>16</v>
      </c>
      <c r="B15" s="1" t="s">
        <v>19</v>
      </c>
      <c r="C15" s="10">
        <v>123550</v>
      </c>
      <c r="D15" s="10"/>
      <c r="E15" s="10">
        <v>1350</v>
      </c>
      <c r="F15" s="10">
        <v>20</v>
      </c>
      <c r="G15" s="10">
        <f t="shared" si="0"/>
        <v>124920</v>
      </c>
      <c r="H15" s="16">
        <f t="shared" si="1"/>
        <v>35.33</v>
      </c>
      <c r="I15" s="15">
        <f t="shared" si="2"/>
        <v>8.5000000000000006E-2</v>
      </c>
      <c r="J15" s="15">
        <f>ROUND(G15/127450-1,2)</f>
        <v>-0.02</v>
      </c>
    </row>
    <row r="16" spans="1:10" x14ac:dyDescent="0.25">
      <c r="A16" s="1" t="s">
        <v>16</v>
      </c>
      <c r="B16" s="1" t="s">
        <v>20</v>
      </c>
      <c r="C16" s="10">
        <v>162280</v>
      </c>
      <c r="D16" s="10"/>
      <c r="E16" s="10"/>
      <c r="F16" s="10"/>
      <c r="G16" s="10">
        <f t="shared" si="0"/>
        <v>162280</v>
      </c>
      <c r="H16" s="16">
        <f t="shared" si="1"/>
        <v>45.89</v>
      </c>
      <c r="I16" s="15">
        <f t="shared" si="2"/>
        <v>0.11</v>
      </c>
      <c r="J16" s="15">
        <f>ROUND(G16/160360-1,2)</f>
        <v>0.01</v>
      </c>
    </row>
    <row r="17" spans="1:10" x14ac:dyDescent="0.25">
      <c r="A17" s="1" t="s">
        <v>16</v>
      </c>
      <c r="B17" s="1" t="s">
        <v>95</v>
      </c>
      <c r="C17" s="10"/>
      <c r="D17" s="10"/>
      <c r="E17" s="10">
        <v>247</v>
      </c>
      <c r="F17" s="10"/>
      <c r="G17" s="10">
        <f t="shared" si="0"/>
        <v>247</v>
      </c>
      <c r="H17" s="16">
        <f t="shared" si="1"/>
        <v>7.0000000000000007E-2</v>
      </c>
      <c r="I17" s="15">
        <f t="shared" si="2"/>
        <v>0</v>
      </c>
      <c r="J17" s="15">
        <f>ROUND(G17/223-1,2)</f>
        <v>0.11</v>
      </c>
    </row>
    <row r="18" spans="1:10" x14ac:dyDescent="0.25">
      <c r="A18" s="1" t="s">
        <v>16</v>
      </c>
      <c r="B18" s="1" t="s">
        <v>21</v>
      </c>
      <c r="C18" s="10"/>
      <c r="D18" s="10"/>
      <c r="E18" s="10">
        <v>393</v>
      </c>
      <c r="F18" s="10"/>
      <c r="G18" s="10">
        <f t="shared" si="0"/>
        <v>393</v>
      </c>
      <c r="H18" s="16">
        <f t="shared" si="1"/>
        <v>0.11</v>
      </c>
      <c r="I18" s="15">
        <f t="shared" si="2"/>
        <v>0</v>
      </c>
      <c r="J18" s="15">
        <f>ROUND(G18/319-1,2)</f>
        <v>0.23</v>
      </c>
    </row>
    <row r="19" spans="1:10" x14ac:dyDescent="0.25">
      <c r="A19" s="1" t="s">
        <v>16</v>
      </c>
      <c r="B19" s="1" t="s">
        <v>22</v>
      </c>
      <c r="C19" s="10"/>
      <c r="D19" s="10"/>
      <c r="E19" s="10">
        <v>1900</v>
      </c>
      <c r="F19" s="10"/>
      <c r="G19" s="10">
        <f t="shared" si="0"/>
        <v>1900</v>
      </c>
      <c r="H19" s="16">
        <f t="shared" si="1"/>
        <v>0.54</v>
      </c>
      <c r="I19" s="15">
        <f t="shared" si="2"/>
        <v>1E-3</v>
      </c>
      <c r="J19" s="15">
        <f>ROUND(G19/700-1,2)</f>
        <v>1.71</v>
      </c>
    </row>
    <row r="20" spans="1:10" x14ac:dyDescent="0.25">
      <c r="A20" s="1" t="s">
        <v>16</v>
      </c>
      <c r="B20" s="1" t="s">
        <v>96</v>
      </c>
      <c r="C20" s="10"/>
      <c r="D20" s="10"/>
      <c r="E20" s="10"/>
      <c r="F20" s="10">
        <v>69</v>
      </c>
      <c r="G20" s="10">
        <f t="shared" si="0"/>
        <v>69</v>
      </c>
      <c r="H20" s="16">
        <f t="shared" si="1"/>
        <v>0.02</v>
      </c>
      <c r="I20" s="15">
        <f t="shared" si="2"/>
        <v>0</v>
      </c>
      <c r="J20" s="15"/>
    </row>
    <row r="21" spans="1:10" x14ac:dyDescent="0.25">
      <c r="A21" s="1" t="s">
        <v>16</v>
      </c>
      <c r="B21" s="1" t="s">
        <v>97</v>
      </c>
      <c r="C21" s="10"/>
      <c r="D21" s="10"/>
      <c r="E21" s="10"/>
      <c r="F21" s="10">
        <v>251</v>
      </c>
      <c r="G21" s="10">
        <f t="shared" si="0"/>
        <v>251</v>
      </c>
      <c r="H21" s="16">
        <f t="shared" si="1"/>
        <v>7.0000000000000007E-2</v>
      </c>
      <c r="I21" s="15">
        <f t="shared" si="2"/>
        <v>0</v>
      </c>
      <c r="J21" s="15"/>
    </row>
    <row r="22" spans="1:10" x14ac:dyDescent="0.25">
      <c r="A22" s="1" t="s">
        <v>16</v>
      </c>
      <c r="B22" s="1" t="s">
        <v>98</v>
      </c>
      <c r="C22" s="10"/>
      <c r="D22" s="10"/>
      <c r="E22" s="10"/>
      <c r="F22" s="10">
        <v>245</v>
      </c>
      <c r="G22" s="10">
        <f t="shared" si="0"/>
        <v>245</v>
      </c>
      <c r="H22" s="16">
        <f t="shared" si="1"/>
        <v>7.0000000000000007E-2</v>
      </c>
      <c r="I22" s="15">
        <f t="shared" si="2"/>
        <v>0</v>
      </c>
      <c r="J22" s="15">
        <f>ROUND(G22/90-1,2)</f>
        <v>1.72</v>
      </c>
    </row>
    <row r="23" spans="1:10" x14ac:dyDescent="0.25">
      <c r="A23" s="1" t="s">
        <v>16</v>
      </c>
      <c r="B23" s="1" t="s">
        <v>23</v>
      </c>
      <c r="C23" s="10"/>
      <c r="D23" s="10"/>
      <c r="E23" s="10">
        <v>51820</v>
      </c>
      <c r="F23" s="10"/>
      <c r="G23" s="10">
        <f t="shared" si="0"/>
        <v>51820</v>
      </c>
      <c r="H23" s="16">
        <f t="shared" si="1"/>
        <v>14.65</v>
      </c>
      <c r="I23" s="15">
        <f t="shared" si="2"/>
        <v>3.5000000000000003E-2</v>
      </c>
      <c r="J23" s="15">
        <f>ROUND(G23/32660-1,2)</f>
        <v>0.59</v>
      </c>
    </row>
    <row r="24" spans="1:10" x14ac:dyDescent="0.25">
      <c r="A24" s="1" t="s">
        <v>16</v>
      </c>
      <c r="B24" s="1" t="s">
        <v>24</v>
      </c>
      <c r="C24" s="10">
        <v>242840</v>
      </c>
      <c r="D24" s="10"/>
      <c r="E24" s="10">
        <v>8760</v>
      </c>
      <c r="F24" s="10">
        <v>2560</v>
      </c>
      <c r="G24" s="10">
        <f t="shared" si="0"/>
        <v>254160</v>
      </c>
      <c r="H24" s="16">
        <f t="shared" si="1"/>
        <v>71.88</v>
      </c>
      <c r="I24" s="15">
        <f t="shared" si="2"/>
        <v>0.17299999999999999</v>
      </c>
      <c r="J24" s="15">
        <f>ROUND(G24/256760-1,2)</f>
        <v>-0.01</v>
      </c>
    </row>
    <row r="25" spans="1:10" x14ac:dyDescent="0.25">
      <c r="A25" s="1" t="s">
        <v>16</v>
      </c>
      <c r="B25" s="1" t="s">
        <v>25</v>
      </c>
      <c r="C25" s="10"/>
      <c r="D25" s="10"/>
      <c r="E25" s="10">
        <v>3645</v>
      </c>
      <c r="F25" s="10"/>
      <c r="G25" s="10">
        <f t="shared" si="0"/>
        <v>3645</v>
      </c>
      <c r="H25" s="16">
        <f t="shared" si="1"/>
        <v>1.03</v>
      </c>
      <c r="I25" s="15">
        <f t="shared" si="2"/>
        <v>2E-3</v>
      </c>
      <c r="J25" s="15">
        <f>ROUND(G25/2650-1,2)</f>
        <v>0.38</v>
      </c>
    </row>
    <row r="26" spans="1:10" x14ac:dyDescent="0.25">
      <c r="A26" s="1" t="s">
        <v>16</v>
      </c>
      <c r="B26" s="1" t="s">
        <v>26</v>
      </c>
      <c r="C26" s="10">
        <v>265815</v>
      </c>
      <c r="D26" s="10"/>
      <c r="E26" s="10"/>
      <c r="F26" s="10">
        <v>805</v>
      </c>
      <c r="G26" s="10">
        <f t="shared" si="0"/>
        <v>266620</v>
      </c>
      <c r="H26" s="16">
        <f t="shared" si="1"/>
        <v>75.400000000000006</v>
      </c>
      <c r="I26" s="15">
        <f t="shared" si="2"/>
        <v>0.18099999999999999</v>
      </c>
      <c r="J26" s="15">
        <f>ROUND(G26/265700-1,2)</f>
        <v>0</v>
      </c>
    </row>
    <row r="27" spans="1:10" x14ac:dyDescent="0.25">
      <c r="A27" s="1" t="s">
        <v>16</v>
      </c>
      <c r="B27" s="1" t="s">
        <v>27</v>
      </c>
      <c r="C27" s="10"/>
      <c r="D27" s="10"/>
      <c r="E27" s="10">
        <v>1005</v>
      </c>
      <c r="F27" s="10"/>
      <c r="G27" s="10">
        <f t="shared" si="0"/>
        <v>1005</v>
      </c>
      <c r="H27" s="16">
        <f t="shared" si="1"/>
        <v>0.28000000000000003</v>
      </c>
      <c r="I27" s="15">
        <f t="shared" si="2"/>
        <v>1E-3</v>
      </c>
      <c r="J27" s="15">
        <f>ROUND(G27/930-1,2)</f>
        <v>0.08</v>
      </c>
    </row>
    <row r="28" spans="1:10" x14ac:dyDescent="0.25">
      <c r="A28" s="1" t="s">
        <v>16</v>
      </c>
      <c r="B28" s="1" t="s">
        <v>28</v>
      </c>
      <c r="C28" s="10"/>
      <c r="D28" s="10"/>
      <c r="E28" s="10">
        <v>440</v>
      </c>
      <c r="F28" s="10"/>
      <c r="G28" s="10">
        <f t="shared" si="0"/>
        <v>440</v>
      </c>
      <c r="H28" s="16">
        <f t="shared" si="1"/>
        <v>0.12</v>
      </c>
      <c r="I28" s="15">
        <f t="shared" si="2"/>
        <v>0</v>
      </c>
      <c r="J28" s="15">
        <f>ROUND(G28/417-1,2)</f>
        <v>0.06</v>
      </c>
    </row>
    <row r="29" spans="1:10" x14ac:dyDescent="0.25">
      <c r="A29" s="1" t="s">
        <v>16</v>
      </c>
      <c r="B29" s="1" t="s">
        <v>42</v>
      </c>
      <c r="C29" s="10"/>
      <c r="D29" s="10"/>
      <c r="E29" s="10">
        <v>198</v>
      </c>
      <c r="F29" s="10"/>
      <c r="G29" s="10">
        <f t="shared" si="0"/>
        <v>198</v>
      </c>
      <c r="H29" s="16">
        <f t="shared" si="1"/>
        <v>0.06</v>
      </c>
      <c r="I29" s="15">
        <f t="shared" si="2"/>
        <v>0</v>
      </c>
      <c r="J29" s="15"/>
    </row>
    <row r="30" spans="1:10" x14ac:dyDescent="0.25">
      <c r="A30" s="1" t="s">
        <v>16</v>
      </c>
      <c r="B30" s="1" t="s">
        <v>29</v>
      </c>
      <c r="C30" s="10"/>
      <c r="D30" s="10"/>
      <c r="E30" s="10">
        <v>1290</v>
      </c>
      <c r="F30" s="10"/>
      <c r="G30" s="10">
        <f t="shared" si="0"/>
        <v>1290</v>
      </c>
      <c r="H30" s="16">
        <f t="shared" si="1"/>
        <v>0.36</v>
      </c>
      <c r="I30" s="15">
        <f t="shared" si="2"/>
        <v>1E-3</v>
      </c>
      <c r="J30" s="15">
        <f>ROUND(G30/2460-1,2)</f>
        <v>-0.48</v>
      </c>
    </row>
    <row r="31" spans="1:10" x14ac:dyDescent="0.25">
      <c r="A31" s="1" t="s">
        <v>16</v>
      </c>
      <c r="B31" s="1" t="s">
        <v>30</v>
      </c>
      <c r="C31" s="10"/>
      <c r="D31" s="10"/>
      <c r="E31" s="10">
        <v>1200</v>
      </c>
      <c r="F31" s="10"/>
      <c r="G31" s="10">
        <f t="shared" si="0"/>
        <v>1200</v>
      </c>
      <c r="H31" s="16">
        <f t="shared" si="1"/>
        <v>0.34</v>
      </c>
      <c r="I31" s="15">
        <f t="shared" si="2"/>
        <v>1E-3</v>
      </c>
      <c r="J31" s="15">
        <f>ROUND(G31/1060-1,2)</f>
        <v>0.13</v>
      </c>
    </row>
    <row r="32" spans="1:10" x14ac:dyDescent="0.25">
      <c r="A32" s="1" t="s">
        <v>16</v>
      </c>
      <c r="B32" s="1" t="s">
        <v>31</v>
      </c>
      <c r="C32" s="10"/>
      <c r="D32" s="10"/>
      <c r="E32" s="10">
        <v>580</v>
      </c>
      <c r="F32" s="10"/>
      <c r="G32" s="10">
        <f t="shared" si="0"/>
        <v>580</v>
      </c>
      <c r="H32" s="16">
        <f t="shared" si="1"/>
        <v>0.16</v>
      </c>
      <c r="I32" s="15">
        <f t="shared" si="2"/>
        <v>0</v>
      </c>
      <c r="J32" s="15">
        <f>ROUND(G32/450-1,2)</f>
        <v>0.28999999999999998</v>
      </c>
    </row>
    <row r="33" spans="1:10" x14ac:dyDescent="0.25">
      <c r="A33" s="1" t="s">
        <v>16</v>
      </c>
      <c r="B33" s="1" t="s">
        <v>32</v>
      </c>
      <c r="C33" s="10"/>
      <c r="D33" s="10"/>
      <c r="E33" s="10">
        <v>2100</v>
      </c>
      <c r="F33" s="10"/>
      <c r="G33" s="10">
        <f t="shared" si="0"/>
        <v>2100</v>
      </c>
      <c r="H33" s="16">
        <f t="shared" si="1"/>
        <v>0.59</v>
      </c>
      <c r="I33" s="15">
        <f t="shared" si="2"/>
        <v>1E-3</v>
      </c>
      <c r="J33" s="15">
        <f>ROUND(G33/1295-1,2)</f>
        <v>0.62</v>
      </c>
    </row>
    <row r="34" spans="1:10" x14ac:dyDescent="0.25">
      <c r="A34" s="1" t="s">
        <v>16</v>
      </c>
      <c r="B34" s="1" t="s">
        <v>33</v>
      </c>
      <c r="C34" s="10"/>
      <c r="D34" s="10">
        <v>343</v>
      </c>
      <c r="E34" s="10">
        <v>91</v>
      </c>
      <c r="F34" s="10"/>
      <c r="G34" s="10">
        <f t="shared" si="0"/>
        <v>434</v>
      </c>
      <c r="H34" s="16">
        <f t="shared" si="1"/>
        <v>0.12</v>
      </c>
      <c r="I34" s="15">
        <f t="shared" si="2"/>
        <v>0</v>
      </c>
      <c r="J34" s="15">
        <f>ROUND(G34/571-1,2)</f>
        <v>-0.24</v>
      </c>
    </row>
    <row r="35" spans="1:10" x14ac:dyDescent="0.25">
      <c r="A35" s="1" t="s">
        <v>16</v>
      </c>
      <c r="B35" s="1" t="s">
        <v>35</v>
      </c>
      <c r="C35" s="10"/>
      <c r="D35" s="10">
        <v>300</v>
      </c>
      <c r="E35" s="10"/>
      <c r="F35" s="10"/>
      <c r="G35" s="10">
        <f t="shared" si="0"/>
        <v>300</v>
      </c>
      <c r="H35" s="16">
        <f t="shared" si="1"/>
        <v>0.08</v>
      </c>
      <c r="I35" s="15">
        <f t="shared" si="2"/>
        <v>0</v>
      </c>
      <c r="J35" s="15">
        <f>ROUND(G35/1310-1,2)</f>
        <v>-0.77</v>
      </c>
    </row>
    <row r="36" spans="1:10" x14ac:dyDescent="0.25">
      <c r="A36" s="1" t="s">
        <v>16</v>
      </c>
      <c r="B36" s="1" t="s">
        <v>37</v>
      </c>
      <c r="C36" s="10"/>
      <c r="D36" s="10"/>
      <c r="E36" s="10">
        <v>2150</v>
      </c>
      <c r="F36" s="10"/>
      <c r="G36" s="10">
        <f t="shared" si="0"/>
        <v>2150</v>
      </c>
      <c r="H36" s="16">
        <f t="shared" si="1"/>
        <v>0.61</v>
      </c>
      <c r="I36" s="15">
        <f t="shared" si="2"/>
        <v>1E-3</v>
      </c>
      <c r="J36" s="15">
        <f>ROUND(G36/5330-1,2)</f>
        <v>-0.6</v>
      </c>
    </row>
    <row r="37" spans="1:10" x14ac:dyDescent="0.25">
      <c r="A37" s="1" t="s">
        <v>16</v>
      </c>
      <c r="B37" s="1" t="s">
        <v>38</v>
      </c>
      <c r="C37" s="10"/>
      <c r="D37" s="10"/>
      <c r="E37" s="10">
        <v>61620</v>
      </c>
      <c r="F37" s="10"/>
      <c r="G37" s="10">
        <f t="shared" si="0"/>
        <v>61620</v>
      </c>
      <c r="H37" s="16">
        <f t="shared" si="1"/>
        <v>17.43</v>
      </c>
      <c r="I37" s="15">
        <f t="shared" si="2"/>
        <v>4.2000000000000003E-2</v>
      </c>
      <c r="J37" s="15">
        <f>ROUND(G37/52865-1,2)</f>
        <v>0.17</v>
      </c>
    </row>
    <row r="38" spans="1:10" x14ac:dyDescent="0.25">
      <c r="A38" s="1" t="s">
        <v>16</v>
      </c>
      <c r="B38" s="1" t="s">
        <v>39</v>
      </c>
      <c r="C38" s="10"/>
      <c r="D38" s="10"/>
      <c r="E38" s="10">
        <v>4825</v>
      </c>
      <c r="F38" s="10"/>
      <c r="G38" s="10">
        <f t="shared" si="0"/>
        <v>4825</v>
      </c>
      <c r="H38" s="16">
        <f t="shared" si="1"/>
        <v>1.36</v>
      </c>
      <c r="I38" s="15">
        <f t="shared" si="2"/>
        <v>3.0000000000000001E-3</v>
      </c>
      <c r="J38" s="15">
        <f>ROUND(G38/2775-1,2)</f>
        <v>0.74</v>
      </c>
    </row>
    <row r="39" spans="1:10" x14ac:dyDescent="0.25">
      <c r="A39" s="1" t="s">
        <v>16</v>
      </c>
      <c r="B39" s="1" t="s">
        <v>40</v>
      </c>
      <c r="C39" s="10"/>
      <c r="D39" s="10"/>
      <c r="E39" s="10">
        <v>15520</v>
      </c>
      <c r="F39" s="10"/>
      <c r="G39" s="10">
        <f t="shared" si="0"/>
        <v>15520</v>
      </c>
      <c r="H39" s="16">
        <f t="shared" si="1"/>
        <v>4.3899999999999997</v>
      </c>
      <c r="I39" s="15">
        <f t="shared" si="2"/>
        <v>1.0999999999999999E-2</v>
      </c>
      <c r="J39" s="15">
        <f>ROUND(G39/16170-1,2)</f>
        <v>-0.04</v>
      </c>
    </row>
    <row r="40" spans="1:10" x14ac:dyDescent="0.25">
      <c r="A40" s="1" t="s">
        <v>16</v>
      </c>
      <c r="B40" s="1" t="s">
        <v>41</v>
      </c>
      <c r="C40" s="10"/>
      <c r="D40" s="10"/>
      <c r="E40" s="10">
        <v>132500</v>
      </c>
      <c r="F40" s="10">
        <v>4960</v>
      </c>
      <c r="G40" s="10">
        <f t="shared" si="0"/>
        <v>137460</v>
      </c>
      <c r="H40" s="16">
        <f t="shared" si="1"/>
        <v>38.869999999999997</v>
      </c>
      <c r="I40" s="15">
        <f t="shared" si="2"/>
        <v>9.2999999999999999E-2</v>
      </c>
      <c r="J40" s="15">
        <f>ROUND(G40/95010-1,2)</f>
        <v>0.45</v>
      </c>
    </row>
    <row r="41" spans="1:10" x14ac:dyDescent="0.25">
      <c r="A41" s="1" t="s">
        <v>16</v>
      </c>
      <c r="B41" s="1" t="s">
        <v>34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>
        <f>ROUND(G41/910-1,2)</f>
        <v>-1</v>
      </c>
    </row>
    <row r="42" spans="1:10" x14ac:dyDescent="0.25">
      <c r="A42" s="1" t="s">
        <v>16</v>
      </c>
      <c r="B42" s="1" t="s">
        <v>36</v>
      </c>
      <c r="C42" s="10"/>
      <c r="D42" s="10"/>
      <c r="E42" s="10"/>
      <c r="F42" s="10"/>
      <c r="G42" s="10">
        <f t="shared" si="0"/>
        <v>0</v>
      </c>
      <c r="H42" s="16">
        <f t="shared" si="1"/>
        <v>0</v>
      </c>
      <c r="I42" s="15">
        <f t="shared" si="2"/>
        <v>0</v>
      </c>
      <c r="J42" s="15">
        <f>ROUND(G42/2710-1,2)</f>
        <v>-1</v>
      </c>
    </row>
    <row r="43" spans="1:10" x14ac:dyDescent="0.25">
      <c r="A43" s="1" t="s">
        <v>16</v>
      </c>
      <c r="B43" s="1" t="s">
        <v>43</v>
      </c>
      <c r="C43" s="10"/>
      <c r="D43" s="10"/>
      <c r="E43" s="10"/>
      <c r="F43" s="10"/>
      <c r="G43" s="10">
        <f t="shared" si="0"/>
        <v>0</v>
      </c>
      <c r="H43" s="16">
        <f t="shared" si="1"/>
        <v>0</v>
      </c>
      <c r="I43" s="15">
        <f t="shared" si="2"/>
        <v>0</v>
      </c>
      <c r="J43" s="15">
        <f>ROUND(G43/9000-1,2)</f>
        <v>-1</v>
      </c>
    </row>
    <row r="44" spans="1:10" x14ac:dyDescent="0.25">
      <c r="A44" s="1" t="s">
        <v>16</v>
      </c>
      <c r="B44" s="1" t="s">
        <v>145</v>
      </c>
      <c r="C44" s="10"/>
      <c r="D44" s="10"/>
      <c r="E44" s="10"/>
      <c r="F44" s="10"/>
      <c r="G44" s="10">
        <f t="shared" si="0"/>
        <v>0</v>
      </c>
      <c r="H44" s="16">
        <f t="shared" si="1"/>
        <v>0</v>
      </c>
      <c r="I44" s="15">
        <f t="shared" si="2"/>
        <v>0</v>
      </c>
      <c r="J44" s="15"/>
    </row>
    <row r="45" spans="1:10" x14ac:dyDescent="0.25">
      <c r="A45" s="1" t="s">
        <v>44</v>
      </c>
      <c r="B45" s="1" t="s">
        <v>45</v>
      </c>
      <c r="C45" s="10">
        <v>299130</v>
      </c>
      <c r="D45" s="10"/>
      <c r="E45" s="10"/>
      <c r="F45" s="10">
        <v>520</v>
      </c>
      <c r="G45" s="10">
        <f t="shared" si="0"/>
        <v>299650</v>
      </c>
      <c r="H45" s="16">
        <f t="shared" si="1"/>
        <v>84.74</v>
      </c>
      <c r="I45" s="15">
        <f t="shared" si="2"/>
        <v>0.20399999999999999</v>
      </c>
      <c r="J45" s="15">
        <f>ROUND(G45/299070-1,2)</f>
        <v>0</v>
      </c>
    </row>
    <row r="46" spans="1:10" x14ac:dyDescent="0.25">
      <c r="A46" s="1" t="s">
        <v>44</v>
      </c>
      <c r="B46" s="1" t="s">
        <v>47</v>
      </c>
      <c r="C46" s="10"/>
      <c r="D46" s="10"/>
      <c r="E46" s="10"/>
      <c r="F46" s="10">
        <v>28420</v>
      </c>
      <c r="G46" s="10">
        <f t="shared" si="0"/>
        <v>28420</v>
      </c>
      <c r="H46" s="16">
        <f t="shared" si="1"/>
        <v>8.0399999999999991</v>
      </c>
      <c r="I46" s="15">
        <f t="shared" si="2"/>
        <v>1.9E-2</v>
      </c>
      <c r="J46" s="15">
        <f>ROUND(G46/36180-1,2)</f>
        <v>-0.21</v>
      </c>
    </row>
    <row r="47" spans="1:10" x14ac:dyDescent="0.25">
      <c r="A47" s="1" t="s">
        <v>44</v>
      </c>
      <c r="B47" s="1" t="s">
        <v>46</v>
      </c>
      <c r="C47" s="10"/>
      <c r="D47" s="10"/>
      <c r="E47" s="10">
        <v>46740</v>
      </c>
      <c r="F47" s="10"/>
      <c r="G47" s="10">
        <f t="shared" si="0"/>
        <v>46740</v>
      </c>
      <c r="H47" s="16">
        <f t="shared" si="1"/>
        <v>13.22</v>
      </c>
      <c r="I47" s="15">
        <f t="shared" si="2"/>
        <v>3.2000000000000001E-2</v>
      </c>
      <c r="J47" s="15">
        <f>ROUND(G47/41360-1,2)</f>
        <v>0.13</v>
      </c>
    </row>
    <row r="48" spans="1:10" x14ac:dyDescent="0.25">
      <c r="A48" s="30" t="s">
        <v>12</v>
      </c>
      <c r="B48" s="30"/>
      <c r="C48" s="11">
        <f t="shared" ref="C48:H48" si="3">SUM(C8:C47)</f>
        <v>1093615</v>
      </c>
      <c r="D48" s="11">
        <f t="shared" si="3"/>
        <v>643</v>
      </c>
      <c r="E48" s="11">
        <f t="shared" si="3"/>
        <v>338453</v>
      </c>
      <c r="F48" s="11">
        <f t="shared" si="3"/>
        <v>38450</v>
      </c>
      <c r="G48" s="11">
        <f t="shared" si="3"/>
        <v>1471161</v>
      </c>
      <c r="H48" s="14">
        <f t="shared" si="3"/>
        <v>416.0200000000001</v>
      </c>
      <c r="I48" s="17"/>
      <c r="J48" s="17"/>
    </row>
    <row r="49" spans="1:10" x14ac:dyDescent="0.25">
      <c r="A49" s="30" t="s">
        <v>14</v>
      </c>
      <c r="B49" s="30"/>
      <c r="C49" s="12">
        <f>ROUND(C48/G48,2)</f>
        <v>0.74</v>
      </c>
      <c r="D49" s="12">
        <f>ROUND(D48/G48,2)</f>
        <v>0</v>
      </c>
      <c r="E49" s="12">
        <f>ROUND(E48/G48,2)</f>
        <v>0.23</v>
      </c>
      <c r="F49" s="12">
        <f>ROUND(F48/G48,2)</f>
        <v>0.03</v>
      </c>
      <c r="G49" s="13"/>
      <c r="H49" s="13"/>
      <c r="I49" s="17"/>
      <c r="J49" s="17"/>
    </row>
    <row r="50" spans="1:10" x14ac:dyDescent="0.25">
      <c r="A50" s="2" t="s">
        <v>52</v>
      </c>
      <c r="B50" s="2"/>
      <c r="C50" s="13"/>
      <c r="D50" s="13"/>
      <c r="E50" s="13"/>
      <c r="F50" s="13"/>
      <c r="G50" s="13"/>
      <c r="H50" s="13"/>
      <c r="I50" s="17"/>
      <c r="J50" s="17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A54" s="30" t="s">
        <v>53</v>
      </c>
      <c r="B54" s="30"/>
      <c r="C54" s="11" t="s">
        <v>8</v>
      </c>
      <c r="D54" s="11" t="s">
        <v>9</v>
      </c>
      <c r="E54" s="11" t="s">
        <v>10</v>
      </c>
      <c r="F54" s="11" t="s">
        <v>11</v>
      </c>
      <c r="G54" s="11" t="s">
        <v>12</v>
      </c>
      <c r="H54" s="14" t="s">
        <v>13</v>
      </c>
      <c r="I54" s="17"/>
      <c r="J54" s="17"/>
    </row>
    <row r="55" spans="1:10" x14ac:dyDescent="0.25">
      <c r="A55" s="29" t="s">
        <v>54</v>
      </c>
      <c r="B55" s="29"/>
      <c r="C55" s="10">
        <v>794485</v>
      </c>
      <c r="D55" s="10">
        <v>643</v>
      </c>
      <c r="E55" s="10">
        <v>291713</v>
      </c>
      <c r="F55" s="10">
        <v>8910</v>
      </c>
      <c r="G55" s="10">
        <f>SUM(C55:F55)</f>
        <v>1095751</v>
      </c>
      <c r="H55" s="16">
        <f>ROUND(G55/3536,2)</f>
        <v>309.88</v>
      </c>
      <c r="I55" s="9"/>
      <c r="J55" s="9"/>
    </row>
    <row r="56" spans="1:10" x14ac:dyDescent="0.25">
      <c r="A56" s="29" t="s">
        <v>55</v>
      </c>
      <c r="B56" s="29"/>
      <c r="C56" s="10">
        <v>299130</v>
      </c>
      <c r="D56" s="10">
        <v>0</v>
      </c>
      <c r="E56" s="10">
        <v>46740</v>
      </c>
      <c r="F56" s="10">
        <v>28940</v>
      </c>
      <c r="G56" s="10">
        <f>SUM(C56:F56)</f>
        <v>374810</v>
      </c>
      <c r="H56" s="16">
        <f>ROUND(G56/3536,2)</f>
        <v>106</v>
      </c>
      <c r="I56" s="9"/>
      <c r="J56" s="9"/>
    </row>
    <row r="57" spans="1:10" x14ac:dyDescent="0.25">
      <c r="A57" s="29" t="s">
        <v>56</v>
      </c>
      <c r="B57" s="29"/>
      <c r="C57" s="10">
        <v>0</v>
      </c>
      <c r="D57" s="10">
        <v>0</v>
      </c>
      <c r="E57" s="10">
        <v>0</v>
      </c>
      <c r="F57" s="10">
        <v>600</v>
      </c>
      <c r="G57" s="23">
        <f>SUM(C57:F57)</f>
        <v>600</v>
      </c>
      <c r="H57" s="16">
        <f>ROUND(G57/3536,2)</f>
        <v>0.17</v>
      </c>
      <c r="I57" s="9"/>
      <c r="J57" s="9"/>
    </row>
    <row r="58" spans="1:10" x14ac:dyDescent="0.25">
      <c r="C58" s="8"/>
      <c r="D58" s="8"/>
      <c r="E58" s="8"/>
      <c r="F58" s="8"/>
      <c r="G58" s="21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A62" s="30" t="s">
        <v>57</v>
      </c>
      <c r="B62" s="30"/>
      <c r="C62" s="14" t="s">
        <v>2</v>
      </c>
      <c r="D62" s="14">
        <v>2023</v>
      </c>
      <c r="E62" s="14" t="s">
        <v>59</v>
      </c>
      <c r="F62" s="13"/>
      <c r="G62" s="14" t="s">
        <v>60</v>
      </c>
      <c r="H62" s="14" t="s">
        <v>2</v>
      </c>
      <c r="I62" s="12" t="s">
        <v>61</v>
      </c>
      <c r="J62" s="12" t="s">
        <v>59</v>
      </c>
    </row>
    <row r="63" spans="1:10" x14ac:dyDescent="0.25">
      <c r="A63" s="29" t="s">
        <v>58</v>
      </c>
      <c r="B63" s="29"/>
      <c r="C63" s="15">
        <f>ROUND(0.7825, 4)</f>
        <v>0.78249999999999997</v>
      </c>
      <c r="D63" s="15">
        <f>ROUND(0.7769, 4)</f>
        <v>0.77690000000000003</v>
      </c>
      <c r="E63" s="15">
        <f>ROUND(0.777, 4)</f>
        <v>0.77700000000000002</v>
      </c>
      <c r="F63" s="8"/>
      <c r="G63" s="14" t="s">
        <v>62</v>
      </c>
      <c r="H63" s="33" t="s">
        <v>63</v>
      </c>
      <c r="I63" s="31" t="s">
        <v>64</v>
      </c>
      <c r="J63" s="31" t="s">
        <v>65</v>
      </c>
    </row>
    <row r="64" spans="1:10" x14ac:dyDescent="0.25">
      <c r="A64" s="29" t="s">
        <v>66</v>
      </c>
      <c r="B64" s="29"/>
      <c r="C64" s="15">
        <f>ROUND(0.7712, 4)</f>
        <v>0.7712</v>
      </c>
      <c r="D64" s="15">
        <f>ROUND(0.7651, 4)</f>
        <v>0.7651</v>
      </c>
      <c r="E64" s="15">
        <f>ROUND(0.7608, 4)</f>
        <v>0.76080000000000003</v>
      </c>
      <c r="F64" s="8"/>
      <c r="G64" s="14" t="s">
        <v>67</v>
      </c>
      <c r="H64" s="34"/>
      <c r="I64" s="32"/>
      <c r="J64" s="32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0" t="s">
        <v>68</v>
      </c>
      <c r="B68" s="30"/>
      <c r="C68" s="14" t="s">
        <v>2</v>
      </c>
      <c r="D68" s="14" t="s">
        <v>256</v>
      </c>
      <c r="E68" s="14" t="s">
        <v>70</v>
      </c>
      <c r="F68" s="14" t="s">
        <v>71</v>
      </c>
      <c r="G68" s="14" t="s">
        <v>72</v>
      </c>
      <c r="H68" s="13"/>
      <c r="I68" s="17"/>
      <c r="J68" s="17"/>
    </row>
    <row r="69" spans="1:10" x14ac:dyDescent="0.25">
      <c r="A69" s="29" t="s">
        <v>73</v>
      </c>
      <c r="B69" s="29"/>
      <c r="C69" s="16">
        <v>84.74</v>
      </c>
      <c r="D69" s="16">
        <v>80.709999999999994</v>
      </c>
      <c r="E69" s="16">
        <v>93.87</v>
      </c>
      <c r="F69" s="16">
        <v>57.16</v>
      </c>
      <c r="G69" s="16">
        <f>12/12*C69</f>
        <v>84.74</v>
      </c>
      <c r="H69" s="8"/>
      <c r="I69" s="9"/>
      <c r="J69" s="9"/>
    </row>
    <row r="70" spans="1:10" x14ac:dyDescent="0.25">
      <c r="A70" s="29" t="s">
        <v>74</v>
      </c>
      <c r="B70" s="29"/>
      <c r="C70" s="16">
        <v>75.400000000000006</v>
      </c>
      <c r="D70" s="16">
        <v>74.849999999999994</v>
      </c>
      <c r="E70" s="16">
        <v>62.84</v>
      </c>
      <c r="F70" s="16">
        <v>65.39</v>
      </c>
      <c r="G70" s="16">
        <f>12/12*C70</f>
        <v>75.400000000000006</v>
      </c>
      <c r="H70" s="8"/>
      <c r="I70" s="9"/>
      <c r="J70" s="9"/>
    </row>
    <row r="71" spans="1:10" x14ac:dyDescent="0.25">
      <c r="A71" s="29" t="s">
        <v>75</v>
      </c>
      <c r="B71" s="29"/>
      <c r="C71" s="16">
        <v>309.88</v>
      </c>
      <c r="D71" s="16">
        <v>317.08</v>
      </c>
      <c r="E71" s="16">
        <v>295.08999999999997</v>
      </c>
      <c r="F71" s="16">
        <v>289.06</v>
      </c>
      <c r="G71" s="16">
        <f>12/12*C71</f>
        <v>309.88</v>
      </c>
      <c r="H71" s="8"/>
      <c r="I71" s="9"/>
      <c r="J71" s="9"/>
    </row>
    <row r="72" spans="1:10" x14ac:dyDescent="0.25">
      <c r="A72" s="29" t="s">
        <v>76</v>
      </c>
      <c r="B72" s="29"/>
      <c r="C72" s="1">
        <v>106</v>
      </c>
      <c r="D72" s="1">
        <v>103.97</v>
      </c>
      <c r="E72" s="1">
        <v>118.05</v>
      </c>
      <c r="F72" s="1">
        <v>81.41</v>
      </c>
      <c r="G72" s="1">
        <f>12/12*C72</f>
        <v>106</v>
      </c>
    </row>
    <row r="75" spans="1:10" x14ac:dyDescent="0.25">
      <c r="A75" s="28" t="s">
        <v>60</v>
      </c>
      <c r="B75" s="35"/>
    </row>
    <row r="76" spans="1:10" x14ac:dyDescent="0.25">
      <c r="A76" s="3" t="s">
        <v>77</v>
      </c>
      <c r="B76" s="1" t="s">
        <v>257</v>
      </c>
    </row>
    <row r="77" spans="1:10" x14ac:dyDescent="0.25">
      <c r="A77" s="3" t="s">
        <v>70</v>
      </c>
      <c r="B77" s="1" t="s">
        <v>79</v>
      </c>
    </row>
    <row r="78" spans="1:10" x14ac:dyDescent="0.25">
      <c r="A78" s="3" t="s">
        <v>71</v>
      </c>
      <c r="B78" s="1" t="s">
        <v>80</v>
      </c>
    </row>
    <row r="79" spans="1:10" x14ac:dyDescent="0.25">
      <c r="A79" s="3" t="s">
        <v>72</v>
      </c>
      <c r="B79" s="1" t="s">
        <v>81</v>
      </c>
    </row>
  </sheetData>
  <mergeCells count="19">
    <mergeCell ref="A70:B70"/>
    <mergeCell ref="A71:B71"/>
    <mergeCell ref="A72:B72"/>
    <mergeCell ref="A75:B75"/>
    <mergeCell ref="I63:I64"/>
    <mergeCell ref="J63:J64"/>
    <mergeCell ref="A64:B64"/>
    <mergeCell ref="A68:B68"/>
    <mergeCell ref="A69:B69"/>
    <mergeCell ref="A56:B56"/>
    <mergeCell ref="A57:B57"/>
    <mergeCell ref="A62:B62"/>
    <mergeCell ref="A63:B63"/>
    <mergeCell ref="H63:H64"/>
    <mergeCell ref="C7:G7"/>
    <mergeCell ref="A48:B48"/>
    <mergeCell ref="A49:B49"/>
    <mergeCell ref="A54:B54"/>
    <mergeCell ref="A55:B55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2:J75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9.1406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258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825</v>
      </c>
    </row>
    <row r="7" spans="1:10" x14ac:dyDescent="0.25">
      <c r="C7" s="28" t="s">
        <v>5</v>
      </c>
      <c r="D7" s="29"/>
      <c r="E7" s="29"/>
      <c r="F7" s="29"/>
      <c r="G7" s="29"/>
    </row>
    <row r="8" spans="1:10" x14ac:dyDescent="0.25">
      <c r="A8" s="25" t="s">
        <v>6</v>
      </c>
      <c r="B8" s="25" t="s">
        <v>7</v>
      </c>
      <c r="C8" s="27" t="s">
        <v>8</v>
      </c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18</v>
      </c>
      <c r="F9" s="10"/>
      <c r="G9" s="10">
        <f t="shared" ref="G9:G39" si="0">SUM(C9:F9)</f>
        <v>18</v>
      </c>
      <c r="H9" s="16">
        <f t="shared" ref="H9:H39" si="1">ROUND(G9/825,2)</f>
        <v>0.02</v>
      </c>
      <c r="I9" s="15">
        <f t="shared" ref="I9:I39" si="2">ROUND(G9/$G$40,3)</f>
        <v>0</v>
      </c>
      <c r="J9" s="15"/>
    </row>
    <row r="10" spans="1:10" x14ac:dyDescent="0.25">
      <c r="A10" s="1" t="s">
        <v>16</v>
      </c>
      <c r="B10" s="1" t="s">
        <v>19</v>
      </c>
      <c r="C10" s="10">
        <v>27575</v>
      </c>
      <c r="D10" s="10"/>
      <c r="E10" s="10">
        <v>2375</v>
      </c>
      <c r="F10" s="10">
        <v>105</v>
      </c>
      <c r="G10" s="10">
        <f t="shared" si="0"/>
        <v>30055</v>
      </c>
      <c r="H10" s="16">
        <f t="shared" si="1"/>
        <v>36.43</v>
      </c>
      <c r="I10" s="15">
        <f t="shared" si="2"/>
        <v>0.08</v>
      </c>
      <c r="J10" s="15">
        <f>ROUND(G10/29023.46-1,2)</f>
        <v>0.04</v>
      </c>
    </row>
    <row r="11" spans="1:10" x14ac:dyDescent="0.25">
      <c r="A11" s="1" t="s">
        <v>16</v>
      </c>
      <c r="B11" s="1" t="s">
        <v>20</v>
      </c>
      <c r="C11" s="10">
        <v>41555</v>
      </c>
      <c r="D11" s="10"/>
      <c r="E11" s="10"/>
      <c r="F11" s="10"/>
      <c r="G11" s="10">
        <f t="shared" si="0"/>
        <v>41555</v>
      </c>
      <c r="H11" s="16">
        <f t="shared" si="1"/>
        <v>50.37</v>
      </c>
      <c r="I11" s="15">
        <f t="shared" si="2"/>
        <v>0.111</v>
      </c>
      <c r="J11" s="15">
        <f>ROUND(G11/44160-1,2)</f>
        <v>-0.06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87</v>
      </c>
      <c r="F12" s="10"/>
      <c r="G12" s="10">
        <f t="shared" si="0"/>
        <v>87</v>
      </c>
      <c r="H12" s="16">
        <f t="shared" si="1"/>
        <v>0.11</v>
      </c>
      <c r="I12" s="15">
        <f t="shared" si="2"/>
        <v>0</v>
      </c>
      <c r="J12" s="15">
        <f>ROUND(G12/38.75-1,2)</f>
        <v>1.25</v>
      </c>
    </row>
    <row r="13" spans="1:10" x14ac:dyDescent="0.25">
      <c r="A13" s="1" t="s">
        <v>16</v>
      </c>
      <c r="B13" s="1" t="s">
        <v>22</v>
      </c>
      <c r="C13" s="10"/>
      <c r="D13" s="10"/>
      <c r="E13" s="10">
        <v>1007</v>
      </c>
      <c r="F13" s="10"/>
      <c r="G13" s="10">
        <f t="shared" si="0"/>
        <v>1007</v>
      </c>
      <c r="H13" s="16">
        <f t="shared" si="1"/>
        <v>1.22</v>
      </c>
      <c r="I13" s="15">
        <f t="shared" si="2"/>
        <v>3.0000000000000001E-3</v>
      </c>
      <c r="J13" s="15"/>
    </row>
    <row r="14" spans="1:10" x14ac:dyDescent="0.25">
      <c r="A14" s="1" t="s">
        <v>16</v>
      </c>
      <c r="B14" s="1" t="s">
        <v>23</v>
      </c>
      <c r="C14" s="10"/>
      <c r="D14" s="10"/>
      <c r="E14" s="10">
        <v>49173</v>
      </c>
      <c r="F14" s="10"/>
      <c r="G14" s="10">
        <f t="shared" si="0"/>
        <v>49173</v>
      </c>
      <c r="H14" s="16">
        <f t="shared" si="1"/>
        <v>59.6</v>
      </c>
      <c r="I14" s="15">
        <f t="shared" si="2"/>
        <v>0.13200000000000001</v>
      </c>
      <c r="J14" s="15">
        <f>ROUND(G14/8840.82-1,2)</f>
        <v>4.5599999999999996</v>
      </c>
    </row>
    <row r="15" spans="1:10" x14ac:dyDescent="0.25">
      <c r="A15" s="1" t="s">
        <v>16</v>
      </c>
      <c r="B15" s="1" t="s">
        <v>24</v>
      </c>
      <c r="C15" s="10">
        <v>37110</v>
      </c>
      <c r="D15" s="10"/>
      <c r="E15" s="10">
        <v>7830</v>
      </c>
      <c r="F15" s="10">
        <v>40</v>
      </c>
      <c r="G15" s="10">
        <f t="shared" si="0"/>
        <v>44980</v>
      </c>
      <c r="H15" s="16">
        <f t="shared" si="1"/>
        <v>54.52</v>
      </c>
      <c r="I15" s="15">
        <f t="shared" si="2"/>
        <v>0.12</v>
      </c>
      <c r="J15" s="15">
        <f>ROUND(G15/37402.94-1,2)</f>
        <v>0.2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1483</v>
      </c>
      <c r="F16" s="10"/>
      <c r="G16" s="10">
        <f t="shared" si="0"/>
        <v>1483</v>
      </c>
      <c r="H16" s="16">
        <f t="shared" si="1"/>
        <v>1.8</v>
      </c>
      <c r="I16" s="15">
        <f t="shared" si="2"/>
        <v>4.0000000000000001E-3</v>
      </c>
      <c r="J16" s="15"/>
    </row>
    <row r="17" spans="1:10" x14ac:dyDescent="0.25">
      <c r="A17" s="1" t="s">
        <v>16</v>
      </c>
      <c r="B17" s="1" t="s">
        <v>26</v>
      </c>
      <c r="C17" s="10">
        <v>42570</v>
      </c>
      <c r="D17" s="10"/>
      <c r="E17" s="10"/>
      <c r="F17" s="10">
        <v>240</v>
      </c>
      <c r="G17" s="10">
        <f t="shared" si="0"/>
        <v>42810</v>
      </c>
      <c r="H17" s="16">
        <f t="shared" si="1"/>
        <v>51.89</v>
      </c>
      <c r="I17" s="15">
        <f t="shared" si="2"/>
        <v>0.115</v>
      </c>
      <c r="J17" s="15">
        <f>ROUND(G17/39280-1,2)</f>
        <v>0.09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474</v>
      </c>
      <c r="F18" s="10"/>
      <c r="G18" s="10">
        <f t="shared" si="0"/>
        <v>474</v>
      </c>
      <c r="H18" s="16">
        <f t="shared" si="1"/>
        <v>0.56999999999999995</v>
      </c>
      <c r="I18" s="15">
        <f t="shared" si="2"/>
        <v>1E-3</v>
      </c>
      <c r="J18" s="15"/>
    </row>
    <row r="19" spans="1:10" x14ac:dyDescent="0.25">
      <c r="A19" s="1" t="s">
        <v>16</v>
      </c>
      <c r="B19" s="1" t="s">
        <v>28</v>
      </c>
      <c r="C19" s="10"/>
      <c r="D19" s="10"/>
      <c r="E19" s="10">
        <v>252</v>
      </c>
      <c r="F19" s="10"/>
      <c r="G19" s="10">
        <f t="shared" si="0"/>
        <v>252</v>
      </c>
      <c r="H19" s="16">
        <f t="shared" si="1"/>
        <v>0.31</v>
      </c>
      <c r="I19" s="15">
        <f t="shared" si="2"/>
        <v>1E-3</v>
      </c>
      <c r="J19" s="15"/>
    </row>
    <row r="20" spans="1:10" x14ac:dyDescent="0.25">
      <c r="A20" s="1" t="s">
        <v>16</v>
      </c>
      <c r="B20" s="1" t="s">
        <v>29</v>
      </c>
      <c r="C20" s="10"/>
      <c r="D20" s="10"/>
      <c r="E20" s="10">
        <v>852</v>
      </c>
      <c r="F20" s="10"/>
      <c r="G20" s="10">
        <f t="shared" si="0"/>
        <v>852</v>
      </c>
      <c r="H20" s="16">
        <f t="shared" si="1"/>
        <v>1.03</v>
      </c>
      <c r="I20" s="15">
        <f t="shared" si="2"/>
        <v>2E-3</v>
      </c>
      <c r="J20" s="15">
        <f>ROUND(G20/202.5-1,2)</f>
        <v>3.21</v>
      </c>
    </row>
    <row r="21" spans="1:10" x14ac:dyDescent="0.25">
      <c r="A21" s="1" t="s">
        <v>16</v>
      </c>
      <c r="B21" s="1" t="s">
        <v>30</v>
      </c>
      <c r="C21" s="10"/>
      <c r="D21" s="10"/>
      <c r="E21" s="10">
        <v>253</v>
      </c>
      <c r="F21" s="10"/>
      <c r="G21" s="10">
        <f t="shared" si="0"/>
        <v>253</v>
      </c>
      <c r="H21" s="16">
        <f t="shared" si="1"/>
        <v>0.31</v>
      </c>
      <c r="I21" s="15">
        <f t="shared" si="2"/>
        <v>1E-3</v>
      </c>
      <c r="J21" s="15">
        <f>ROUND(G21/61.55-1,2)</f>
        <v>3.11</v>
      </c>
    </row>
    <row r="22" spans="1:10" x14ac:dyDescent="0.25">
      <c r="A22" s="1" t="s">
        <v>16</v>
      </c>
      <c r="B22" s="1" t="s">
        <v>32</v>
      </c>
      <c r="C22" s="10"/>
      <c r="D22" s="10"/>
      <c r="E22" s="10">
        <v>901</v>
      </c>
      <c r="F22" s="10"/>
      <c r="G22" s="10">
        <f t="shared" si="0"/>
        <v>901</v>
      </c>
      <c r="H22" s="16">
        <f t="shared" si="1"/>
        <v>1.0900000000000001</v>
      </c>
      <c r="I22" s="15">
        <f t="shared" si="2"/>
        <v>2E-3</v>
      </c>
      <c r="J22" s="15"/>
    </row>
    <row r="23" spans="1:10" x14ac:dyDescent="0.25">
      <c r="A23" s="1" t="s">
        <v>16</v>
      </c>
      <c r="B23" s="1" t="s">
        <v>33</v>
      </c>
      <c r="C23" s="10"/>
      <c r="D23" s="10"/>
      <c r="E23" s="10">
        <v>110</v>
      </c>
      <c r="F23" s="10"/>
      <c r="G23" s="10">
        <f t="shared" si="0"/>
        <v>110</v>
      </c>
      <c r="H23" s="16">
        <f t="shared" si="1"/>
        <v>0.13</v>
      </c>
      <c r="I23" s="15">
        <f t="shared" si="2"/>
        <v>0</v>
      </c>
      <c r="J23" s="15"/>
    </row>
    <row r="24" spans="1:10" x14ac:dyDescent="0.25">
      <c r="A24" s="1" t="s">
        <v>16</v>
      </c>
      <c r="B24" s="1" t="s">
        <v>34</v>
      </c>
      <c r="C24" s="10"/>
      <c r="D24" s="10"/>
      <c r="E24" s="10">
        <v>120</v>
      </c>
      <c r="F24" s="10"/>
      <c r="G24" s="10">
        <f t="shared" si="0"/>
        <v>120</v>
      </c>
      <c r="H24" s="16">
        <f t="shared" si="1"/>
        <v>0.15</v>
      </c>
      <c r="I24" s="15">
        <f t="shared" si="2"/>
        <v>0</v>
      </c>
      <c r="J24" s="15"/>
    </row>
    <row r="25" spans="1:10" x14ac:dyDescent="0.25">
      <c r="A25" s="1" t="s">
        <v>16</v>
      </c>
      <c r="B25" s="1" t="s">
        <v>37</v>
      </c>
      <c r="C25" s="10"/>
      <c r="D25" s="10"/>
      <c r="E25" s="10">
        <v>1307</v>
      </c>
      <c r="F25" s="10"/>
      <c r="G25" s="10">
        <f t="shared" si="0"/>
        <v>1307</v>
      </c>
      <c r="H25" s="16">
        <f t="shared" si="1"/>
        <v>1.58</v>
      </c>
      <c r="I25" s="15">
        <f t="shared" si="2"/>
        <v>3.0000000000000001E-3</v>
      </c>
      <c r="J25" s="15">
        <f>ROUND(G25/70.97-1,2)</f>
        <v>17.420000000000002</v>
      </c>
    </row>
    <row r="26" spans="1:10" x14ac:dyDescent="0.25">
      <c r="A26" s="1" t="s">
        <v>16</v>
      </c>
      <c r="B26" s="1" t="s">
        <v>43</v>
      </c>
      <c r="C26" s="10"/>
      <c r="D26" s="10"/>
      <c r="E26" s="10">
        <v>1091</v>
      </c>
      <c r="F26" s="10"/>
      <c r="G26" s="10">
        <f t="shared" si="0"/>
        <v>1091</v>
      </c>
      <c r="H26" s="16">
        <f t="shared" si="1"/>
        <v>1.32</v>
      </c>
      <c r="I26" s="15">
        <f t="shared" si="2"/>
        <v>3.0000000000000001E-3</v>
      </c>
      <c r="J26" s="15"/>
    </row>
    <row r="27" spans="1:10" x14ac:dyDescent="0.25">
      <c r="A27" s="1" t="s">
        <v>16</v>
      </c>
      <c r="B27" s="1" t="s">
        <v>38</v>
      </c>
      <c r="C27" s="10"/>
      <c r="D27" s="10"/>
      <c r="E27" s="10">
        <v>29668</v>
      </c>
      <c r="F27" s="10"/>
      <c r="G27" s="10">
        <f t="shared" si="0"/>
        <v>29668</v>
      </c>
      <c r="H27" s="16">
        <f t="shared" si="1"/>
        <v>35.96</v>
      </c>
      <c r="I27" s="15">
        <f t="shared" si="2"/>
        <v>7.9000000000000001E-2</v>
      </c>
      <c r="J27" s="15">
        <f>ROUND(G27/9172.73-1,2)</f>
        <v>2.23</v>
      </c>
    </row>
    <row r="28" spans="1:10" x14ac:dyDescent="0.25">
      <c r="A28" s="1" t="s">
        <v>16</v>
      </c>
      <c r="B28" s="1" t="s">
        <v>40</v>
      </c>
      <c r="C28" s="10"/>
      <c r="D28" s="10"/>
      <c r="E28" s="10">
        <v>10941</v>
      </c>
      <c r="F28" s="10"/>
      <c r="G28" s="10">
        <f t="shared" si="0"/>
        <v>10941</v>
      </c>
      <c r="H28" s="16">
        <f t="shared" si="1"/>
        <v>13.26</v>
      </c>
      <c r="I28" s="15">
        <f t="shared" si="2"/>
        <v>2.9000000000000001E-2</v>
      </c>
      <c r="J28" s="15">
        <f>ROUND(G28/4348.57-1,2)</f>
        <v>1.52</v>
      </c>
    </row>
    <row r="29" spans="1:10" x14ac:dyDescent="0.25">
      <c r="A29" s="1" t="s">
        <v>16</v>
      </c>
      <c r="B29" s="1" t="s">
        <v>41</v>
      </c>
      <c r="C29" s="10"/>
      <c r="D29" s="10"/>
      <c r="E29" s="10">
        <v>4774</v>
      </c>
      <c r="F29" s="10"/>
      <c r="G29" s="10">
        <f t="shared" si="0"/>
        <v>4774</v>
      </c>
      <c r="H29" s="16">
        <f t="shared" si="1"/>
        <v>5.79</v>
      </c>
      <c r="I29" s="15">
        <f t="shared" si="2"/>
        <v>1.2999999999999999E-2</v>
      </c>
      <c r="J29" s="15">
        <f>ROUND(G29/974.29-1,2)</f>
        <v>3.9</v>
      </c>
    </row>
    <row r="30" spans="1:10" x14ac:dyDescent="0.25">
      <c r="A30" s="1" t="s">
        <v>16</v>
      </c>
      <c r="B30" s="1" t="s">
        <v>36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>
        <f>ROUND(G30/340.21-1,2)</f>
        <v>-1</v>
      </c>
    </row>
    <row r="31" spans="1:10" x14ac:dyDescent="0.25">
      <c r="A31" s="1" t="s">
        <v>16</v>
      </c>
      <c r="B31" s="1" t="s">
        <v>35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>
        <f>ROUND(G31/37.67-1,2)</f>
        <v>-1</v>
      </c>
    </row>
    <row r="32" spans="1:10" x14ac:dyDescent="0.25">
      <c r="A32" s="1" t="s">
        <v>16</v>
      </c>
      <c r="B32" s="1" t="s">
        <v>42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/>
    </row>
    <row r="33" spans="1:10" x14ac:dyDescent="0.25">
      <c r="A33" s="1" t="s">
        <v>16</v>
      </c>
      <c r="B33" s="1" t="s">
        <v>120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/>
    </row>
    <row r="34" spans="1:10" x14ac:dyDescent="0.25">
      <c r="A34" s="1" t="s">
        <v>16</v>
      </c>
      <c r="B34" s="1" t="s">
        <v>31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/>
    </row>
    <row r="35" spans="1:10" x14ac:dyDescent="0.25">
      <c r="A35" s="1" t="s">
        <v>16</v>
      </c>
      <c r="B35" s="1" t="s">
        <v>39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44</v>
      </c>
      <c r="B36" s="1" t="s">
        <v>45</v>
      </c>
      <c r="C36" s="10">
        <v>95010</v>
      </c>
      <c r="D36" s="10"/>
      <c r="E36" s="10"/>
      <c r="F36" s="10">
        <v>280</v>
      </c>
      <c r="G36" s="10">
        <f t="shared" si="0"/>
        <v>95290</v>
      </c>
      <c r="H36" s="16">
        <f t="shared" si="1"/>
        <v>115.5</v>
      </c>
      <c r="I36" s="15">
        <f t="shared" si="2"/>
        <v>0.255</v>
      </c>
      <c r="J36" s="15">
        <f>ROUND(G36/102760-1,2)</f>
        <v>-7.0000000000000007E-2</v>
      </c>
    </row>
    <row r="37" spans="1:10" x14ac:dyDescent="0.25">
      <c r="A37" s="1" t="s">
        <v>44</v>
      </c>
      <c r="B37" s="1" t="s">
        <v>46</v>
      </c>
      <c r="C37" s="10"/>
      <c r="D37" s="10"/>
      <c r="E37" s="10">
        <v>16274</v>
      </c>
      <c r="F37" s="10"/>
      <c r="G37" s="10">
        <f t="shared" si="0"/>
        <v>16274</v>
      </c>
      <c r="H37" s="16">
        <f t="shared" si="1"/>
        <v>19.73</v>
      </c>
      <c r="I37" s="15">
        <f t="shared" si="2"/>
        <v>4.3999999999999997E-2</v>
      </c>
      <c r="J37" s="15">
        <f>ROUND(G37/6217.94-1,2)</f>
        <v>1.62</v>
      </c>
    </row>
    <row r="38" spans="1:10" x14ac:dyDescent="0.25">
      <c r="A38" s="1" t="s">
        <v>44</v>
      </c>
      <c r="B38" s="1" t="s">
        <v>47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1" t="s">
        <v>48</v>
      </c>
      <c r="B39" s="1" t="s">
        <v>51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30" t="s">
        <v>12</v>
      </c>
      <c r="B40" s="30"/>
      <c r="C40" s="11">
        <f t="shared" ref="C40:H40" si="3">SUM(C8:C39)</f>
        <v>243820</v>
      </c>
      <c r="D40" s="11">
        <f t="shared" si="3"/>
        <v>0</v>
      </c>
      <c r="E40" s="11">
        <f t="shared" si="3"/>
        <v>128990</v>
      </c>
      <c r="F40" s="11">
        <f t="shared" si="3"/>
        <v>665</v>
      </c>
      <c r="G40" s="11">
        <f t="shared" si="3"/>
        <v>373475</v>
      </c>
      <c r="H40" s="14">
        <f t="shared" si="3"/>
        <v>452.68999999999994</v>
      </c>
      <c r="I40" s="17"/>
      <c r="J40" s="17"/>
    </row>
    <row r="41" spans="1:10" x14ac:dyDescent="0.25">
      <c r="A41" s="30" t="s">
        <v>14</v>
      </c>
      <c r="B41" s="30"/>
      <c r="C41" s="12">
        <f>ROUND(C40/G40,2)</f>
        <v>0.65</v>
      </c>
      <c r="D41" s="12">
        <f>ROUND(D40/G40,2)</f>
        <v>0</v>
      </c>
      <c r="E41" s="12">
        <f>ROUND(E40/G40,2)</f>
        <v>0.35</v>
      </c>
      <c r="F41" s="12">
        <f>ROUND(F40/G40,2)</f>
        <v>0</v>
      </c>
      <c r="G41" s="13"/>
      <c r="H41" s="13"/>
      <c r="I41" s="17"/>
      <c r="J41" s="17"/>
    </row>
    <row r="42" spans="1:10" x14ac:dyDescent="0.25">
      <c r="A42" s="2" t="s">
        <v>52</v>
      </c>
      <c r="B42" s="2"/>
      <c r="C42" s="13"/>
      <c r="D42" s="13"/>
      <c r="E42" s="13"/>
      <c r="F42" s="13"/>
      <c r="G42" s="13"/>
      <c r="H42" s="13"/>
      <c r="I42" s="17"/>
      <c r="J42" s="17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A46" s="30" t="s">
        <v>53</v>
      </c>
      <c r="B46" s="30"/>
      <c r="C46" s="11" t="s">
        <v>8</v>
      </c>
      <c r="D46" s="11" t="s">
        <v>9</v>
      </c>
      <c r="E46" s="11" t="s">
        <v>10</v>
      </c>
      <c r="F46" s="11" t="s">
        <v>11</v>
      </c>
      <c r="G46" s="11" t="s">
        <v>12</v>
      </c>
      <c r="H46" s="14" t="s">
        <v>13</v>
      </c>
      <c r="I46" s="17"/>
      <c r="J46" s="17"/>
    </row>
    <row r="47" spans="1:10" x14ac:dyDescent="0.25">
      <c r="A47" s="29" t="s">
        <v>54</v>
      </c>
      <c r="B47" s="29"/>
      <c r="C47" s="10">
        <v>148810</v>
      </c>
      <c r="D47" s="10">
        <v>0</v>
      </c>
      <c r="E47" s="10">
        <v>112716</v>
      </c>
      <c r="F47" s="10">
        <v>385</v>
      </c>
      <c r="G47" s="10">
        <f>SUM(C47:F47)</f>
        <v>261911</v>
      </c>
      <c r="H47" s="16">
        <f>ROUND(G47/825,2)</f>
        <v>317.47000000000003</v>
      </c>
      <c r="I47" s="9"/>
      <c r="J47" s="9"/>
    </row>
    <row r="48" spans="1:10" x14ac:dyDescent="0.25">
      <c r="A48" s="29" t="s">
        <v>55</v>
      </c>
      <c r="B48" s="29"/>
      <c r="C48" s="10">
        <v>95010</v>
      </c>
      <c r="D48" s="10">
        <v>0</v>
      </c>
      <c r="E48" s="10">
        <v>16274</v>
      </c>
      <c r="F48" s="10">
        <v>280</v>
      </c>
      <c r="G48" s="10">
        <f>SUM(C48:F48)</f>
        <v>111564</v>
      </c>
      <c r="H48" s="16">
        <f>ROUND(G48/825,2)</f>
        <v>135.22999999999999</v>
      </c>
      <c r="I48" s="9"/>
      <c r="J48" s="9"/>
    </row>
    <row r="49" spans="1:10" x14ac:dyDescent="0.25">
      <c r="A49" s="29" t="s">
        <v>56</v>
      </c>
      <c r="B49" s="29"/>
      <c r="C49" s="10">
        <v>0</v>
      </c>
      <c r="D49" s="10">
        <v>0</v>
      </c>
      <c r="E49" s="10">
        <v>0</v>
      </c>
      <c r="F49" s="10">
        <v>0</v>
      </c>
      <c r="G49" s="10">
        <f>SUM(C49:F49)</f>
        <v>0</v>
      </c>
      <c r="H49" s="16">
        <f>ROUND(G49/825,2)</f>
        <v>0</v>
      </c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A54" s="30" t="s">
        <v>57</v>
      </c>
      <c r="B54" s="30"/>
      <c r="C54" s="14" t="s">
        <v>2</v>
      </c>
      <c r="D54" s="14">
        <v>2023</v>
      </c>
      <c r="E54" s="14" t="s">
        <v>59</v>
      </c>
      <c r="F54" s="13"/>
      <c r="G54" s="14" t="s">
        <v>60</v>
      </c>
      <c r="H54" s="14" t="s">
        <v>2</v>
      </c>
      <c r="I54" s="12" t="s">
        <v>61</v>
      </c>
      <c r="J54" s="12" t="s">
        <v>59</v>
      </c>
    </row>
    <row r="55" spans="1:10" x14ac:dyDescent="0.25">
      <c r="A55" s="29" t="s">
        <v>58</v>
      </c>
      <c r="B55" s="29"/>
      <c r="C55" s="15">
        <f>ROUND(0.7042, 4)</f>
        <v>0.70420000000000005</v>
      </c>
      <c r="D55" s="15">
        <f>ROUND(0.6227, 4)</f>
        <v>0.62270000000000003</v>
      </c>
      <c r="E55" s="15">
        <f>ROUND(0.777, 4)</f>
        <v>0.77700000000000002</v>
      </c>
      <c r="F55" s="8"/>
      <c r="G55" s="14" t="s">
        <v>62</v>
      </c>
      <c r="H55" s="33" t="s">
        <v>63</v>
      </c>
      <c r="I55" s="31" t="s">
        <v>64</v>
      </c>
      <c r="J55" s="31" t="s">
        <v>65</v>
      </c>
    </row>
    <row r="56" spans="1:10" x14ac:dyDescent="0.25">
      <c r="A56" s="29" t="s">
        <v>66</v>
      </c>
      <c r="B56" s="29"/>
      <c r="C56" s="15">
        <f>ROUND(0.6697, 4)</f>
        <v>0.66969999999999996</v>
      </c>
      <c r="D56" s="15">
        <f>ROUND(0.5833, 4)</f>
        <v>0.58330000000000004</v>
      </c>
      <c r="E56" s="15">
        <f>ROUND(0.7608, 4)</f>
        <v>0.76080000000000003</v>
      </c>
      <c r="F56" s="8"/>
      <c r="G56" s="14" t="s">
        <v>67</v>
      </c>
      <c r="H56" s="34"/>
      <c r="I56" s="32"/>
      <c r="J56" s="32"/>
    </row>
    <row r="57" spans="1:10" x14ac:dyDescent="0.25">
      <c r="C57" s="8"/>
      <c r="D57" s="8"/>
      <c r="E57" s="8"/>
      <c r="F57" s="8"/>
      <c r="G57" s="21"/>
      <c r="H57" s="8"/>
      <c r="I57" s="9"/>
      <c r="J57" s="9"/>
    </row>
    <row r="58" spans="1:10" x14ac:dyDescent="0.25">
      <c r="C58" s="8"/>
      <c r="D58" s="8"/>
      <c r="E58" s="8"/>
      <c r="F58" s="8"/>
      <c r="G58" s="21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A60" s="30" t="s">
        <v>68</v>
      </c>
      <c r="B60" s="30"/>
      <c r="C60" s="14" t="s">
        <v>2</v>
      </c>
      <c r="D60" s="14" t="s">
        <v>259</v>
      </c>
      <c r="E60" s="14" t="s">
        <v>70</v>
      </c>
      <c r="F60" s="14" t="s">
        <v>71</v>
      </c>
      <c r="G60" s="14" t="s">
        <v>72</v>
      </c>
      <c r="H60" s="13"/>
      <c r="I60" s="17"/>
      <c r="J60" s="17"/>
    </row>
    <row r="61" spans="1:10" x14ac:dyDescent="0.25">
      <c r="A61" s="29" t="s">
        <v>73</v>
      </c>
      <c r="B61" s="29"/>
      <c r="C61" s="16">
        <v>115.5</v>
      </c>
      <c r="D61" s="16">
        <v>102.47</v>
      </c>
      <c r="E61" s="16">
        <v>93.87</v>
      </c>
      <c r="F61" s="16">
        <v>57.16</v>
      </c>
      <c r="G61" s="16">
        <f>12/12*C61</f>
        <v>115.5</v>
      </c>
      <c r="H61" s="8"/>
      <c r="I61" s="9"/>
      <c r="J61" s="9"/>
    </row>
    <row r="62" spans="1:10" x14ac:dyDescent="0.25">
      <c r="A62" s="29" t="s">
        <v>74</v>
      </c>
      <c r="B62" s="29"/>
      <c r="C62" s="16">
        <v>51.89</v>
      </c>
      <c r="D62" s="16">
        <v>50.01</v>
      </c>
      <c r="E62" s="16">
        <v>62.84</v>
      </c>
      <c r="F62" s="16">
        <v>65.39</v>
      </c>
      <c r="G62" s="16">
        <f>12/12*C62</f>
        <v>51.89</v>
      </c>
      <c r="H62" s="8"/>
      <c r="I62" s="9"/>
      <c r="J62" s="9"/>
    </row>
    <row r="63" spans="1:10" x14ac:dyDescent="0.25">
      <c r="A63" s="29" t="s">
        <v>75</v>
      </c>
      <c r="B63" s="29"/>
      <c r="C63" s="16">
        <v>317.47000000000003</v>
      </c>
      <c r="D63" s="16">
        <v>267.7</v>
      </c>
      <c r="E63" s="16">
        <v>295.08999999999997</v>
      </c>
      <c r="F63" s="16">
        <v>289.06</v>
      </c>
      <c r="G63" s="16">
        <f>12/12*C63</f>
        <v>317.47000000000003</v>
      </c>
      <c r="H63" s="8"/>
      <c r="I63" s="9"/>
      <c r="J63" s="9"/>
    </row>
    <row r="64" spans="1:10" x14ac:dyDescent="0.25">
      <c r="A64" s="29" t="s">
        <v>76</v>
      </c>
      <c r="B64" s="29"/>
      <c r="C64" s="16">
        <v>135.22999999999999</v>
      </c>
      <c r="D64" s="16">
        <v>119.4</v>
      </c>
      <c r="E64" s="16">
        <v>118.05</v>
      </c>
      <c r="F64" s="16">
        <v>81.41</v>
      </c>
      <c r="G64" s="16">
        <f>12/12*C64</f>
        <v>135.22999999999999</v>
      </c>
      <c r="H64" s="8"/>
      <c r="I64" s="9"/>
      <c r="J64" s="9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28" t="s">
        <v>60</v>
      </c>
      <c r="B67" s="35"/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77</v>
      </c>
      <c r="B68" s="1" t="s">
        <v>260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70</v>
      </c>
      <c r="B69" s="1" t="s">
        <v>79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71</v>
      </c>
      <c r="B70" s="1" t="s">
        <v>80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3" t="s">
        <v>72</v>
      </c>
      <c r="B71" s="1" t="s">
        <v>81</v>
      </c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</sheetData>
  <mergeCells count="19">
    <mergeCell ref="A62:B62"/>
    <mergeCell ref="A63:B63"/>
    <mergeCell ref="A64:B64"/>
    <mergeCell ref="A67:B67"/>
    <mergeCell ref="I55:I56"/>
    <mergeCell ref="J55:J56"/>
    <mergeCell ref="A56:B56"/>
    <mergeCell ref="A60:B60"/>
    <mergeCell ref="A61:B61"/>
    <mergeCell ref="A48:B48"/>
    <mergeCell ref="A49:B49"/>
    <mergeCell ref="A54:B54"/>
    <mergeCell ref="A55:B55"/>
    <mergeCell ref="H55:H56"/>
    <mergeCell ref="C7:G7"/>
    <mergeCell ref="A40:B40"/>
    <mergeCell ref="A41:B41"/>
    <mergeCell ref="A46:B46"/>
    <mergeCell ref="A47:B47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2:J75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7.710937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261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3916</v>
      </c>
    </row>
    <row r="7" spans="1:10" x14ac:dyDescent="0.25">
      <c r="C7" s="28" t="s">
        <v>5</v>
      </c>
      <c r="D7" s="29"/>
      <c r="E7" s="29"/>
      <c r="F7" s="29"/>
      <c r="G7" s="29"/>
    </row>
    <row r="8" spans="1:10" x14ac:dyDescent="0.25">
      <c r="A8" s="25" t="s">
        <v>6</v>
      </c>
      <c r="B8" s="25" t="s">
        <v>7</v>
      </c>
      <c r="C8" s="27" t="s">
        <v>8</v>
      </c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</row>
    <row r="9" spans="1:10" x14ac:dyDescent="0.25">
      <c r="A9" s="1" t="s">
        <v>48</v>
      </c>
      <c r="B9" s="1" t="s">
        <v>49</v>
      </c>
      <c r="C9" s="10"/>
      <c r="D9" s="10"/>
      <c r="E9" s="10"/>
      <c r="F9" s="10">
        <v>200</v>
      </c>
      <c r="G9" s="10">
        <f t="shared" ref="G9:G43" si="0">SUM(C9:F9)</f>
        <v>200</v>
      </c>
      <c r="H9" s="16">
        <f t="shared" ref="H9:H43" si="1">ROUND(G9/3916,2)</f>
        <v>0.05</v>
      </c>
      <c r="I9" s="15">
        <f t="shared" ref="I9:I43" si="2">ROUND(G9/$G$44,3)</f>
        <v>0</v>
      </c>
      <c r="J9" s="15"/>
    </row>
    <row r="10" spans="1:10" x14ac:dyDescent="0.25">
      <c r="A10" s="1" t="s">
        <v>48</v>
      </c>
      <c r="B10" s="1" t="s">
        <v>50</v>
      </c>
      <c r="C10" s="10"/>
      <c r="D10" s="10"/>
      <c r="E10" s="10"/>
      <c r="F10" s="10"/>
      <c r="G10" s="10">
        <f t="shared" si="0"/>
        <v>0</v>
      </c>
      <c r="H10" s="16">
        <f t="shared" si="1"/>
        <v>0</v>
      </c>
      <c r="I10" s="15">
        <f t="shared" si="2"/>
        <v>0</v>
      </c>
      <c r="J10" s="15"/>
    </row>
    <row r="11" spans="1:10" x14ac:dyDescent="0.25">
      <c r="A11" s="1" t="s">
        <v>48</v>
      </c>
      <c r="B11" s="1" t="s">
        <v>51</v>
      </c>
      <c r="C11" s="10"/>
      <c r="D11" s="10"/>
      <c r="E11" s="10"/>
      <c r="F11" s="10"/>
      <c r="G11" s="10">
        <f t="shared" si="0"/>
        <v>0</v>
      </c>
      <c r="H11" s="16">
        <f t="shared" si="1"/>
        <v>0</v>
      </c>
      <c r="I11" s="15">
        <f t="shared" si="2"/>
        <v>0</v>
      </c>
      <c r="J11" s="15"/>
    </row>
    <row r="12" spans="1:10" x14ac:dyDescent="0.25">
      <c r="A12" s="1" t="s">
        <v>16</v>
      </c>
      <c r="B12" s="1" t="s">
        <v>17</v>
      </c>
      <c r="C12" s="10"/>
      <c r="D12" s="10"/>
      <c r="E12" s="10">
        <v>81</v>
      </c>
      <c r="F12" s="10"/>
      <c r="G12" s="10">
        <f t="shared" si="0"/>
        <v>81</v>
      </c>
      <c r="H12" s="16">
        <f t="shared" si="1"/>
        <v>0.02</v>
      </c>
      <c r="I12" s="15">
        <f t="shared" si="2"/>
        <v>0</v>
      </c>
      <c r="J12" s="15">
        <f>ROUND(G12/55-1,2)</f>
        <v>0.47</v>
      </c>
    </row>
    <row r="13" spans="1:10" x14ac:dyDescent="0.25">
      <c r="A13" s="1" t="s">
        <v>16</v>
      </c>
      <c r="B13" s="1" t="s">
        <v>19</v>
      </c>
      <c r="C13" s="10">
        <v>130080</v>
      </c>
      <c r="D13" s="10"/>
      <c r="E13" s="10">
        <v>7320</v>
      </c>
      <c r="F13" s="10">
        <v>60</v>
      </c>
      <c r="G13" s="10">
        <f t="shared" si="0"/>
        <v>137460</v>
      </c>
      <c r="H13" s="16">
        <f t="shared" si="1"/>
        <v>35.1</v>
      </c>
      <c r="I13" s="15">
        <f t="shared" si="2"/>
        <v>0.107</v>
      </c>
      <c r="J13" s="15">
        <f>ROUND(G13/132720-1,2)</f>
        <v>0.04</v>
      </c>
    </row>
    <row r="14" spans="1:10" x14ac:dyDescent="0.25">
      <c r="A14" s="1" t="s">
        <v>16</v>
      </c>
      <c r="B14" s="1" t="s">
        <v>20</v>
      </c>
      <c r="C14" s="10">
        <v>159730</v>
      </c>
      <c r="D14" s="10"/>
      <c r="E14" s="10"/>
      <c r="F14" s="10"/>
      <c r="G14" s="10">
        <f t="shared" si="0"/>
        <v>159730</v>
      </c>
      <c r="H14" s="16">
        <f t="shared" si="1"/>
        <v>40.79</v>
      </c>
      <c r="I14" s="15">
        <f t="shared" si="2"/>
        <v>0.124</v>
      </c>
      <c r="J14" s="15">
        <f>ROUND(G14/153290-1,2)</f>
        <v>0.04</v>
      </c>
    </row>
    <row r="15" spans="1:10" x14ac:dyDescent="0.25">
      <c r="A15" s="1" t="s">
        <v>16</v>
      </c>
      <c r="B15" s="1" t="s">
        <v>95</v>
      </c>
      <c r="C15" s="10"/>
      <c r="D15" s="10"/>
      <c r="E15" s="10">
        <v>258</v>
      </c>
      <c r="F15" s="10"/>
      <c r="G15" s="10">
        <f t="shared" si="0"/>
        <v>258</v>
      </c>
      <c r="H15" s="16">
        <f t="shared" si="1"/>
        <v>7.0000000000000007E-2</v>
      </c>
      <c r="I15" s="15">
        <f t="shared" si="2"/>
        <v>0</v>
      </c>
      <c r="J15" s="15">
        <f>ROUND(G15/340-1,2)</f>
        <v>-0.24</v>
      </c>
    </row>
    <row r="16" spans="1:10" x14ac:dyDescent="0.25">
      <c r="A16" s="1" t="s">
        <v>16</v>
      </c>
      <c r="B16" s="1" t="s">
        <v>21</v>
      </c>
      <c r="C16" s="10"/>
      <c r="D16" s="10"/>
      <c r="E16" s="10">
        <v>463</v>
      </c>
      <c r="F16" s="10"/>
      <c r="G16" s="10">
        <f t="shared" si="0"/>
        <v>463</v>
      </c>
      <c r="H16" s="16">
        <f t="shared" si="1"/>
        <v>0.12</v>
      </c>
      <c r="I16" s="15">
        <f t="shared" si="2"/>
        <v>0</v>
      </c>
      <c r="J16" s="15">
        <f>ROUND(G16/437-1,2)</f>
        <v>0.06</v>
      </c>
    </row>
    <row r="17" spans="1:10" x14ac:dyDescent="0.25">
      <c r="A17" s="1" t="s">
        <v>16</v>
      </c>
      <c r="B17" s="1" t="s">
        <v>22</v>
      </c>
      <c r="C17" s="10"/>
      <c r="D17" s="10"/>
      <c r="E17" s="10">
        <v>2400</v>
      </c>
      <c r="F17" s="10"/>
      <c r="G17" s="10">
        <f t="shared" si="0"/>
        <v>2400</v>
      </c>
      <c r="H17" s="16">
        <f t="shared" si="1"/>
        <v>0.61</v>
      </c>
      <c r="I17" s="15">
        <f t="shared" si="2"/>
        <v>2E-3</v>
      </c>
      <c r="J17" s="15">
        <f>ROUND(G17/3900-1,2)</f>
        <v>-0.38</v>
      </c>
    </row>
    <row r="18" spans="1:10" x14ac:dyDescent="0.25">
      <c r="A18" s="1" t="s">
        <v>16</v>
      </c>
      <c r="B18" s="1" t="s">
        <v>98</v>
      </c>
      <c r="C18" s="10"/>
      <c r="D18" s="10"/>
      <c r="E18" s="10"/>
      <c r="F18" s="10">
        <v>142</v>
      </c>
      <c r="G18" s="10">
        <f t="shared" si="0"/>
        <v>142</v>
      </c>
      <c r="H18" s="16">
        <f t="shared" si="1"/>
        <v>0.04</v>
      </c>
      <c r="I18" s="15">
        <f t="shared" si="2"/>
        <v>0</v>
      </c>
      <c r="J18" s="15"/>
    </row>
    <row r="19" spans="1:10" x14ac:dyDescent="0.25">
      <c r="A19" s="1" t="s">
        <v>16</v>
      </c>
      <c r="B19" s="1" t="s">
        <v>23</v>
      </c>
      <c r="C19" s="10"/>
      <c r="D19" s="10"/>
      <c r="E19" s="10">
        <v>75820</v>
      </c>
      <c r="F19" s="10"/>
      <c r="G19" s="10">
        <f t="shared" si="0"/>
        <v>75820</v>
      </c>
      <c r="H19" s="16">
        <f t="shared" si="1"/>
        <v>19.36</v>
      </c>
      <c r="I19" s="15">
        <f t="shared" si="2"/>
        <v>5.8999999999999997E-2</v>
      </c>
      <c r="J19" s="15">
        <f>ROUND(G19/66360-1,2)</f>
        <v>0.14000000000000001</v>
      </c>
    </row>
    <row r="20" spans="1:10" x14ac:dyDescent="0.25">
      <c r="A20" s="1" t="s">
        <v>16</v>
      </c>
      <c r="B20" s="1" t="s">
        <v>24</v>
      </c>
      <c r="C20" s="10">
        <v>162620</v>
      </c>
      <c r="D20" s="10"/>
      <c r="E20" s="10">
        <v>24160</v>
      </c>
      <c r="F20" s="10">
        <v>150</v>
      </c>
      <c r="G20" s="10">
        <f t="shared" si="0"/>
        <v>186930</v>
      </c>
      <c r="H20" s="16">
        <f t="shared" si="1"/>
        <v>47.73</v>
      </c>
      <c r="I20" s="15">
        <f t="shared" si="2"/>
        <v>0.14599999999999999</v>
      </c>
      <c r="J20" s="15">
        <f>ROUND(G20/179920-1,2)</f>
        <v>0.04</v>
      </c>
    </row>
    <row r="21" spans="1:10" x14ac:dyDescent="0.25">
      <c r="A21" s="1" t="s">
        <v>16</v>
      </c>
      <c r="B21" s="1" t="s">
        <v>25</v>
      </c>
      <c r="C21" s="10"/>
      <c r="D21" s="10"/>
      <c r="E21" s="10">
        <v>6205</v>
      </c>
      <c r="F21" s="10"/>
      <c r="G21" s="10">
        <f t="shared" si="0"/>
        <v>6205</v>
      </c>
      <c r="H21" s="16">
        <f t="shared" si="1"/>
        <v>1.58</v>
      </c>
      <c r="I21" s="15">
        <f t="shared" si="2"/>
        <v>5.0000000000000001E-3</v>
      </c>
      <c r="J21" s="15">
        <f>ROUND(G21/4360-1,2)</f>
        <v>0.42</v>
      </c>
    </row>
    <row r="22" spans="1:10" x14ac:dyDescent="0.25">
      <c r="A22" s="1" t="s">
        <v>16</v>
      </c>
      <c r="B22" s="1" t="s">
        <v>26</v>
      </c>
      <c r="C22" s="10">
        <v>132740</v>
      </c>
      <c r="D22" s="10"/>
      <c r="E22" s="10"/>
      <c r="F22" s="10">
        <v>100</v>
      </c>
      <c r="G22" s="10">
        <f t="shared" si="0"/>
        <v>132840</v>
      </c>
      <c r="H22" s="16">
        <f t="shared" si="1"/>
        <v>33.92</v>
      </c>
      <c r="I22" s="15">
        <f t="shared" si="2"/>
        <v>0.10299999999999999</v>
      </c>
      <c r="J22" s="15">
        <f>ROUND(G22/133080-1,2)</f>
        <v>0</v>
      </c>
    </row>
    <row r="23" spans="1:10" x14ac:dyDescent="0.25">
      <c r="A23" s="1" t="s">
        <v>16</v>
      </c>
      <c r="B23" s="1" t="s">
        <v>27</v>
      </c>
      <c r="C23" s="10"/>
      <c r="D23" s="10"/>
      <c r="E23" s="10">
        <v>1795</v>
      </c>
      <c r="F23" s="10"/>
      <c r="G23" s="10">
        <f t="shared" si="0"/>
        <v>1795</v>
      </c>
      <c r="H23" s="16">
        <f t="shared" si="1"/>
        <v>0.46</v>
      </c>
      <c r="I23" s="15">
        <f t="shared" si="2"/>
        <v>1E-3</v>
      </c>
      <c r="J23" s="15">
        <f>ROUND(G23/1438-1,2)</f>
        <v>0.25</v>
      </c>
    </row>
    <row r="24" spans="1:10" x14ac:dyDescent="0.25">
      <c r="A24" s="1" t="s">
        <v>16</v>
      </c>
      <c r="B24" s="1" t="s">
        <v>28</v>
      </c>
      <c r="C24" s="10"/>
      <c r="D24" s="10"/>
      <c r="E24" s="10">
        <v>1243</v>
      </c>
      <c r="F24" s="10"/>
      <c r="G24" s="10">
        <f t="shared" si="0"/>
        <v>1243</v>
      </c>
      <c r="H24" s="16">
        <f t="shared" si="1"/>
        <v>0.32</v>
      </c>
      <c r="I24" s="15">
        <f t="shared" si="2"/>
        <v>1E-3</v>
      </c>
      <c r="J24" s="15">
        <f>ROUND(G24/785-1,2)</f>
        <v>0.57999999999999996</v>
      </c>
    </row>
    <row r="25" spans="1:10" x14ac:dyDescent="0.25">
      <c r="A25" s="1" t="s">
        <v>16</v>
      </c>
      <c r="B25" s="1" t="s">
        <v>29</v>
      </c>
      <c r="C25" s="10"/>
      <c r="D25" s="10"/>
      <c r="E25" s="10">
        <v>3090</v>
      </c>
      <c r="F25" s="10"/>
      <c r="G25" s="10">
        <f t="shared" si="0"/>
        <v>3090</v>
      </c>
      <c r="H25" s="16">
        <f t="shared" si="1"/>
        <v>0.79</v>
      </c>
      <c r="I25" s="15">
        <f t="shared" si="2"/>
        <v>2E-3</v>
      </c>
      <c r="J25" s="15">
        <f>ROUND(G25/6380-1,2)</f>
        <v>-0.52</v>
      </c>
    </row>
    <row r="26" spans="1:10" x14ac:dyDescent="0.25">
      <c r="A26" s="1" t="s">
        <v>16</v>
      </c>
      <c r="B26" s="1" t="s">
        <v>30</v>
      </c>
      <c r="C26" s="10"/>
      <c r="D26" s="10"/>
      <c r="E26" s="10">
        <v>1280</v>
      </c>
      <c r="F26" s="10"/>
      <c r="G26" s="10">
        <f t="shared" si="0"/>
        <v>1280</v>
      </c>
      <c r="H26" s="16">
        <f t="shared" si="1"/>
        <v>0.33</v>
      </c>
      <c r="I26" s="15">
        <f t="shared" si="2"/>
        <v>1E-3</v>
      </c>
      <c r="J26" s="15">
        <f>ROUND(G26/1210-1,2)</f>
        <v>0.06</v>
      </c>
    </row>
    <row r="27" spans="1:10" x14ac:dyDescent="0.25">
      <c r="A27" s="1" t="s">
        <v>16</v>
      </c>
      <c r="B27" s="1" t="s">
        <v>31</v>
      </c>
      <c r="C27" s="10"/>
      <c r="D27" s="10"/>
      <c r="E27" s="10">
        <v>950</v>
      </c>
      <c r="F27" s="10"/>
      <c r="G27" s="10">
        <f t="shared" si="0"/>
        <v>950</v>
      </c>
      <c r="H27" s="16">
        <f t="shared" si="1"/>
        <v>0.24</v>
      </c>
      <c r="I27" s="15">
        <f t="shared" si="2"/>
        <v>1E-3</v>
      </c>
      <c r="J27" s="15">
        <f>ROUND(G27/850-1,2)</f>
        <v>0.12</v>
      </c>
    </row>
    <row r="28" spans="1:10" x14ac:dyDescent="0.25">
      <c r="A28" s="1" t="s">
        <v>16</v>
      </c>
      <c r="B28" s="1" t="s">
        <v>32</v>
      </c>
      <c r="C28" s="10"/>
      <c r="D28" s="10"/>
      <c r="E28" s="10">
        <v>3405</v>
      </c>
      <c r="F28" s="10"/>
      <c r="G28" s="10">
        <f t="shared" si="0"/>
        <v>3405</v>
      </c>
      <c r="H28" s="16">
        <f t="shared" si="1"/>
        <v>0.87</v>
      </c>
      <c r="I28" s="15">
        <f t="shared" si="2"/>
        <v>3.0000000000000001E-3</v>
      </c>
      <c r="J28" s="15">
        <f>ROUND(G28/1640-1,2)</f>
        <v>1.08</v>
      </c>
    </row>
    <row r="29" spans="1:10" x14ac:dyDescent="0.25">
      <c r="A29" s="1" t="s">
        <v>16</v>
      </c>
      <c r="B29" s="1" t="s">
        <v>33</v>
      </c>
      <c r="C29" s="10"/>
      <c r="D29" s="10">
        <v>370</v>
      </c>
      <c r="E29" s="10">
        <v>186</v>
      </c>
      <c r="F29" s="10"/>
      <c r="G29" s="10">
        <f t="shared" si="0"/>
        <v>556</v>
      </c>
      <c r="H29" s="16">
        <f t="shared" si="1"/>
        <v>0.14000000000000001</v>
      </c>
      <c r="I29" s="15">
        <f t="shared" si="2"/>
        <v>0</v>
      </c>
      <c r="J29" s="15">
        <f>ROUND(G29/458-1,2)</f>
        <v>0.21</v>
      </c>
    </row>
    <row r="30" spans="1:10" x14ac:dyDescent="0.25">
      <c r="A30" s="1" t="s">
        <v>16</v>
      </c>
      <c r="B30" s="1" t="s">
        <v>35</v>
      </c>
      <c r="C30" s="10"/>
      <c r="D30" s="10"/>
      <c r="E30" s="10">
        <v>240</v>
      </c>
      <c r="F30" s="10"/>
      <c r="G30" s="10">
        <f t="shared" si="0"/>
        <v>240</v>
      </c>
      <c r="H30" s="16">
        <f t="shared" si="1"/>
        <v>0.06</v>
      </c>
      <c r="I30" s="15">
        <f t="shared" si="2"/>
        <v>0</v>
      </c>
      <c r="J30" s="15">
        <f>ROUND(G30/576-1,2)</f>
        <v>-0.57999999999999996</v>
      </c>
    </row>
    <row r="31" spans="1:10" x14ac:dyDescent="0.25">
      <c r="A31" s="1" t="s">
        <v>16</v>
      </c>
      <c r="B31" s="1" t="s">
        <v>34</v>
      </c>
      <c r="C31" s="10"/>
      <c r="D31" s="10"/>
      <c r="E31" s="10">
        <v>1380</v>
      </c>
      <c r="F31" s="10"/>
      <c r="G31" s="10">
        <f t="shared" si="0"/>
        <v>1380</v>
      </c>
      <c r="H31" s="16">
        <f t="shared" si="1"/>
        <v>0.35</v>
      </c>
      <c r="I31" s="15">
        <f t="shared" si="2"/>
        <v>1E-3</v>
      </c>
      <c r="J31" s="15">
        <f>ROUND(G31/1230-1,2)</f>
        <v>0.12</v>
      </c>
    </row>
    <row r="32" spans="1:10" x14ac:dyDescent="0.25">
      <c r="A32" s="1" t="s">
        <v>16</v>
      </c>
      <c r="B32" s="1" t="s">
        <v>37</v>
      </c>
      <c r="C32" s="10"/>
      <c r="D32" s="10"/>
      <c r="E32" s="10">
        <v>5380</v>
      </c>
      <c r="F32" s="10"/>
      <c r="G32" s="10">
        <f t="shared" si="0"/>
        <v>5380</v>
      </c>
      <c r="H32" s="16">
        <f t="shared" si="1"/>
        <v>1.37</v>
      </c>
      <c r="I32" s="15">
        <f t="shared" si="2"/>
        <v>4.0000000000000001E-3</v>
      </c>
      <c r="J32" s="15">
        <f>ROUND(G32/6120-1,2)</f>
        <v>-0.12</v>
      </c>
    </row>
    <row r="33" spans="1:10" x14ac:dyDescent="0.25">
      <c r="A33" s="1" t="s">
        <v>16</v>
      </c>
      <c r="B33" s="1" t="s">
        <v>43</v>
      </c>
      <c r="C33" s="10"/>
      <c r="D33" s="10"/>
      <c r="E33" s="10">
        <v>5313</v>
      </c>
      <c r="F33" s="10"/>
      <c r="G33" s="10">
        <f t="shared" si="0"/>
        <v>5313</v>
      </c>
      <c r="H33" s="16">
        <f t="shared" si="1"/>
        <v>1.36</v>
      </c>
      <c r="I33" s="15">
        <f t="shared" si="2"/>
        <v>4.0000000000000001E-3</v>
      </c>
      <c r="J33" s="15">
        <f>ROUND(G33/13547-1,2)</f>
        <v>-0.61</v>
      </c>
    </row>
    <row r="34" spans="1:10" x14ac:dyDescent="0.25">
      <c r="A34" s="1" t="s">
        <v>16</v>
      </c>
      <c r="B34" s="1" t="s">
        <v>38</v>
      </c>
      <c r="C34" s="10"/>
      <c r="D34" s="10"/>
      <c r="E34" s="10">
        <v>110395</v>
      </c>
      <c r="F34" s="10"/>
      <c r="G34" s="10">
        <f t="shared" si="0"/>
        <v>110395</v>
      </c>
      <c r="H34" s="16">
        <f t="shared" si="1"/>
        <v>28.19</v>
      </c>
      <c r="I34" s="15">
        <f t="shared" si="2"/>
        <v>8.5999999999999993E-2</v>
      </c>
      <c r="J34" s="15">
        <f>ROUND(G34/79300-1,2)</f>
        <v>0.39</v>
      </c>
    </row>
    <row r="35" spans="1:10" x14ac:dyDescent="0.25">
      <c r="A35" s="1" t="s">
        <v>16</v>
      </c>
      <c r="B35" s="1" t="s">
        <v>39</v>
      </c>
      <c r="C35" s="10"/>
      <c r="D35" s="10"/>
      <c r="E35" s="10">
        <v>6370</v>
      </c>
      <c r="F35" s="10"/>
      <c r="G35" s="10">
        <f t="shared" si="0"/>
        <v>6370</v>
      </c>
      <c r="H35" s="16">
        <f t="shared" si="1"/>
        <v>1.63</v>
      </c>
      <c r="I35" s="15">
        <f t="shared" si="2"/>
        <v>5.0000000000000001E-3</v>
      </c>
      <c r="J35" s="15">
        <f>ROUND(G35/6430-1,2)</f>
        <v>-0.01</v>
      </c>
    </row>
    <row r="36" spans="1:10" x14ac:dyDescent="0.25">
      <c r="A36" s="1" t="s">
        <v>16</v>
      </c>
      <c r="B36" s="1" t="s">
        <v>40</v>
      </c>
      <c r="C36" s="10"/>
      <c r="D36" s="10"/>
      <c r="E36" s="10">
        <v>23630</v>
      </c>
      <c r="F36" s="10"/>
      <c r="G36" s="10">
        <f t="shared" si="0"/>
        <v>23630</v>
      </c>
      <c r="H36" s="16">
        <f t="shared" si="1"/>
        <v>6.03</v>
      </c>
      <c r="I36" s="15">
        <f t="shared" si="2"/>
        <v>1.7999999999999999E-2</v>
      </c>
      <c r="J36" s="15">
        <f>ROUND(G36/19560-1,2)</f>
        <v>0.21</v>
      </c>
    </row>
    <row r="37" spans="1:10" x14ac:dyDescent="0.25">
      <c r="A37" s="1" t="s">
        <v>16</v>
      </c>
      <c r="B37" s="1" t="s">
        <v>41</v>
      </c>
      <c r="C37" s="10"/>
      <c r="D37" s="10"/>
      <c r="E37" s="10">
        <v>114690</v>
      </c>
      <c r="F37" s="10"/>
      <c r="G37" s="10">
        <f t="shared" si="0"/>
        <v>114690</v>
      </c>
      <c r="H37" s="16">
        <f t="shared" si="1"/>
        <v>29.29</v>
      </c>
      <c r="I37" s="15">
        <f t="shared" si="2"/>
        <v>8.8999999999999996E-2</v>
      </c>
      <c r="J37" s="15">
        <f>ROUND(G37/108860-1,2)</f>
        <v>0.05</v>
      </c>
    </row>
    <row r="38" spans="1:10" x14ac:dyDescent="0.25">
      <c r="A38" s="1" t="s">
        <v>16</v>
      </c>
      <c r="B38" s="1" t="s">
        <v>36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>
        <f>ROUND(G38/2088-1,2)</f>
        <v>-1</v>
      </c>
    </row>
    <row r="39" spans="1:10" x14ac:dyDescent="0.25">
      <c r="A39" s="1" t="s">
        <v>16</v>
      </c>
      <c r="B39" s="1" t="s">
        <v>262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1" t="s">
        <v>16</v>
      </c>
      <c r="B40" s="1" t="s">
        <v>42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>
        <f>ROUND(G40/194-1,2)</f>
        <v>-1</v>
      </c>
    </row>
    <row r="41" spans="1:10" x14ac:dyDescent="0.25">
      <c r="A41" s="1" t="s">
        <v>44</v>
      </c>
      <c r="B41" s="1" t="s">
        <v>45</v>
      </c>
      <c r="C41" s="10">
        <v>187510</v>
      </c>
      <c r="D41" s="10"/>
      <c r="E41" s="10"/>
      <c r="F41" s="10">
        <v>1250</v>
      </c>
      <c r="G41" s="10">
        <f t="shared" si="0"/>
        <v>188760</v>
      </c>
      <c r="H41" s="16">
        <f t="shared" si="1"/>
        <v>48.2</v>
      </c>
      <c r="I41" s="15">
        <f t="shared" si="2"/>
        <v>0.14699999999999999</v>
      </c>
      <c r="J41" s="15">
        <f>ROUND(G41/212790-1,2)</f>
        <v>-0.11</v>
      </c>
    </row>
    <row r="42" spans="1:10" x14ac:dyDescent="0.25">
      <c r="A42" s="1" t="s">
        <v>44</v>
      </c>
      <c r="B42" s="1" t="s">
        <v>47</v>
      </c>
      <c r="C42" s="10"/>
      <c r="D42" s="10"/>
      <c r="E42" s="10"/>
      <c r="F42" s="10">
        <v>33620</v>
      </c>
      <c r="G42" s="10">
        <f t="shared" si="0"/>
        <v>33620</v>
      </c>
      <c r="H42" s="16">
        <f t="shared" si="1"/>
        <v>8.59</v>
      </c>
      <c r="I42" s="15">
        <f t="shared" si="2"/>
        <v>2.5999999999999999E-2</v>
      </c>
      <c r="J42" s="15">
        <f>ROUND(G42/49620-1,2)</f>
        <v>-0.32</v>
      </c>
    </row>
    <row r="43" spans="1:10" x14ac:dyDescent="0.25">
      <c r="A43" s="1" t="s">
        <v>44</v>
      </c>
      <c r="B43" s="1" t="s">
        <v>46</v>
      </c>
      <c r="C43" s="10"/>
      <c r="D43" s="10"/>
      <c r="E43" s="10">
        <v>78910</v>
      </c>
      <c r="F43" s="10"/>
      <c r="G43" s="10">
        <f t="shared" si="0"/>
        <v>78910</v>
      </c>
      <c r="H43" s="16">
        <f t="shared" si="1"/>
        <v>20.149999999999999</v>
      </c>
      <c r="I43" s="15">
        <f t="shared" si="2"/>
        <v>6.0999999999999999E-2</v>
      </c>
      <c r="J43" s="15">
        <f>ROUND(G43/53710-1,2)</f>
        <v>0.47</v>
      </c>
    </row>
    <row r="44" spans="1:10" x14ac:dyDescent="0.25">
      <c r="A44" s="30" t="s">
        <v>12</v>
      </c>
      <c r="B44" s="30"/>
      <c r="C44" s="11">
        <f t="shared" ref="C44:H44" si="3">SUM(C8:C43)</f>
        <v>772680</v>
      </c>
      <c r="D44" s="11">
        <f t="shared" si="3"/>
        <v>370</v>
      </c>
      <c r="E44" s="11">
        <f t="shared" si="3"/>
        <v>474964</v>
      </c>
      <c r="F44" s="11">
        <f t="shared" si="3"/>
        <v>35522</v>
      </c>
      <c r="G44" s="11">
        <f t="shared" si="3"/>
        <v>1283536</v>
      </c>
      <c r="H44" s="14">
        <f t="shared" si="3"/>
        <v>327.76</v>
      </c>
      <c r="I44" s="17"/>
      <c r="J44" s="17"/>
    </row>
    <row r="45" spans="1:10" x14ac:dyDescent="0.25">
      <c r="A45" s="30" t="s">
        <v>14</v>
      </c>
      <c r="B45" s="30"/>
      <c r="C45" s="12">
        <f>ROUND(C44/G44,2)</f>
        <v>0.6</v>
      </c>
      <c r="D45" s="12">
        <f>ROUND(D44/G44,2)</f>
        <v>0</v>
      </c>
      <c r="E45" s="12">
        <f>ROUND(E44/G44,2)</f>
        <v>0.37</v>
      </c>
      <c r="F45" s="12">
        <f>ROUND(F44/G44,2)</f>
        <v>0.03</v>
      </c>
      <c r="G45" s="13"/>
      <c r="H45" s="13"/>
      <c r="I45" s="17"/>
      <c r="J45" s="17"/>
    </row>
    <row r="46" spans="1:10" x14ac:dyDescent="0.25">
      <c r="A46" s="2" t="s">
        <v>52</v>
      </c>
      <c r="B46" s="2"/>
      <c r="C46" s="13"/>
      <c r="D46" s="13"/>
      <c r="E46" s="13"/>
      <c r="F46" s="13"/>
      <c r="G46" s="13"/>
      <c r="H46" s="13"/>
      <c r="I46" s="17"/>
      <c r="J46" s="17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A50" s="30" t="s">
        <v>53</v>
      </c>
      <c r="B50" s="30"/>
      <c r="C50" s="11" t="s">
        <v>8</v>
      </c>
      <c r="D50" s="11" t="s">
        <v>9</v>
      </c>
      <c r="E50" s="11" t="s">
        <v>10</v>
      </c>
      <c r="F50" s="11" t="s">
        <v>11</v>
      </c>
      <c r="G50" s="11" t="s">
        <v>12</v>
      </c>
      <c r="H50" s="14" t="s">
        <v>13</v>
      </c>
      <c r="I50" s="17"/>
      <c r="J50" s="17"/>
    </row>
    <row r="51" spans="1:10" x14ac:dyDescent="0.25">
      <c r="A51" s="29" t="s">
        <v>54</v>
      </c>
      <c r="B51" s="29"/>
      <c r="C51" s="10">
        <v>585170</v>
      </c>
      <c r="D51" s="10">
        <v>370</v>
      </c>
      <c r="E51" s="10">
        <v>396054</v>
      </c>
      <c r="F51" s="10">
        <v>452</v>
      </c>
      <c r="G51" s="10">
        <f>SUM(C51:F51)</f>
        <v>982046</v>
      </c>
      <c r="H51" s="16">
        <f>ROUND(G51/3916,2)</f>
        <v>250.78</v>
      </c>
      <c r="I51" s="9"/>
      <c r="J51" s="9"/>
    </row>
    <row r="52" spans="1:10" x14ac:dyDescent="0.25">
      <c r="A52" s="29" t="s">
        <v>55</v>
      </c>
      <c r="B52" s="29"/>
      <c r="C52" s="10">
        <v>187510</v>
      </c>
      <c r="D52" s="10">
        <v>0</v>
      </c>
      <c r="E52" s="10">
        <v>78910</v>
      </c>
      <c r="F52" s="10">
        <v>34870</v>
      </c>
      <c r="G52" s="10">
        <f>SUM(C52:F52)</f>
        <v>301290</v>
      </c>
      <c r="H52" s="16">
        <f>ROUND(G52/3916,2)</f>
        <v>76.94</v>
      </c>
      <c r="I52" s="9"/>
      <c r="J52" s="9"/>
    </row>
    <row r="53" spans="1:10" x14ac:dyDescent="0.25">
      <c r="A53" s="29" t="s">
        <v>56</v>
      </c>
      <c r="B53" s="29"/>
      <c r="C53" s="10">
        <v>0</v>
      </c>
      <c r="D53" s="10">
        <v>0</v>
      </c>
      <c r="E53" s="10">
        <v>0</v>
      </c>
      <c r="F53" s="10">
        <v>200</v>
      </c>
      <c r="G53" s="10">
        <f>SUM(C53:F53)</f>
        <v>200</v>
      </c>
      <c r="H53" s="16">
        <f>ROUND(G53/3916,2)</f>
        <v>0.05</v>
      </c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21"/>
      <c r="H57" s="8"/>
      <c r="I57" s="9"/>
      <c r="J57" s="9"/>
    </row>
    <row r="58" spans="1:10" x14ac:dyDescent="0.25">
      <c r="A58" s="30" t="s">
        <v>57</v>
      </c>
      <c r="B58" s="30"/>
      <c r="C58" s="14" t="s">
        <v>2</v>
      </c>
      <c r="D58" s="14">
        <v>2023</v>
      </c>
      <c r="E58" s="14" t="s">
        <v>59</v>
      </c>
      <c r="F58" s="13"/>
      <c r="G58" s="20" t="s">
        <v>60</v>
      </c>
      <c r="H58" s="14" t="s">
        <v>2</v>
      </c>
      <c r="I58" s="12" t="s">
        <v>61</v>
      </c>
      <c r="J58" s="12" t="s">
        <v>59</v>
      </c>
    </row>
    <row r="59" spans="1:10" x14ac:dyDescent="0.25">
      <c r="A59" s="29" t="s">
        <v>58</v>
      </c>
      <c r="B59" s="29"/>
      <c r="C59" s="15">
        <f>ROUND(0.8331, 4)</f>
        <v>0.83309999999999995</v>
      </c>
      <c r="D59" s="15">
        <f>ROUND(0.8082, 4)</f>
        <v>0.80820000000000003</v>
      </c>
      <c r="E59" s="15">
        <f>ROUND(0.777, 4)</f>
        <v>0.77700000000000002</v>
      </c>
      <c r="F59" s="8"/>
      <c r="G59" s="14" t="s">
        <v>62</v>
      </c>
      <c r="H59" s="33" t="s">
        <v>63</v>
      </c>
      <c r="I59" s="31" t="s">
        <v>64</v>
      </c>
      <c r="J59" s="31" t="s">
        <v>65</v>
      </c>
    </row>
    <row r="60" spans="1:10" x14ac:dyDescent="0.25">
      <c r="A60" s="29" t="s">
        <v>66</v>
      </c>
      <c r="B60" s="29"/>
      <c r="C60" s="15">
        <f>ROUND(0.8184, 4)</f>
        <v>0.81840000000000002</v>
      </c>
      <c r="D60" s="15">
        <f>ROUND(0.7937, 4)</f>
        <v>0.79369999999999996</v>
      </c>
      <c r="E60" s="15">
        <f>ROUND(0.7608, 4)</f>
        <v>0.76080000000000003</v>
      </c>
      <c r="F60" s="8"/>
      <c r="G60" s="14" t="s">
        <v>67</v>
      </c>
      <c r="H60" s="34"/>
      <c r="I60" s="32"/>
      <c r="J60" s="32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A64" s="30" t="s">
        <v>68</v>
      </c>
      <c r="B64" s="30"/>
      <c r="C64" s="14" t="s">
        <v>2</v>
      </c>
      <c r="D64" s="14" t="s">
        <v>263</v>
      </c>
      <c r="E64" s="14" t="s">
        <v>70</v>
      </c>
      <c r="F64" s="14" t="s">
        <v>71</v>
      </c>
      <c r="G64" s="14" t="s">
        <v>72</v>
      </c>
      <c r="H64" s="13"/>
      <c r="I64" s="17"/>
      <c r="J64" s="17"/>
    </row>
    <row r="65" spans="1:10" x14ac:dyDescent="0.25">
      <c r="A65" s="29" t="s">
        <v>73</v>
      </c>
      <c r="B65" s="29"/>
      <c r="C65" s="16">
        <v>48.2</v>
      </c>
      <c r="D65" s="16">
        <v>50.44</v>
      </c>
      <c r="E65" s="16">
        <v>93.87</v>
      </c>
      <c r="F65" s="16">
        <v>57.16</v>
      </c>
      <c r="G65" s="16">
        <f>12/12*C65</f>
        <v>48.2</v>
      </c>
      <c r="H65" s="8"/>
      <c r="I65" s="9"/>
      <c r="J65" s="9"/>
    </row>
    <row r="66" spans="1:10" x14ac:dyDescent="0.25">
      <c r="A66" s="29" t="s">
        <v>74</v>
      </c>
      <c r="B66" s="29"/>
      <c r="C66" s="16">
        <v>33.92</v>
      </c>
      <c r="D66" s="16">
        <v>33.1</v>
      </c>
      <c r="E66" s="16">
        <v>62.84</v>
      </c>
      <c r="F66" s="16">
        <v>65.39</v>
      </c>
      <c r="G66" s="16">
        <f>12/12*C66</f>
        <v>33.92</v>
      </c>
      <c r="H66" s="8"/>
      <c r="I66" s="9"/>
      <c r="J66" s="9"/>
    </row>
    <row r="67" spans="1:10" x14ac:dyDescent="0.25">
      <c r="A67" s="29" t="s">
        <v>75</v>
      </c>
      <c r="B67" s="29"/>
      <c r="C67" s="16">
        <v>250.78</v>
      </c>
      <c r="D67" s="16">
        <v>227.24</v>
      </c>
      <c r="E67" s="16">
        <v>295.08999999999997</v>
      </c>
      <c r="F67" s="16">
        <v>289.06</v>
      </c>
      <c r="G67" s="16">
        <f>12/12*C67</f>
        <v>250.78</v>
      </c>
      <c r="H67" s="8"/>
      <c r="I67" s="9"/>
      <c r="J67" s="9"/>
    </row>
    <row r="68" spans="1:10" x14ac:dyDescent="0.25">
      <c r="A68" s="29" t="s">
        <v>76</v>
      </c>
      <c r="B68" s="29"/>
      <c r="C68" s="16">
        <v>76.94</v>
      </c>
      <c r="D68" s="16">
        <v>73.97</v>
      </c>
      <c r="E68" s="16">
        <v>118.05</v>
      </c>
      <c r="F68" s="16">
        <v>81.41</v>
      </c>
      <c r="G68" s="16">
        <f>12/12*C68</f>
        <v>76.94</v>
      </c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1" spans="1:10" x14ac:dyDescent="0.25">
      <c r="A71" s="28" t="s">
        <v>60</v>
      </c>
      <c r="B71" s="35"/>
    </row>
    <row r="72" spans="1:10" x14ac:dyDescent="0.25">
      <c r="A72" s="3" t="s">
        <v>77</v>
      </c>
      <c r="B72" s="1" t="s">
        <v>264</v>
      </c>
    </row>
    <row r="73" spans="1:10" x14ac:dyDescent="0.25">
      <c r="A73" s="3" t="s">
        <v>70</v>
      </c>
      <c r="B73" s="1" t="s">
        <v>79</v>
      </c>
    </row>
    <row r="74" spans="1:10" x14ac:dyDescent="0.25">
      <c r="A74" s="3" t="s">
        <v>71</v>
      </c>
      <c r="B74" s="1" t="s">
        <v>80</v>
      </c>
    </row>
    <row r="75" spans="1:10" x14ac:dyDescent="0.25">
      <c r="A75" s="3" t="s">
        <v>72</v>
      </c>
      <c r="B75" s="1" t="s">
        <v>81</v>
      </c>
    </row>
  </sheetData>
  <mergeCells count="19">
    <mergeCell ref="A66:B66"/>
    <mergeCell ref="A67:B67"/>
    <mergeCell ref="A68:B68"/>
    <mergeCell ref="A71:B71"/>
    <mergeCell ref="I59:I60"/>
    <mergeCell ref="J59:J60"/>
    <mergeCell ref="A60:B60"/>
    <mergeCell ref="A64:B64"/>
    <mergeCell ref="A65:B65"/>
    <mergeCell ref="A52:B52"/>
    <mergeCell ref="A53:B53"/>
    <mergeCell ref="A58:B58"/>
    <mergeCell ref="A59:B59"/>
    <mergeCell ref="H59:H60"/>
    <mergeCell ref="C7:G7"/>
    <mergeCell ref="A44:B44"/>
    <mergeCell ref="A45:B45"/>
    <mergeCell ref="A50:B50"/>
    <mergeCell ref="A51:B51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2:J70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1.57031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265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254</v>
      </c>
    </row>
    <row r="7" spans="1:10" x14ac:dyDescent="0.25">
      <c r="C7" s="28" t="s">
        <v>5</v>
      </c>
      <c r="D7" s="29"/>
      <c r="E7" s="29"/>
      <c r="F7" s="29"/>
      <c r="G7" s="29"/>
    </row>
    <row r="8" spans="1:10" x14ac:dyDescent="0.25">
      <c r="A8" s="25" t="s">
        <v>6</v>
      </c>
      <c r="B8" s="25" t="s">
        <v>7</v>
      </c>
      <c r="C8" s="27" t="s">
        <v>8</v>
      </c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5</v>
      </c>
      <c r="F9" s="10"/>
      <c r="G9" s="10">
        <f t="shared" ref="G9:G37" si="0">SUM(C9:F9)</f>
        <v>5</v>
      </c>
      <c r="H9" s="16">
        <f t="shared" ref="H9:H37" si="1">ROUND(G9/254,2)</f>
        <v>0.02</v>
      </c>
      <c r="I9" s="15">
        <f t="shared" ref="I9:I37" si="2">ROUND(G9/$G$38,3)</f>
        <v>0</v>
      </c>
      <c r="J9" s="15"/>
    </row>
    <row r="10" spans="1:10" x14ac:dyDescent="0.25">
      <c r="A10" s="1" t="s">
        <v>16</v>
      </c>
      <c r="B10" s="1" t="s">
        <v>19</v>
      </c>
      <c r="C10" s="10">
        <v>9200</v>
      </c>
      <c r="D10" s="10"/>
      <c r="E10" s="10">
        <v>1016</v>
      </c>
      <c r="F10" s="10"/>
      <c r="G10" s="10">
        <f t="shared" si="0"/>
        <v>10216</v>
      </c>
      <c r="H10" s="16">
        <f t="shared" si="1"/>
        <v>40.22</v>
      </c>
      <c r="I10" s="15">
        <f t="shared" si="2"/>
        <v>9.5000000000000001E-2</v>
      </c>
      <c r="J10" s="15">
        <f>ROUND(G10/7905.13-1,2)</f>
        <v>0.28999999999999998</v>
      </c>
    </row>
    <row r="11" spans="1:10" x14ac:dyDescent="0.25">
      <c r="A11" s="1" t="s">
        <v>16</v>
      </c>
      <c r="B11" s="1" t="s">
        <v>20</v>
      </c>
      <c r="C11" s="10">
        <v>13560</v>
      </c>
      <c r="D11" s="10"/>
      <c r="E11" s="10">
        <v>144</v>
      </c>
      <c r="F11" s="10"/>
      <c r="G11" s="10">
        <f t="shared" si="0"/>
        <v>13704</v>
      </c>
      <c r="H11" s="16">
        <f t="shared" si="1"/>
        <v>53.95</v>
      </c>
      <c r="I11" s="15">
        <f t="shared" si="2"/>
        <v>0.128</v>
      </c>
      <c r="J11" s="15">
        <f>ROUND(G11/11530-1,2)</f>
        <v>0.19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23</v>
      </c>
      <c r="F12" s="10"/>
      <c r="G12" s="10">
        <f t="shared" si="0"/>
        <v>23</v>
      </c>
      <c r="H12" s="16">
        <f t="shared" si="1"/>
        <v>0.09</v>
      </c>
      <c r="I12" s="15">
        <f t="shared" si="2"/>
        <v>0</v>
      </c>
      <c r="J12" s="15"/>
    </row>
    <row r="13" spans="1:10" x14ac:dyDescent="0.25">
      <c r="A13" s="1" t="s">
        <v>16</v>
      </c>
      <c r="B13" s="1" t="s">
        <v>22</v>
      </c>
      <c r="C13" s="10"/>
      <c r="D13" s="10"/>
      <c r="E13" s="10">
        <v>389</v>
      </c>
      <c r="F13" s="10"/>
      <c r="G13" s="10">
        <f t="shared" si="0"/>
        <v>389</v>
      </c>
      <c r="H13" s="16">
        <f t="shared" si="1"/>
        <v>1.53</v>
      </c>
      <c r="I13" s="15">
        <f t="shared" si="2"/>
        <v>4.0000000000000001E-3</v>
      </c>
      <c r="J13" s="15"/>
    </row>
    <row r="14" spans="1:10" x14ac:dyDescent="0.25">
      <c r="A14" s="1" t="s">
        <v>16</v>
      </c>
      <c r="B14" s="1" t="s">
        <v>23</v>
      </c>
      <c r="C14" s="10"/>
      <c r="D14" s="10"/>
      <c r="E14" s="10">
        <v>7157</v>
      </c>
      <c r="F14" s="10"/>
      <c r="G14" s="10">
        <f t="shared" si="0"/>
        <v>7157</v>
      </c>
      <c r="H14" s="16">
        <f t="shared" si="1"/>
        <v>28.18</v>
      </c>
      <c r="I14" s="15">
        <f t="shared" si="2"/>
        <v>6.7000000000000004E-2</v>
      </c>
      <c r="J14" s="15">
        <f>ROUND(G14/2949.76-1,2)</f>
        <v>1.43</v>
      </c>
    </row>
    <row r="15" spans="1:10" x14ac:dyDescent="0.25">
      <c r="A15" s="1" t="s">
        <v>16</v>
      </c>
      <c r="B15" s="1" t="s">
        <v>24</v>
      </c>
      <c r="C15" s="10">
        <v>8820</v>
      </c>
      <c r="D15" s="10"/>
      <c r="E15" s="10">
        <v>2772</v>
      </c>
      <c r="F15" s="10"/>
      <c r="G15" s="10">
        <f t="shared" si="0"/>
        <v>11592</v>
      </c>
      <c r="H15" s="16">
        <f t="shared" si="1"/>
        <v>45.64</v>
      </c>
      <c r="I15" s="15">
        <f t="shared" si="2"/>
        <v>0.108</v>
      </c>
      <c r="J15" s="15">
        <f>ROUND(G15/11694.76-1,2)</f>
        <v>-0.01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412</v>
      </c>
      <c r="F16" s="10"/>
      <c r="G16" s="10">
        <f t="shared" si="0"/>
        <v>412</v>
      </c>
      <c r="H16" s="16">
        <f t="shared" si="1"/>
        <v>1.62</v>
      </c>
      <c r="I16" s="15">
        <f t="shared" si="2"/>
        <v>4.0000000000000001E-3</v>
      </c>
      <c r="J16" s="15"/>
    </row>
    <row r="17" spans="1:10" x14ac:dyDescent="0.25">
      <c r="A17" s="1" t="s">
        <v>16</v>
      </c>
      <c r="B17" s="1" t="s">
        <v>26</v>
      </c>
      <c r="C17" s="10">
        <v>14190</v>
      </c>
      <c r="D17" s="10"/>
      <c r="E17" s="10"/>
      <c r="F17" s="10"/>
      <c r="G17" s="10">
        <f t="shared" si="0"/>
        <v>14190</v>
      </c>
      <c r="H17" s="16">
        <f t="shared" si="1"/>
        <v>55.87</v>
      </c>
      <c r="I17" s="15">
        <f t="shared" si="2"/>
        <v>0.13200000000000001</v>
      </c>
      <c r="J17" s="15">
        <f>ROUND(G17/12310-1,2)</f>
        <v>0.15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92</v>
      </c>
      <c r="F18" s="10"/>
      <c r="G18" s="10">
        <f t="shared" si="0"/>
        <v>92</v>
      </c>
      <c r="H18" s="16">
        <f t="shared" si="1"/>
        <v>0.36</v>
      </c>
      <c r="I18" s="15">
        <f t="shared" si="2"/>
        <v>1E-3</v>
      </c>
      <c r="J18" s="15"/>
    </row>
    <row r="19" spans="1:10" x14ac:dyDescent="0.25">
      <c r="A19" s="1" t="s">
        <v>16</v>
      </c>
      <c r="B19" s="1" t="s">
        <v>28</v>
      </c>
      <c r="C19" s="10"/>
      <c r="D19" s="10"/>
      <c r="E19" s="10">
        <v>57</v>
      </c>
      <c r="F19" s="10"/>
      <c r="G19" s="10">
        <f t="shared" si="0"/>
        <v>57</v>
      </c>
      <c r="H19" s="16">
        <f t="shared" si="1"/>
        <v>0.22</v>
      </c>
      <c r="I19" s="15">
        <f t="shared" si="2"/>
        <v>1E-3</v>
      </c>
      <c r="J19" s="15"/>
    </row>
    <row r="20" spans="1:10" x14ac:dyDescent="0.25">
      <c r="A20" s="1" t="s">
        <v>16</v>
      </c>
      <c r="B20" s="1" t="s">
        <v>42</v>
      </c>
      <c r="C20" s="10"/>
      <c r="D20" s="10"/>
      <c r="E20" s="10">
        <v>8</v>
      </c>
      <c r="F20" s="10"/>
      <c r="G20" s="10">
        <f t="shared" si="0"/>
        <v>8</v>
      </c>
      <c r="H20" s="16">
        <f t="shared" si="1"/>
        <v>0.03</v>
      </c>
      <c r="I20" s="15">
        <f t="shared" si="2"/>
        <v>0</v>
      </c>
      <c r="J20" s="15"/>
    </row>
    <row r="21" spans="1:10" x14ac:dyDescent="0.25">
      <c r="A21" s="1" t="s">
        <v>16</v>
      </c>
      <c r="B21" s="1" t="s">
        <v>29</v>
      </c>
      <c r="C21" s="10"/>
      <c r="D21" s="10"/>
      <c r="E21" s="10">
        <v>194</v>
      </c>
      <c r="F21" s="10"/>
      <c r="G21" s="10">
        <f t="shared" si="0"/>
        <v>194</v>
      </c>
      <c r="H21" s="16">
        <f t="shared" si="1"/>
        <v>0.76</v>
      </c>
      <c r="I21" s="15">
        <f t="shared" si="2"/>
        <v>2E-3</v>
      </c>
      <c r="J21" s="15">
        <f>ROUND(G21/425-1,2)</f>
        <v>-0.54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59</v>
      </c>
      <c r="F22" s="10"/>
      <c r="G22" s="10">
        <f t="shared" si="0"/>
        <v>59</v>
      </c>
      <c r="H22" s="16">
        <f t="shared" si="1"/>
        <v>0.23</v>
      </c>
      <c r="I22" s="15">
        <f t="shared" si="2"/>
        <v>1E-3</v>
      </c>
      <c r="J22" s="15">
        <f>ROUND(G22/26.83-1,2)</f>
        <v>1.2</v>
      </c>
    </row>
    <row r="23" spans="1:10" x14ac:dyDescent="0.25">
      <c r="A23" s="1" t="s">
        <v>16</v>
      </c>
      <c r="B23" s="1" t="s">
        <v>31</v>
      </c>
      <c r="C23" s="10"/>
      <c r="D23" s="10"/>
      <c r="E23" s="10">
        <v>53</v>
      </c>
      <c r="F23" s="10"/>
      <c r="G23" s="10">
        <f t="shared" si="0"/>
        <v>53</v>
      </c>
      <c r="H23" s="16">
        <f t="shared" si="1"/>
        <v>0.21</v>
      </c>
      <c r="I23" s="15">
        <f t="shared" si="2"/>
        <v>0</v>
      </c>
      <c r="J23" s="15"/>
    </row>
    <row r="24" spans="1:10" x14ac:dyDescent="0.25">
      <c r="A24" s="1" t="s">
        <v>16</v>
      </c>
      <c r="B24" s="1" t="s">
        <v>32</v>
      </c>
      <c r="C24" s="10"/>
      <c r="D24" s="10"/>
      <c r="E24" s="10">
        <v>153</v>
      </c>
      <c r="F24" s="10"/>
      <c r="G24" s="10">
        <f t="shared" si="0"/>
        <v>153</v>
      </c>
      <c r="H24" s="16">
        <f t="shared" si="1"/>
        <v>0.6</v>
      </c>
      <c r="I24" s="15">
        <f t="shared" si="2"/>
        <v>1E-3</v>
      </c>
      <c r="J24" s="15"/>
    </row>
    <row r="25" spans="1:10" x14ac:dyDescent="0.25">
      <c r="A25" s="1" t="s">
        <v>16</v>
      </c>
      <c r="B25" s="1" t="s">
        <v>33</v>
      </c>
      <c r="C25" s="10"/>
      <c r="D25" s="10"/>
      <c r="E25" s="10">
        <v>24</v>
      </c>
      <c r="F25" s="10"/>
      <c r="G25" s="10">
        <f t="shared" si="0"/>
        <v>24</v>
      </c>
      <c r="H25" s="16">
        <f t="shared" si="1"/>
        <v>0.09</v>
      </c>
      <c r="I25" s="15">
        <f t="shared" si="2"/>
        <v>0</v>
      </c>
      <c r="J25" s="15"/>
    </row>
    <row r="26" spans="1:10" x14ac:dyDescent="0.25">
      <c r="A26" s="1" t="s">
        <v>16</v>
      </c>
      <c r="B26" s="1" t="s">
        <v>37</v>
      </c>
      <c r="C26" s="10"/>
      <c r="D26" s="10"/>
      <c r="E26" s="10">
        <v>348</v>
      </c>
      <c r="F26" s="10"/>
      <c r="G26" s="10">
        <f t="shared" si="0"/>
        <v>348</v>
      </c>
      <c r="H26" s="16">
        <f t="shared" si="1"/>
        <v>1.37</v>
      </c>
      <c r="I26" s="15">
        <f t="shared" si="2"/>
        <v>3.0000000000000001E-3</v>
      </c>
      <c r="J26" s="15">
        <f>ROUND(G26/58.02-1,2)</f>
        <v>5</v>
      </c>
    </row>
    <row r="27" spans="1:10" x14ac:dyDescent="0.25">
      <c r="A27" s="1" t="s">
        <v>16</v>
      </c>
      <c r="B27" s="1" t="s">
        <v>43</v>
      </c>
      <c r="C27" s="10"/>
      <c r="D27" s="10"/>
      <c r="E27" s="10">
        <v>344</v>
      </c>
      <c r="F27" s="10"/>
      <c r="G27" s="10">
        <f t="shared" si="0"/>
        <v>344</v>
      </c>
      <c r="H27" s="16">
        <f t="shared" si="1"/>
        <v>1.35</v>
      </c>
      <c r="I27" s="15">
        <f t="shared" si="2"/>
        <v>3.0000000000000001E-3</v>
      </c>
      <c r="J27" s="15"/>
    </row>
    <row r="28" spans="1:10" x14ac:dyDescent="0.25">
      <c r="A28" s="1" t="s">
        <v>16</v>
      </c>
      <c r="B28" s="1" t="s">
        <v>38</v>
      </c>
      <c r="C28" s="10"/>
      <c r="D28" s="10"/>
      <c r="E28" s="10">
        <v>7300</v>
      </c>
      <c r="F28" s="10"/>
      <c r="G28" s="10">
        <f t="shared" si="0"/>
        <v>7300</v>
      </c>
      <c r="H28" s="16">
        <f t="shared" si="1"/>
        <v>28.74</v>
      </c>
      <c r="I28" s="15">
        <f t="shared" si="2"/>
        <v>6.8000000000000005E-2</v>
      </c>
      <c r="J28" s="15">
        <f>ROUND(G28/3846.28-1,2)</f>
        <v>0.9</v>
      </c>
    </row>
    <row r="29" spans="1:10" x14ac:dyDescent="0.25">
      <c r="A29" s="1" t="s">
        <v>16</v>
      </c>
      <c r="B29" s="1" t="s">
        <v>40</v>
      </c>
      <c r="C29" s="10"/>
      <c r="D29" s="10"/>
      <c r="E29" s="10">
        <v>2652</v>
      </c>
      <c r="F29" s="10"/>
      <c r="G29" s="10">
        <f t="shared" si="0"/>
        <v>2652</v>
      </c>
      <c r="H29" s="16">
        <f t="shared" si="1"/>
        <v>10.44</v>
      </c>
      <c r="I29" s="15">
        <f t="shared" si="2"/>
        <v>2.5000000000000001E-2</v>
      </c>
      <c r="J29" s="15">
        <f>ROUND(G29/1368.72-1,2)</f>
        <v>0.94</v>
      </c>
    </row>
    <row r="30" spans="1:10" x14ac:dyDescent="0.25">
      <c r="A30" s="1" t="s">
        <v>16</v>
      </c>
      <c r="B30" s="1" t="s">
        <v>41</v>
      </c>
      <c r="C30" s="10"/>
      <c r="D30" s="10"/>
      <c r="E30" s="10">
        <v>4791</v>
      </c>
      <c r="F30" s="10"/>
      <c r="G30" s="10">
        <f t="shared" si="0"/>
        <v>4791</v>
      </c>
      <c r="H30" s="16">
        <f t="shared" si="1"/>
        <v>18.86</v>
      </c>
      <c r="I30" s="15">
        <f t="shared" si="2"/>
        <v>4.4999999999999998E-2</v>
      </c>
      <c r="J30" s="15">
        <f>ROUND(G30/235.95-1,2)</f>
        <v>19.309999999999999</v>
      </c>
    </row>
    <row r="31" spans="1:10" x14ac:dyDescent="0.25">
      <c r="A31" s="1" t="s">
        <v>16</v>
      </c>
      <c r="B31" s="1" t="s">
        <v>36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>
        <f>ROUND(G31/328.12-1,2)</f>
        <v>-1</v>
      </c>
    </row>
    <row r="32" spans="1:10" x14ac:dyDescent="0.25">
      <c r="A32" s="1" t="s">
        <v>16</v>
      </c>
      <c r="B32" s="1" t="s">
        <v>35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/>
    </row>
    <row r="33" spans="1:10" x14ac:dyDescent="0.25">
      <c r="A33" s="1" t="s">
        <v>16</v>
      </c>
      <c r="B33" s="1" t="s">
        <v>39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/>
    </row>
    <row r="34" spans="1:10" x14ac:dyDescent="0.25">
      <c r="A34" s="1" t="s">
        <v>44</v>
      </c>
      <c r="B34" s="1" t="s">
        <v>45</v>
      </c>
      <c r="C34" s="10">
        <v>29160</v>
      </c>
      <c r="D34" s="10"/>
      <c r="E34" s="10"/>
      <c r="F34" s="10"/>
      <c r="G34" s="10">
        <f t="shared" si="0"/>
        <v>29160</v>
      </c>
      <c r="H34" s="16">
        <f t="shared" si="1"/>
        <v>114.8</v>
      </c>
      <c r="I34" s="15">
        <f t="shared" si="2"/>
        <v>0.27200000000000002</v>
      </c>
      <c r="J34" s="15">
        <f>ROUND(G34/27180-1,2)</f>
        <v>7.0000000000000007E-2</v>
      </c>
    </row>
    <row r="35" spans="1:10" x14ac:dyDescent="0.25">
      <c r="A35" s="1" t="s">
        <v>44</v>
      </c>
      <c r="B35" s="1" t="s">
        <v>46</v>
      </c>
      <c r="C35" s="10"/>
      <c r="D35" s="10"/>
      <c r="E35" s="10">
        <v>4315</v>
      </c>
      <c r="F35" s="10"/>
      <c r="G35" s="10">
        <f t="shared" si="0"/>
        <v>4315</v>
      </c>
      <c r="H35" s="16">
        <f t="shared" si="1"/>
        <v>16.989999999999998</v>
      </c>
      <c r="I35" s="15">
        <f t="shared" si="2"/>
        <v>0.04</v>
      </c>
      <c r="J35" s="15">
        <f>ROUND(G35/2038.72-1,2)</f>
        <v>1.1200000000000001</v>
      </c>
    </row>
    <row r="36" spans="1:10" x14ac:dyDescent="0.25">
      <c r="A36" s="1" t="s">
        <v>44</v>
      </c>
      <c r="B36" s="1" t="s">
        <v>47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/>
    </row>
    <row r="37" spans="1:10" x14ac:dyDescent="0.25">
      <c r="A37" s="1" t="s">
        <v>48</v>
      </c>
      <c r="B37" s="1" t="s">
        <v>51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30" t="s">
        <v>12</v>
      </c>
      <c r="B38" s="30"/>
      <c r="C38" s="11">
        <f t="shared" ref="C38:H38" si="3">SUM(C8:C37)</f>
        <v>74930</v>
      </c>
      <c r="D38" s="11">
        <f t="shared" si="3"/>
        <v>0</v>
      </c>
      <c r="E38" s="11">
        <f t="shared" si="3"/>
        <v>32308</v>
      </c>
      <c r="F38" s="11">
        <f t="shared" si="3"/>
        <v>0</v>
      </c>
      <c r="G38" s="11">
        <f t="shared" si="3"/>
        <v>107238</v>
      </c>
      <c r="H38" s="14">
        <f t="shared" si="3"/>
        <v>422.17</v>
      </c>
      <c r="I38" s="17"/>
      <c r="J38" s="17"/>
    </row>
    <row r="39" spans="1:10" x14ac:dyDescent="0.25">
      <c r="A39" s="30" t="s">
        <v>14</v>
      </c>
      <c r="B39" s="30"/>
      <c r="C39" s="12">
        <f>ROUND(C38/G38,2)</f>
        <v>0.7</v>
      </c>
      <c r="D39" s="12">
        <f>ROUND(D38/G38,2)</f>
        <v>0</v>
      </c>
      <c r="E39" s="12">
        <f>ROUND(E38/G38,2)</f>
        <v>0.3</v>
      </c>
      <c r="F39" s="12">
        <f>ROUND(F38/G38,2)</f>
        <v>0</v>
      </c>
      <c r="G39" s="13"/>
      <c r="H39" s="13"/>
      <c r="I39" s="17"/>
      <c r="J39" s="17"/>
    </row>
    <row r="40" spans="1:10" x14ac:dyDescent="0.25">
      <c r="A40" s="2" t="s">
        <v>52</v>
      </c>
      <c r="B40" s="2"/>
      <c r="C40" s="13"/>
      <c r="D40" s="13"/>
      <c r="E40" s="13"/>
      <c r="F40" s="13"/>
      <c r="G40" s="13"/>
      <c r="H40" s="13"/>
      <c r="I40" s="17"/>
      <c r="J40" s="17"/>
    </row>
    <row r="41" spans="1:10" x14ac:dyDescent="0.25">
      <c r="C41" s="8"/>
      <c r="D41" s="8"/>
      <c r="E41" s="8"/>
      <c r="F41" s="8"/>
      <c r="G41" s="8"/>
      <c r="H41" s="8"/>
      <c r="I41" s="9"/>
      <c r="J41" s="9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A44" s="30" t="s">
        <v>53</v>
      </c>
      <c r="B44" s="30"/>
      <c r="C44" s="11" t="s">
        <v>8</v>
      </c>
      <c r="D44" s="11" t="s">
        <v>9</v>
      </c>
      <c r="E44" s="11" t="s">
        <v>10</v>
      </c>
      <c r="F44" s="11" t="s">
        <v>11</v>
      </c>
      <c r="G44" s="11" t="s">
        <v>12</v>
      </c>
      <c r="H44" s="14" t="s">
        <v>13</v>
      </c>
      <c r="I44" s="17"/>
      <c r="J44" s="17"/>
    </row>
    <row r="45" spans="1:10" x14ac:dyDescent="0.25">
      <c r="A45" s="29" t="s">
        <v>54</v>
      </c>
      <c r="B45" s="29"/>
      <c r="C45" s="10">
        <v>45770</v>
      </c>
      <c r="D45" s="10">
        <v>0</v>
      </c>
      <c r="E45" s="10">
        <v>27993</v>
      </c>
      <c r="F45" s="10">
        <v>0</v>
      </c>
      <c r="G45" s="10">
        <f>SUM(C45:F45)</f>
        <v>73763</v>
      </c>
      <c r="H45" s="16">
        <f>ROUND(G45/254,2)</f>
        <v>290.41000000000003</v>
      </c>
      <c r="I45" s="9"/>
      <c r="J45" s="9"/>
    </row>
    <row r="46" spans="1:10" x14ac:dyDescent="0.25">
      <c r="A46" s="29" t="s">
        <v>55</v>
      </c>
      <c r="B46" s="29"/>
      <c r="C46" s="10">
        <v>29160</v>
      </c>
      <c r="D46" s="10">
        <v>0</v>
      </c>
      <c r="E46" s="10">
        <v>4315</v>
      </c>
      <c r="F46" s="10">
        <v>0</v>
      </c>
      <c r="G46" s="10">
        <f>SUM(C46:F46)</f>
        <v>33475</v>
      </c>
      <c r="H46" s="16">
        <f>ROUND(G46/254,2)</f>
        <v>131.79</v>
      </c>
      <c r="I46" s="9"/>
      <c r="J46" s="9"/>
    </row>
    <row r="47" spans="1:10" x14ac:dyDescent="0.25">
      <c r="A47" s="29" t="s">
        <v>56</v>
      </c>
      <c r="B47" s="29"/>
      <c r="C47" s="10">
        <v>0</v>
      </c>
      <c r="D47" s="10">
        <v>0</v>
      </c>
      <c r="E47" s="10">
        <v>0</v>
      </c>
      <c r="F47" s="10">
        <v>0</v>
      </c>
      <c r="G47" s="10">
        <f>SUM(C47:F47)</f>
        <v>0</v>
      </c>
      <c r="H47" s="16">
        <f>ROUND(G47/254,2)</f>
        <v>0</v>
      </c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A52" s="30" t="s">
        <v>57</v>
      </c>
      <c r="B52" s="30"/>
      <c r="C52" s="14" t="s">
        <v>2</v>
      </c>
      <c r="D52" s="14">
        <v>2023</v>
      </c>
      <c r="E52" s="14" t="s">
        <v>59</v>
      </c>
      <c r="F52" s="13"/>
      <c r="G52" s="14" t="s">
        <v>60</v>
      </c>
      <c r="H52" s="14" t="s">
        <v>2</v>
      </c>
      <c r="I52" s="12" t="s">
        <v>61</v>
      </c>
      <c r="J52" s="12" t="s">
        <v>59</v>
      </c>
    </row>
    <row r="53" spans="1:10" x14ac:dyDescent="0.25">
      <c r="A53" s="29" t="s">
        <v>58</v>
      </c>
      <c r="B53" s="29"/>
      <c r="C53" s="15">
        <f>ROUND(0.7046, 4)</f>
        <v>0.7046</v>
      </c>
      <c r="D53" s="15">
        <f>ROUND(0.6531, 4)</f>
        <v>0.65310000000000001</v>
      </c>
      <c r="E53" s="15">
        <f>ROUND(0.777, 4)</f>
        <v>0.77700000000000002</v>
      </c>
      <c r="F53" s="8"/>
      <c r="G53" s="14" t="s">
        <v>62</v>
      </c>
      <c r="H53" s="33" t="s">
        <v>63</v>
      </c>
      <c r="I53" s="31" t="s">
        <v>64</v>
      </c>
      <c r="J53" s="31" t="s">
        <v>65</v>
      </c>
    </row>
    <row r="54" spans="1:10" x14ac:dyDescent="0.25">
      <c r="A54" s="29" t="s">
        <v>66</v>
      </c>
      <c r="B54" s="29"/>
      <c r="C54" s="15">
        <f>ROUND(0.6666, 4)</f>
        <v>0.66659999999999997</v>
      </c>
      <c r="D54" s="15">
        <f>ROUND(0.6157, 4)</f>
        <v>0.61570000000000003</v>
      </c>
      <c r="E54" s="15">
        <f>ROUND(0.7608, 4)</f>
        <v>0.76080000000000003</v>
      </c>
      <c r="F54" s="8"/>
      <c r="G54" s="14" t="s">
        <v>67</v>
      </c>
      <c r="H54" s="34"/>
      <c r="I54" s="32"/>
      <c r="J54" s="32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21"/>
      <c r="H57" s="8"/>
      <c r="I57" s="9"/>
      <c r="J57" s="9"/>
    </row>
    <row r="58" spans="1:10" x14ac:dyDescent="0.25">
      <c r="A58" s="30" t="s">
        <v>68</v>
      </c>
      <c r="B58" s="30"/>
      <c r="C58" s="14" t="s">
        <v>2</v>
      </c>
      <c r="D58" s="14" t="s">
        <v>266</v>
      </c>
      <c r="E58" s="14" t="s">
        <v>70</v>
      </c>
      <c r="F58" s="14" t="s">
        <v>71</v>
      </c>
      <c r="G58" s="20" t="s">
        <v>72</v>
      </c>
      <c r="H58" s="13"/>
      <c r="I58" s="17"/>
      <c r="J58" s="17"/>
    </row>
    <row r="59" spans="1:10" x14ac:dyDescent="0.25">
      <c r="A59" s="29" t="s">
        <v>73</v>
      </c>
      <c r="B59" s="29"/>
      <c r="C59" s="16">
        <v>114.8</v>
      </c>
      <c r="D59" s="16">
        <v>113.86</v>
      </c>
      <c r="E59" s="16">
        <v>93.87</v>
      </c>
      <c r="F59" s="16">
        <v>57.16</v>
      </c>
      <c r="G59" s="16">
        <f>12/12*C59</f>
        <v>114.8</v>
      </c>
      <c r="H59" s="8"/>
      <c r="I59" s="9"/>
      <c r="J59" s="9"/>
    </row>
    <row r="60" spans="1:10" x14ac:dyDescent="0.25">
      <c r="A60" s="29" t="s">
        <v>74</v>
      </c>
      <c r="B60" s="29"/>
      <c r="C60" s="16">
        <v>55.87</v>
      </c>
      <c r="D60" s="16">
        <v>71.73</v>
      </c>
      <c r="E60" s="16">
        <v>62.84</v>
      </c>
      <c r="F60" s="16">
        <v>65.39</v>
      </c>
      <c r="G60" s="16">
        <f>12/12*C60</f>
        <v>55.87</v>
      </c>
      <c r="H60" s="8"/>
      <c r="I60" s="9"/>
      <c r="J60" s="9"/>
    </row>
    <row r="61" spans="1:10" x14ac:dyDescent="0.25">
      <c r="A61" s="29" t="s">
        <v>75</v>
      </c>
      <c r="B61" s="29"/>
      <c r="C61" s="16">
        <v>290.41000000000003</v>
      </c>
      <c r="D61" s="16">
        <v>287.43</v>
      </c>
      <c r="E61" s="16">
        <v>295.08999999999997</v>
      </c>
      <c r="F61" s="16">
        <v>289.06</v>
      </c>
      <c r="G61" s="16">
        <f>12/12*C61</f>
        <v>290.41000000000003</v>
      </c>
      <c r="H61" s="8"/>
      <c r="I61" s="9"/>
      <c r="J61" s="9"/>
    </row>
    <row r="62" spans="1:10" x14ac:dyDescent="0.25">
      <c r="A62" s="29" t="s">
        <v>76</v>
      </c>
      <c r="B62" s="29"/>
      <c r="C62" s="16">
        <v>131.79</v>
      </c>
      <c r="D62" s="16">
        <v>129.52000000000001</v>
      </c>
      <c r="E62" s="16">
        <v>118.05</v>
      </c>
      <c r="F62" s="16">
        <v>81.41</v>
      </c>
      <c r="G62" s="16">
        <f>12/12*C62</f>
        <v>131.79</v>
      </c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A65" s="28" t="s">
        <v>60</v>
      </c>
      <c r="B65" s="35"/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3" t="s">
        <v>77</v>
      </c>
      <c r="B66" s="1" t="s">
        <v>267</v>
      </c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70</v>
      </c>
      <c r="B67" s="1" t="s">
        <v>79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71</v>
      </c>
      <c r="B68" s="1" t="s">
        <v>80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72</v>
      </c>
      <c r="B69" s="1" t="s">
        <v>81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</sheetData>
  <mergeCells count="19">
    <mergeCell ref="A60:B60"/>
    <mergeCell ref="A61:B61"/>
    <mergeCell ref="A62:B62"/>
    <mergeCell ref="A65:B65"/>
    <mergeCell ref="I53:I54"/>
    <mergeCell ref="J53:J54"/>
    <mergeCell ref="A54:B54"/>
    <mergeCell ref="A58:B58"/>
    <mergeCell ref="A59:B59"/>
    <mergeCell ref="A46:B46"/>
    <mergeCell ref="A47:B47"/>
    <mergeCell ref="A52:B52"/>
    <mergeCell ref="A53:B53"/>
    <mergeCell ref="H53:H54"/>
    <mergeCell ref="C7:G7"/>
    <mergeCell ref="A38:B38"/>
    <mergeCell ref="A39:B39"/>
    <mergeCell ref="A44:B44"/>
    <mergeCell ref="A45:B45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2:J71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3.8554687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268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2820</v>
      </c>
    </row>
    <row r="7" spans="1:10" x14ac:dyDescent="0.25">
      <c r="C7" s="28" t="s">
        <v>5</v>
      </c>
      <c r="D7" s="29"/>
      <c r="E7" s="29"/>
      <c r="F7" s="29"/>
      <c r="G7" s="29"/>
    </row>
    <row r="8" spans="1:10" x14ac:dyDescent="0.25">
      <c r="A8" s="25" t="s">
        <v>6</v>
      </c>
      <c r="B8" s="25" t="s">
        <v>7</v>
      </c>
      <c r="C8" s="27" t="s">
        <v>8</v>
      </c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94</v>
      </c>
      <c r="F9" s="10"/>
      <c r="G9" s="10">
        <f t="shared" ref="G9:G38" si="0">SUM(C9:F9)</f>
        <v>94</v>
      </c>
      <c r="H9" s="16">
        <f t="shared" ref="H9:H38" si="1">ROUND(G9/2820,2)</f>
        <v>0.03</v>
      </c>
      <c r="I9" s="15">
        <f t="shared" ref="I9:I38" si="2">ROUND(G9/$G$39,3)</f>
        <v>0</v>
      </c>
      <c r="J9" s="15">
        <f>ROUND(G9/20-1,2)</f>
        <v>3.7</v>
      </c>
    </row>
    <row r="10" spans="1:10" x14ac:dyDescent="0.25">
      <c r="A10" s="1" t="s">
        <v>16</v>
      </c>
      <c r="B10" s="1" t="s">
        <v>19</v>
      </c>
      <c r="C10" s="10">
        <v>85940</v>
      </c>
      <c r="D10" s="10"/>
      <c r="E10" s="10"/>
      <c r="F10" s="10"/>
      <c r="G10" s="10">
        <f t="shared" si="0"/>
        <v>85940</v>
      </c>
      <c r="H10" s="16">
        <f t="shared" si="1"/>
        <v>30.48</v>
      </c>
      <c r="I10" s="15">
        <f t="shared" si="2"/>
        <v>7.8E-2</v>
      </c>
      <c r="J10" s="15">
        <f>ROUND(G10/83320-1,2)</f>
        <v>0.03</v>
      </c>
    </row>
    <row r="11" spans="1:10" x14ac:dyDescent="0.25">
      <c r="A11" s="1" t="s">
        <v>16</v>
      </c>
      <c r="B11" s="1" t="s">
        <v>20</v>
      </c>
      <c r="C11" s="10">
        <v>106770</v>
      </c>
      <c r="D11" s="10"/>
      <c r="E11" s="10"/>
      <c r="F11" s="10"/>
      <c r="G11" s="10">
        <f t="shared" si="0"/>
        <v>106770</v>
      </c>
      <c r="H11" s="16">
        <f t="shared" si="1"/>
        <v>37.86</v>
      </c>
      <c r="I11" s="15">
        <f t="shared" si="2"/>
        <v>9.8000000000000004E-2</v>
      </c>
      <c r="J11" s="15">
        <f>ROUND(G11/107210-1,2)</f>
        <v>0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12</v>
      </c>
      <c r="F12" s="10"/>
      <c r="G12" s="10">
        <f t="shared" si="0"/>
        <v>12</v>
      </c>
      <c r="H12" s="16">
        <f t="shared" si="1"/>
        <v>0</v>
      </c>
      <c r="I12" s="15">
        <f t="shared" si="2"/>
        <v>0</v>
      </c>
      <c r="J12" s="15">
        <f>ROUND(G12/58-1,2)</f>
        <v>-0.79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220</v>
      </c>
      <c r="F13" s="10"/>
      <c r="G13" s="10">
        <f t="shared" si="0"/>
        <v>220</v>
      </c>
      <c r="H13" s="16">
        <f t="shared" si="1"/>
        <v>0.08</v>
      </c>
      <c r="I13" s="15">
        <f t="shared" si="2"/>
        <v>0</v>
      </c>
      <c r="J13" s="15">
        <f>ROUND(G13/221-1,2)</f>
        <v>0</v>
      </c>
    </row>
    <row r="14" spans="1:10" x14ac:dyDescent="0.25">
      <c r="A14" s="1" t="s">
        <v>16</v>
      </c>
      <c r="B14" s="1" t="s">
        <v>22</v>
      </c>
      <c r="C14" s="10"/>
      <c r="D14" s="10"/>
      <c r="E14" s="10">
        <v>900</v>
      </c>
      <c r="F14" s="10"/>
      <c r="G14" s="10">
        <f t="shared" si="0"/>
        <v>900</v>
      </c>
      <c r="H14" s="16">
        <f t="shared" si="1"/>
        <v>0.32</v>
      </c>
      <c r="I14" s="15">
        <f t="shared" si="2"/>
        <v>1E-3</v>
      </c>
      <c r="J14" s="15">
        <f>ROUND(G14/1600-1,2)</f>
        <v>-0.44</v>
      </c>
    </row>
    <row r="15" spans="1:10" x14ac:dyDescent="0.25">
      <c r="A15" s="1" t="s">
        <v>16</v>
      </c>
      <c r="B15" s="1" t="s">
        <v>23</v>
      </c>
      <c r="C15" s="10"/>
      <c r="D15" s="10"/>
      <c r="E15" s="10">
        <v>61220</v>
      </c>
      <c r="F15" s="10"/>
      <c r="G15" s="10">
        <f t="shared" si="0"/>
        <v>61220</v>
      </c>
      <c r="H15" s="16">
        <f t="shared" si="1"/>
        <v>21.71</v>
      </c>
      <c r="I15" s="15">
        <f t="shared" si="2"/>
        <v>5.6000000000000001E-2</v>
      </c>
      <c r="J15" s="15">
        <f>ROUND(G15/60730-1,2)</f>
        <v>0.01</v>
      </c>
    </row>
    <row r="16" spans="1:10" x14ac:dyDescent="0.25">
      <c r="A16" s="1" t="s">
        <v>16</v>
      </c>
      <c r="B16" s="1" t="s">
        <v>24</v>
      </c>
      <c r="C16" s="10">
        <v>110930</v>
      </c>
      <c r="D16" s="10"/>
      <c r="E16" s="10"/>
      <c r="F16" s="10"/>
      <c r="G16" s="10">
        <f t="shared" si="0"/>
        <v>110930</v>
      </c>
      <c r="H16" s="16">
        <f t="shared" si="1"/>
        <v>39.340000000000003</v>
      </c>
      <c r="I16" s="15">
        <f t="shared" si="2"/>
        <v>0.10100000000000001</v>
      </c>
      <c r="J16" s="15">
        <f>ROUND(G16/109520-1,2)</f>
        <v>0.01</v>
      </c>
    </row>
    <row r="17" spans="1:10" x14ac:dyDescent="0.25">
      <c r="A17" s="1" t="s">
        <v>16</v>
      </c>
      <c r="B17" s="1" t="s">
        <v>25</v>
      </c>
      <c r="C17" s="10"/>
      <c r="D17" s="10"/>
      <c r="E17" s="10">
        <v>5300</v>
      </c>
      <c r="F17" s="10"/>
      <c r="G17" s="10">
        <f t="shared" si="0"/>
        <v>5300</v>
      </c>
      <c r="H17" s="16">
        <f t="shared" si="1"/>
        <v>1.88</v>
      </c>
      <c r="I17" s="15">
        <f t="shared" si="2"/>
        <v>5.0000000000000001E-3</v>
      </c>
      <c r="J17" s="15">
        <f>ROUND(G17/4585-1,2)</f>
        <v>0.16</v>
      </c>
    </row>
    <row r="18" spans="1:10" x14ac:dyDescent="0.25">
      <c r="A18" s="1" t="s">
        <v>16</v>
      </c>
      <c r="B18" s="1" t="s">
        <v>26</v>
      </c>
      <c r="C18" s="10">
        <v>207420</v>
      </c>
      <c r="D18" s="10"/>
      <c r="E18" s="10"/>
      <c r="F18" s="10">
        <v>1360</v>
      </c>
      <c r="G18" s="10">
        <f t="shared" si="0"/>
        <v>208780</v>
      </c>
      <c r="H18" s="16">
        <f t="shared" si="1"/>
        <v>74.040000000000006</v>
      </c>
      <c r="I18" s="15">
        <f t="shared" si="2"/>
        <v>0.191</v>
      </c>
      <c r="J18" s="15">
        <f>ROUND(G18/210140-1,2)</f>
        <v>-0.01</v>
      </c>
    </row>
    <row r="19" spans="1:10" x14ac:dyDescent="0.25">
      <c r="A19" s="1" t="s">
        <v>16</v>
      </c>
      <c r="B19" s="1" t="s">
        <v>27</v>
      </c>
      <c r="C19" s="10"/>
      <c r="D19" s="10"/>
      <c r="E19" s="10">
        <v>255</v>
      </c>
      <c r="F19" s="10"/>
      <c r="G19" s="10">
        <f t="shared" si="0"/>
        <v>255</v>
      </c>
      <c r="H19" s="16">
        <f t="shared" si="1"/>
        <v>0.09</v>
      </c>
      <c r="I19" s="15">
        <f t="shared" si="2"/>
        <v>0</v>
      </c>
      <c r="J19" s="15">
        <f>ROUND(G19/756-1,2)</f>
        <v>-0.66</v>
      </c>
    </row>
    <row r="20" spans="1:10" x14ac:dyDescent="0.25">
      <c r="A20" s="1" t="s">
        <v>16</v>
      </c>
      <c r="B20" s="1" t="s">
        <v>28</v>
      </c>
      <c r="C20" s="10"/>
      <c r="D20" s="10"/>
      <c r="E20" s="10">
        <v>110</v>
      </c>
      <c r="F20" s="10"/>
      <c r="G20" s="10">
        <f t="shared" si="0"/>
        <v>110</v>
      </c>
      <c r="H20" s="16">
        <f t="shared" si="1"/>
        <v>0.04</v>
      </c>
      <c r="I20" s="15">
        <f t="shared" si="2"/>
        <v>0</v>
      </c>
      <c r="J20" s="15">
        <f>ROUND(G20/284-1,2)</f>
        <v>-0.61</v>
      </c>
    </row>
    <row r="21" spans="1:10" x14ac:dyDescent="0.25">
      <c r="A21" s="1" t="s">
        <v>16</v>
      </c>
      <c r="B21" s="1" t="s">
        <v>29</v>
      </c>
      <c r="C21" s="10"/>
      <c r="D21" s="10"/>
      <c r="E21" s="10">
        <v>4400</v>
      </c>
      <c r="F21" s="10"/>
      <c r="G21" s="10">
        <f t="shared" si="0"/>
        <v>4400</v>
      </c>
      <c r="H21" s="16">
        <f t="shared" si="1"/>
        <v>1.56</v>
      </c>
      <c r="I21" s="15">
        <f t="shared" si="2"/>
        <v>4.0000000000000001E-3</v>
      </c>
      <c r="J21" s="15">
        <f>ROUND(G21/6350-1,2)</f>
        <v>-0.31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580</v>
      </c>
      <c r="F22" s="10"/>
      <c r="G22" s="10">
        <f t="shared" si="0"/>
        <v>580</v>
      </c>
      <c r="H22" s="16">
        <f t="shared" si="1"/>
        <v>0.21</v>
      </c>
      <c r="I22" s="15">
        <f t="shared" si="2"/>
        <v>1E-3</v>
      </c>
      <c r="J22" s="15">
        <f>ROUND(G22/930-1,2)</f>
        <v>-0.38</v>
      </c>
    </row>
    <row r="23" spans="1:10" x14ac:dyDescent="0.25">
      <c r="A23" s="1" t="s">
        <v>16</v>
      </c>
      <c r="B23" s="1" t="s">
        <v>32</v>
      </c>
      <c r="C23" s="10"/>
      <c r="D23" s="10"/>
      <c r="E23" s="10">
        <v>1570</v>
      </c>
      <c r="F23" s="10"/>
      <c r="G23" s="10">
        <f t="shared" si="0"/>
        <v>1570</v>
      </c>
      <c r="H23" s="16">
        <f t="shared" si="1"/>
        <v>0.56000000000000005</v>
      </c>
      <c r="I23" s="15">
        <f t="shared" si="2"/>
        <v>1E-3</v>
      </c>
      <c r="J23" s="15">
        <f>ROUND(G23/1885-1,2)</f>
        <v>-0.17</v>
      </c>
    </row>
    <row r="24" spans="1:10" x14ac:dyDescent="0.25">
      <c r="A24" s="1" t="s">
        <v>16</v>
      </c>
      <c r="B24" s="1" t="s">
        <v>33</v>
      </c>
      <c r="C24" s="10"/>
      <c r="D24" s="10">
        <v>135</v>
      </c>
      <c r="E24" s="10">
        <v>52</v>
      </c>
      <c r="F24" s="10"/>
      <c r="G24" s="10">
        <f t="shared" si="0"/>
        <v>187</v>
      </c>
      <c r="H24" s="16">
        <f t="shared" si="1"/>
        <v>7.0000000000000007E-2</v>
      </c>
      <c r="I24" s="15">
        <f t="shared" si="2"/>
        <v>0</v>
      </c>
      <c r="J24" s="15">
        <f>ROUND(G24/205-1,2)</f>
        <v>-0.09</v>
      </c>
    </row>
    <row r="25" spans="1:10" x14ac:dyDescent="0.25">
      <c r="A25" s="1" t="s">
        <v>16</v>
      </c>
      <c r="B25" s="1" t="s">
        <v>34</v>
      </c>
      <c r="C25" s="10"/>
      <c r="D25" s="10"/>
      <c r="E25" s="10">
        <v>585</v>
      </c>
      <c r="F25" s="10"/>
      <c r="G25" s="10">
        <f t="shared" si="0"/>
        <v>585</v>
      </c>
      <c r="H25" s="16">
        <f t="shared" si="1"/>
        <v>0.21</v>
      </c>
      <c r="I25" s="15">
        <f t="shared" si="2"/>
        <v>1E-3</v>
      </c>
      <c r="J25" s="15">
        <f>ROUND(G25/705-1,2)</f>
        <v>-0.17</v>
      </c>
    </row>
    <row r="26" spans="1:10" x14ac:dyDescent="0.25">
      <c r="A26" s="1" t="s">
        <v>16</v>
      </c>
      <c r="B26" s="1" t="s">
        <v>35</v>
      </c>
      <c r="C26" s="10"/>
      <c r="D26" s="10">
        <v>50</v>
      </c>
      <c r="E26" s="10"/>
      <c r="F26" s="10"/>
      <c r="G26" s="10">
        <f t="shared" si="0"/>
        <v>50</v>
      </c>
      <c r="H26" s="16">
        <f t="shared" si="1"/>
        <v>0.02</v>
      </c>
      <c r="I26" s="15">
        <f t="shared" si="2"/>
        <v>0</v>
      </c>
      <c r="J26" s="15">
        <f>ROUND(G26/300-1,2)</f>
        <v>-0.83</v>
      </c>
    </row>
    <row r="27" spans="1:10" x14ac:dyDescent="0.25">
      <c r="A27" s="1" t="s">
        <v>16</v>
      </c>
      <c r="B27" s="1" t="s">
        <v>36</v>
      </c>
      <c r="C27" s="10"/>
      <c r="D27" s="10"/>
      <c r="E27" s="10">
        <v>1100</v>
      </c>
      <c r="F27" s="10"/>
      <c r="G27" s="10">
        <f t="shared" si="0"/>
        <v>1100</v>
      </c>
      <c r="H27" s="16">
        <f t="shared" si="1"/>
        <v>0.39</v>
      </c>
      <c r="I27" s="15">
        <f t="shared" si="2"/>
        <v>1E-3</v>
      </c>
      <c r="J27" s="15">
        <f>ROUND(G27/3184-1,2)</f>
        <v>-0.65</v>
      </c>
    </row>
    <row r="28" spans="1:10" x14ac:dyDescent="0.25">
      <c r="A28" s="1" t="s">
        <v>16</v>
      </c>
      <c r="B28" s="1" t="s">
        <v>43</v>
      </c>
      <c r="C28" s="10"/>
      <c r="D28" s="10"/>
      <c r="E28" s="10">
        <v>4540</v>
      </c>
      <c r="F28" s="10"/>
      <c r="G28" s="10">
        <f t="shared" si="0"/>
        <v>4540</v>
      </c>
      <c r="H28" s="16">
        <f t="shared" si="1"/>
        <v>1.61</v>
      </c>
      <c r="I28" s="15">
        <f t="shared" si="2"/>
        <v>4.0000000000000001E-3</v>
      </c>
      <c r="J28" s="15">
        <f>ROUND(G28/11885-1,2)</f>
        <v>-0.62</v>
      </c>
    </row>
    <row r="29" spans="1:10" x14ac:dyDescent="0.25">
      <c r="A29" s="1" t="s">
        <v>16</v>
      </c>
      <c r="B29" s="1" t="s">
        <v>37</v>
      </c>
      <c r="C29" s="10"/>
      <c r="D29" s="10"/>
      <c r="E29" s="10">
        <v>2960</v>
      </c>
      <c r="F29" s="10"/>
      <c r="G29" s="10">
        <f t="shared" si="0"/>
        <v>2960</v>
      </c>
      <c r="H29" s="16">
        <f t="shared" si="1"/>
        <v>1.05</v>
      </c>
      <c r="I29" s="15">
        <f t="shared" si="2"/>
        <v>3.0000000000000001E-3</v>
      </c>
      <c r="J29" s="15">
        <f>ROUND(G29/4010-1,2)</f>
        <v>-0.26</v>
      </c>
    </row>
    <row r="30" spans="1:10" x14ac:dyDescent="0.25">
      <c r="A30" s="1" t="s">
        <v>16</v>
      </c>
      <c r="B30" s="1" t="s">
        <v>38</v>
      </c>
      <c r="C30" s="10"/>
      <c r="D30" s="10"/>
      <c r="E30" s="10">
        <v>74640</v>
      </c>
      <c r="F30" s="10"/>
      <c r="G30" s="10">
        <f t="shared" si="0"/>
        <v>74640</v>
      </c>
      <c r="H30" s="16">
        <f t="shared" si="1"/>
        <v>26.47</v>
      </c>
      <c r="I30" s="15">
        <f t="shared" si="2"/>
        <v>6.8000000000000005E-2</v>
      </c>
      <c r="J30" s="15">
        <f>ROUND(G30/74610-1,2)</f>
        <v>0</v>
      </c>
    </row>
    <row r="31" spans="1:10" x14ac:dyDescent="0.25">
      <c r="A31" s="1" t="s">
        <v>16</v>
      </c>
      <c r="B31" s="1" t="s">
        <v>40</v>
      </c>
      <c r="C31" s="10"/>
      <c r="D31" s="10"/>
      <c r="E31" s="10">
        <v>30030</v>
      </c>
      <c r="F31" s="10"/>
      <c r="G31" s="10">
        <f t="shared" si="0"/>
        <v>30030</v>
      </c>
      <c r="H31" s="16">
        <f t="shared" si="1"/>
        <v>10.65</v>
      </c>
      <c r="I31" s="15">
        <f t="shared" si="2"/>
        <v>2.7E-2</v>
      </c>
      <c r="J31" s="15">
        <f>ROUND(G31/24150-1,2)</f>
        <v>0.24</v>
      </c>
    </row>
    <row r="32" spans="1:10" x14ac:dyDescent="0.25">
      <c r="A32" s="1" t="s">
        <v>16</v>
      </c>
      <c r="B32" s="1" t="s">
        <v>41</v>
      </c>
      <c r="C32" s="10"/>
      <c r="D32" s="10"/>
      <c r="E32" s="10">
        <v>88310</v>
      </c>
      <c r="F32" s="10"/>
      <c r="G32" s="10">
        <f t="shared" si="0"/>
        <v>88310</v>
      </c>
      <c r="H32" s="16">
        <f t="shared" si="1"/>
        <v>31.32</v>
      </c>
      <c r="I32" s="15">
        <f t="shared" si="2"/>
        <v>8.1000000000000003E-2</v>
      </c>
      <c r="J32" s="15">
        <f>ROUND(G32/88380-1,2)</f>
        <v>0</v>
      </c>
    </row>
    <row r="33" spans="1:10" x14ac:dyDescent="0.25">
      <c r="A33" s="1" t="s">
        <v>16</v>
      </c>
      <c r="B33" s="1" t="s">
        <v>42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>
        <f>ROUND(G33/110-1,2)</f>
        <v>-1</v>
      </c>
    </row>
    <row r="34" spans="1:10" x14ac:dyDescent="0.25">
      <c r="A34" s="1" t="s">
        <v>44</v>
      </c>
      <c r="B34" s="1" t="s">
        <v>45</v>
      </c>
      <c r="C34" s="10">
        <v>232620</v>
      </c>
      <c r="D34" s="10"/>
      <c r="E34" s="10"/>
      <c r="F34" s="10"/>
      <c r="G34" s="10">
        <f t="shared" si="0"/>
        <v>232620</v>
      </c>
      <c r="H34" s="16">
        <f t="shared" si="1"/>
        <v>82.49</v>
      </c>
      <c r="I34" s="15">
        <f t="shared" si="2"/>
        <v>0.21199999999999999</v>
      </c>
      <c r="J34" s="15">
        <f>ROUND(G34/215120-1,2)</f>
        <v>0.08</v>
      </c>
    </row>
    <row r="35" spans="1:10" x14ac:dyDescent="0.25">
      <c r="A35" s="1" t="s">
        <v>44</v>
      </c>
      <c r="B35" s="1" t="s">
        <v>46</v>
      </c>
      <c r="C35" s="10"/>
      <c r="D35" s="10"/>
      <c r="E35" s="10">
        <v>72840</v>
      </c>
      <c r="F35" s="10"/>
      <c r="G35" s="10">
        <f t="shared" si="0"/>
        <v>72840</v>
      </c>
      <c r="H35" s="16">
        <f t="shared" si="1"/>
        <v>25.83</v>
      </c>
      <c r="I35" s="15">
        <f t="shared" si="2"/>
        <v>6.7000000000000004E-2</v>
      </c>
      <c r="J35" s="15">
        <f>ROUND(G35/73480-1,2)</f>
        <v>-0.01</v>
      </c>
    </row>
    <row r="36" spans="1:10" x14ac:dyDescent="0.25">
      <c r="A36" s="1" t="s">
        <v>48</v>
      </c>
      <c r="B36" s="1" t="s">
        <v>51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/>
    </row>
    <row r="37" spans="1:10" x14ac:dyDescent="0.25">
      <c r="A37" s="1" t="s">
        <v>48</v>
      </c>
      <c r="B37" s="1" t="s">
        <v>159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1" t="s">
        <v>48</v>
      </c>
      <c r="B38" s="1" t="s">
        <v>50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30" t="s">
        <v>12</v>
      </c>
      <c r="B39" s="30"/>
      <c r="C39" s="11">
        <f t="shared" ref="C39:H39" si="3">SUM(C8:C38)</f>
        <v>743680</v>
      </c>
      <c r="D39" s="11">
        <f t="shared" si="3"/>
        <v>185</v>
      </c>
      <c r="E39" s="11">
        <f t="shared" si="3"/>
        <v>349718</v>
      </c>
      <c r="F39" s="11">
        <f t="shared" si="3"/>
        <v>1360</v>
      </c>
      <c r="G39" s="11">
        <f t="shared" si="3"/>
        <v>1094943</v>
      </c>
      <c r="H39" s="14">
        <f t="shared" si="3"/>
        <v>388.31000000000006</v>
      </c>
      <c r="I39" s="17"/>
      <c r="J39" s="17"/>
    </row>
    <row r="40" spans="1:10" x14ac:dyDescent="0.25">
      <c r="A40" s="30" t="s">
        <v>14</v>
      </c>
      <c r="B40" s="30"/>
      <c r="C40" s="12">
        <f>ROUND(C39/G39,2)</f>
        <v>0.68</v>
      </c>
      <c r="D40" s="12">
        <f>ROUND(D39/G39,2)</f>
        <v>0</v>
      </c>
      <c r="E40" s="12">
        <f>ROUND(E39/G39,2)</f>
        <v>0.32</v>
      </c>
      <c r="F40" s="12">
        <f>ROUND(F39/G39,2)</f>
        <v>0</v>
      </c>
      <c r="G40" s="13"/>
      <c r="H40" s="13"/>
      <c r="I40" s="17"/>
      <c r="J40" s="17"/>
    </row>
    <row r="41" spans="1:10" x14ac:dyDescent="0.25">
      <c r="A41" s="2" t="s">
        <v>52</v>
      </c>
      <c r="B41" s="2"/>
      <c r="C41" s="13"/>
      <c r="D41" s="13"/>
      <c r="E41" s="13"/>
      <c r="F41" s="13"/>
      <c r="G41" s="13"/>
      <c r="H41" s="13"/>
      <c r="I41" s="17"/>
      <c r="J41" s="17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A45" s="30" t="s">
        <v>53</v>
      </c>
      <c r="B45" s="30"/>
      <c r="C45" s="11" t="s">
        <v>8</v>
      </c>
      <c r="D45" s="11" t="s">
        <v>9</v>
      </c>
      <c r="E45" s="11" t="s">
        <v>10</v>
      </c>
      <c r="F45" s="11" t="s">
        <v>11</v>
      </c>
      <c r="G45" s="11" t="s">
        <v>12</v>
      </c>
      <c r="H45" s="14" t="s">
        <v>13</v>
      </c>
      <c r="I45" s="17"/>
      <c r="J45" s="17"/>
    </row>
    <row r="46" spans="1:10" x14ac:dyDescent="0.25">
      <c r="A46" s="29" t="s">
        <v>54</v>
      </c>
      <c r="B46" s="29"/>
      <c r="C46" s="10">
        <v>511060</v>
      </c>
      <c r="D46" s="10">
        <v>185</v>
      </c>
      <c r="E46" s="10">
        <v>276878</v>
      </c>
      <c r="F46" s="10">
        <v>1360</v>
      </c>
      <c r="G46" s="10">
        <f>SUM(C46:F46)</f>
        <v>789483</v>
      </c>
      <c r="H46" s="16">
        <f>ROUND(G46/2820,2)</f>
        <v>279.95999999999998</v>
      </c>
      <c r="I46" s="9"/>
      <c r="J46" s="9"/>
    </row>
    <row r="47" spans="1:10" x14ac:dyDescent="0.25">
      <c r="A47" s="29" t="s">
        <v>55</v>
      </c>
      <c r="B47" s="29"/>
      <c r="C47" s="10">
        <v>232620</v>
      </c>
      <c r="D47" s="10">
        <v>0</v>
      </c>
      <c r="E47" s="10">
        <v>72840</v>
      </c>
      <c r="F47" s="10">
        <v>0</v>
      </c>
      <c r="G47" s="10">
        <f>SUM(C47:F47)</f>
        <v>305460</v>
      </c>
      <c r="H47" s="16">
        <f>ROUND(G47/2820,2)</f>
        <v>108.32</v>
      </c>
      <c r="I47" s="9"/>
      <c r="J47" s="9"/>
    </row>
    <row r="48" spans="1:10" x14ac:dyDescent="0.25">
      <c r="A48" s="29" t="s">
        <v>56</v>
      </c>
      <c r="B48" s="29"/>
      <c r="C48" s="10">
        <v>0</v>
      </c>
      <c r="D48" s="10">
        <v>0</v>
      </c>
      <c r="E48" s="10">
        <v>0</v>
      </c>
      <c r="F48" s="10">
        <v>0</v>
      </c>
      <c r="G48" s="10">
        <f>SUM(C48:F48)</f>
        <v>0</v>
      </c>
      <c r="H48" s="16">
        <f>ROUND(G48/2820,2)</f>
        <v>0</v>
      </c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A53" s="30" t="s">
        <v>57</v>
      </c>
      <c r="B53" s="30"/>
      <c r="C53" s="14" t="s">
        <v>2</v>
      </c>
      <c r="D53" s="14">
        <v>2023</v>
      </c>
      <c r="E53" s="14" t="s">
        <v>59</v>
      </c>
      <c r="F53" s="13"/>
      <c r="G53" s="14" t="s">
        <v>60</v>
      </c>
      <c r="H53" s="14" t="s">
        <v>2</v>
      </c>
      <c r="I53" s="12" t="s">
        <v>61</v>
      </c>
      <c r="J53" s="12" t="s">
        <v>59</v>
      </c>
    </row>
    <row r="54" spans="1:10" x14ac:dyDescent="0.25">
      <c r="A54" s="29" t="s">
        <v>58</v>
      </c>
      <c r="B54" s="29"/>
      <c r="C54" s="15">
        <f>ROUND(0.7742, 4)</f>
        <v>0.7742</v>
      </c>
      <c r="D54" s="15">
        <f>ROUND(0.782, 4)</f>
        <v>0.78200000000000003</v>
      </c>
      <c r="E54" s="15">
        <f>ROUND(0.777, 4)</f>
        <v>0.77700000000000002</v>
      </c>
      <c r="F54" s="8"/>
      <c r="G54" s="14" t="s">
        <v>62</v>
      </c>
      <c r="H54" s="33" t="s">
        <v>63</v>
      </c>
      <c r="I54" s="31" t="s">
        <v>64</v>
      </c>
      <c r="J54" s="31" t="s">
        <v>65</v>
      </c>
    </row>
    <row r="55" spans="1:10" x14ac:dyDescent="0.25">
      <c r="A55" s="29" t="s">
        <v>66</v>
      </c>
      <c r="B55" s="29"/>
      <c r="C55" s="15">
        <f>ROUND(0.7635, 4)</f>
        <v>0.76349999999999996</v>
      </c>
      <c r="D55" s="15">
        <f>ROUND(0.7714, 4)</f>
        <v>0.77139999999999997</v>
      </c>
      <c r="E55" s="15">
        <f>ROUND(0.7608, 4)</f>
        <v>0.76080000000000003</v>
      </c>
      <c r="F55" s="8"/>
      <c r="G55" s="14" t="s">
        <v>67</v>
      </c>
      <c r="H55" s="34"/>
      <c r="I55" s="32"/>
      <c r="J55" s="32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21"/>
      <c r="H57" s="8"/>
      <c r="I57" s="9"/>
      <c r="J57" s="9"/>
    </row>
    <row r="58" spans="1:10" x14ac:dyDescent="0.25">
      <c r="C58" s="8"/>
      <c r="D58" s="8"/>
      <c r="E58" s="8"/>
      <c r="F58" s="8"/>
      <c r="G58" s="21"/>
      <c r="H58" s="8"/>
      <c r="I58" s="9"/>
      <c r="J58" s="9"/>
    </row>
    <row r="59" spans="1:10" x14ac:dyDescent="0.25">
      <c r="A59" s="30" t="s">
        <v>68</v>
      </c>
      <c r="B59" s="30"/>
      <c r="C59" s="14" t="s">
        <v>2</v>
      </c>
      <c r="D59" s="14" t="s">
        <v>269</v>
      </c>
      <c r="E59" s="14" t="s">
        <v>70</v>
      </c>
      <c r="F59" s="14" t="s">
        <v>71</v>
      </c>
      <c r="G59" s="14" t="s">
        <v>72</v>
      </c>
      <c r="H59" s="13"/>
      <c r="I59" s="17"/>
      <c r="J59" s="17"/>
    </row>
    <row r="60" spans="1:10" x14ac:dyDescent="0.25">
      <c r="A60" s="29" t="s">
        <v>73</v>
      </c>
      <c r="B60" s="29"/>
      <c r="C60" s="16">
        <v>82.49</v>
      </c>
      <c r="D60" s="16">
        <v>76.59</v>
      </c>
      <c r="E60" s="16">
        <v>93.87</v>
      </c>
      <c r="F60" s="16">
        <v>57.16</v>
      </c>
      <c r="G60" s="16">
        <f>12/12*C60</f>
        <v>82.49</v>
      </c>
      <c r="H60" s="8"/>
      <c r="I60" s="9"/>
      <c r="J60" s="9"/>
    </row>
    <row r="61" spans="1:10" x14ac:dyDescent="0.25">
      <c r="A61" s="29" t="s">
        <v>74</v>
      </c>
      <c r="B61" s="29"/>
      <c r="C61" s="16">
        <v>74.040000000000006</v>
      </c>
      <c r="D61" s="16">
        <v>74.67</v>
      </c>
      <c r="E61" s="16">
        <v>62.84</v>
      </c>
      <c r="F61" s="16">
        <v>65.39</v>
      </c>
      <c r="G61" s="16">
        <f>12/12*C61</f>
        <v>74.040000000000006</v>
      </c>
      <c r="H61" s="8"/>
      <c r="I61" s="9"/>
      <c r="J61" s="9"/>
    </row>
    <row r="62" spans="1:10" x14ac:dyDescent="0.25">
      <c r="A62" s="29" t="s">
        <v>75</v>
      </c>
      <c r="B62" s="29"/>
      <c r="C62" s="16">
        <v>279.95999999999998</v>
      </c>
      <c r="D62" s="16">
        <v>271.29000000000002</v>
      </c>
      <c r="E62" s="16">
        <v>295.08999999999997</v>
      </c>
      <c r="F62" s="16">
        <v>289.06</v>
      </c>
      <c r="G62" s="16">
        <f>12/12*C62</f>
        <v>279.95999999999998</v>
      </c>
      <c r="H62" s="8"/>
      <c r="I62" s="9"/>
      <c r="J62" s="9"/>
    </row>
    <row r="63" spans="1:10" x14ac:dyDescent="0.25">
      <c r="A63" s="29" t="s">
        <v>76</v>
      </c>
      <c r="B63" s="29"/>
      <c r="C63" s="16">
        <v>108.32</v>
      </c>
      <c r="D63" s="16">
        <v>101.8</v>
      </c>
      <c r="E63" s="16">
        <v>118.05</v>
      </c>
      <c r="F63" s="16">
        <v>81.41</v>
      </c>
      <c r="G63" s="16">
        <f>12/12*C63</f>
        <v>108.32</v>
      </c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28" t="s">
        <v>60</v>
      </c>
      <c r="B66" s="35"/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77</v>
      </c>
      <c r="B67" s="1" t="s">
        <v>270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70</v>
      </c>
      <c r="B68" s="1" t="s">
        <v>79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71</v>
      </c>
      <c r="B69" s="1" t="s">
        <v>80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72</v>
      </c>
      <c r="B70" s="1" t="s">
        <v>81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C71" s="8"/>
      <c r="D71" s="8"/>
      <c r="E71" s="8"/>
      <c r="F71" s="8"/>
      <c r="G71" s="8"/>
      <c r="H71" s="8"/>
      <c r="I71" s="9"/>
      <c r="J71" s="9"/>
    </row>
  </sheetData>
  <mergeCells count="19">
    <mergeCell ref="A61:B61"/>
    <mergeCell ref="A62:B62"/>
    <mergeCell ref="A63:B63"/>
    <mergeCell ref="A66:B66"/>
    <mergeCell ref="I54:I55"/>
    <mergeCell ref="J54:J55"/>
    <mergeCell ref="A55:B55"/>
    <mergeCell ref="A59:B59"/>
    <mergeCell ref="A60:B60"/>
    <mergeCell ref="A47:B47"/>
    <mergeCell ref="A48:B48"/>
    <mergeCell ref="A53:B53"/>
    <mergeCell ref="A54:B54"/>
    <mergeCell ref="H54:H55"/>
    <mergeCell ref="C7:G7"/>
    <mergeCell ref="A39:B39"/>
    <mergeCell ref="A40:B40"/>
    <mergeCell ref="A45:B45"/>
    <mergeCell ref="A46:B46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2:J71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7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271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509</v>
      </c>
    </row>
    <row r="7" spans="1:10" x14ac:dyDescent="0.25">
      <c r="C7" s="28" t="s">
        <v>5</v>
      </c>
      <c r="D7" s="29"/>
      <c r="E7" s="29"/>
      <c r="F7" s="29"/>
      <c r="G7" s="29"/>
    </row>
    <row r="8" spans="1:10" x14ac:dyDescent="0.25">
      <c r="A8" s="25" t="s">
        <v>6</v>
      </c>
      <c r="B8" s="25" t="s">
        <v>7</v>
      </c>
      <c r="C8" s="27" t="s">
        <v>8</v>
      </c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11</v>
      </c>
      <c r="F9" s="10"/>
      <c r="G9" s="10">
        <f t="shared" ref="G9:G39" si="0">SUM(C9:F9)</f>
        <v>11</v>
      </c>
      <c r="H9" s="16">
        <f t="shared" ref="H9:H39" si="1">ROUND(G9/509,2)</f>
        <v>0.02</v>
      </c>
      <c r="I9" s="15">
        <f t="shared" ref="I9:I39" si="2">ROUND(G9/$G$40,3)</f>
        <v>0</v>
      </c>
      <c r="J9" s="15"/>
    </row>
    <row r="10" spans="1:10" x14ac:dyDescent="0.25">
      <c r="A10" s="1" t="s">
        <v>16</v>
      </c>
      <c r="B10" s="1" t="s">
        <v>19</v>
      </c>
      <c r="C10" s="10">
        <v>21310</v>
      </c>
      <c r="D10" s="10"/>
      <c r="E10" s="10">
        <v>2377</v>
      </c>
      <c r="F10" s="10"/>
      <c r="G10" s="10">
        <f t="shared" si="0"/>
        <v>23687</v>
      </c>
      <c r="H10" s="16">
        <f t="shared" si="1"/>
        <v>46.54</v>
      </c>
      <c r="I10" s="15">
        <f t="shared" si="2"/>
        <v>8.2000000000000003E-2</v>
      </c>
      <c r="J10" s="15">
        <f>ROUND(G10/22279.26-1,2)</f>
        <v>0.06</v>
      </c>
    </row>
    <row r="11" spans="1:10" x14ac:dyDescent="0.25">
      <c r="A11" s="1" t="s">
        <v>16</v>
      </c>
      <c r="B11" s="1" t="s">
        <v>20</v>
      </c>
      <c r="C11" s="10">
        <v>31870</v>
      </c>
      <c r="D11" s="10"/>
      <c r="E11" s="10"/>
      <c r="F11" s="10"/>
      <c r="G11" s="10">
        <f t="shared" si="0"/>
        <v>31870</v>
      </c>
      <c r="H11" s="16">
        <f t="shared" si="1"/>
        <v>62.61</v>
      </c>
      <c r="I11" s="15">
        <f t="shared" si="2"/>
        <v>0.11</v>
      </c>
      <c r="J11" s="15">
        <f>ROUND(G11/30475-1,2)</f>
        <v>0.05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77</v>
      </c>
      <c r="F12" s="10"/>
      <c r="G12" s="10">
        <f t="shared" si="0"/>
        <v>77</v>
      </c>
      <c r="H12" s="16">
        <f t="shared" si="1"/>
        <v>0.15</v>
      </c>
      <c r="I12" s="15">
        <f t="shared" si="2"/>
        <v>0</v>
      </c>
      <c r="J12" s="15">
        <f>ROUND(G12/26.35-1,2)</f>
        <v>1.92</v>
      </c>
    </row>
    <row r="13" spans="1:10" x14ac:dyDescent="0.25">
      <c r="A13" s="1" t="s">
        <v>16</v>
      </c>
      <c r="B13" s="1" t="s">
        <v>22</v>
      </c>
      <c r="C13" s="10"/>
      <c r="D13" s="10"/>
      <c r="E13" s="10">
        <v>579</v>
      </c>
      <c r="F13" s="10"/>
      <c r="G13" s="10">
        <f t="shared" si="0"/>
        <v>579</v>
      </c>
      <c r="H13" s="16">
        <f t="shared" si="1"/>
        <v>1.1399999999999999</v>
      </c>
      <c r="I13" s="15">
        <f t="shared" si="2"/>
        <v>2E-3</v>
      </c>
      <c r="J13" s="15"/>
    </row>
    <row r="14" spans="1:10" x14ac:dyDescent="0.25">
      <c r="A14" s="1" t="s">
        <v>16</v>
      </c>
      <c r="B14" s="1" t="s">
        <v>23</v>
      </c>
      <c r="C14" s="10"/>
      <c r="D14" s="10"/>
      <c r="E14" s="10">
        <v>20214</v>
      </c>
      <c r="F14" s="10"/>
      <c r="G14" s="10">
        <f t="shared" si="0"/>
        <v>20214</v>
      </c>
      <c r="H14" s="16">
        <f t="shared" si="1"/>
        <v>39.71</v>
      </c>
      <c r="I14" s="15">
        <f t="shared" si="2"/>
        <v>7.0000000000000007E-2</v>
      </c>
      <c r="J14" s="15">
        <f>ROUND(G14/8129.05-1,2)</f>
        <v>1.49</v>
      </c>
    </row>
    <row r="15" spans="1:10" x14ac:dyDescent="0.25">
      <c r="A15" s="1" t="s">
        <v>16</v>
      </c>
      <c r="B15" s="1" t="s">
        <v>24</v>
      </c>
      <c r="C15" s="10">
        <v>28690</v>
      </c>
      <c r="D15" s="10"/>
      <c r="E15" s="10">
        <v>7769</v>
      </c>
      <c r="F15" s="10"/>
      <c r="G15" s="10">
        <f t="shared" si="0"/>
        <v>36459</v>
      </c>
      <c r="H15" s="16">
        <f t="shared" si="1"/>
        <v>71.63</v>
      </c>
      <c r="I15" s="15">
        <f t="shared" si="2"/>
        <v>0.126</v>
      </c>
      <c r="J15" s="15">
        <f>ROUND(G15/31391.26-1,2)</f>
        <v>0.16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2001</v>
      </c>
      <c r="F16" s="10"/>
      <c r="G16" s="10">
        <f t="shared" si="0"/>
        <v>2001</v>
      </c>
      <c r="H16" s="16">
        <f t="shared" si="1"/>
        <v>3.93</v>
      </c>
      <c r="I16" s="15">
        <f t="shared" si="2"/>
        <v>7.0000000000000001E-3</v>
      </c>
      <c r="J16" s="15"/>
    </row>
    <row r="17" spans="1:10" x14ac:dyDescent="0.25">
      <c r="A17" s="1" t="s">
        <v>16</v>
      </c>
      <c r="B17" s="1" t="s">
        <v>26</v>
      </c>
      <c r="C17" s="10">
        <v>16610</v>
      </c>
      <c r="D17" s="10"/>
      <c r="E17" s="10"/>
      <c r="F17" s="10"/>
      <c r="G17" s="10">
        <f t="shared" si="0"/>
        <v>16610</v>
      </c>
      <c r="H17" s="16">
        <f t="shared" si="1"/>
        <v>32.630000000000003</v>
      </c>
      <c r="I17" s="15">
        <f t="shared" si="2"/>
        <v>5.8000000000000003E-2</v>
      </c>
      <c r="J17" s="15">
        <f>ROUND(G17/22500-1,2)</f>
        <v>-0.26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251</v>
      </c>
      <c r="F18" s="10"/>
      <c r="G18" s="10">
        <f t="shared" si="0"/>
        <v>251</v>
      </c>
      <c r="H18" s="16">
        <f t="shared" si="1"/>
        <v>0.49</v>
      </c>
      <c r="I18" s="15">
        <f t="shared" si="2"/>
        <v>1E-3</v>
      </c>
      <c r="J18" s="15"/>
    </row>
    <row r="19" spans="1:10" x14ac:dyDescent="0.25">
      <c r="A19" s="1" t="s">
        <v>16</v>
      </c>
      <c r="B19" s="1" t="s">
        <v>28</v>
      </c>
      <c r="C19" s="10"/>
      <c r="D19" s="10"/>
      <c r="E19" s="10">
        <v>115</v>
      </c>
      <c r="F19" s="10"/>
      <c r="G19" s="10">
        <f t="shared" si="0"/>
        <v>115</v>
      </c>
      <c r="H19" s="16">
        <f t="shared" si="1"/>
        <v>0.23</v>
      </c>
      <c r="I19" s="15">
        <f t="shared" si="2"/>
        <v>0</v>
      </c>
      <c r="J19" s="15"/>
    </row>
    <row r="20" spans="1:10" x14ac:dyDescent="0.25">
      <c r="A20" s="1" t="s">
        <v>16</v>
      </c>
      <c r="B20" s="1" t="s">
        <v>42</v>
      </c>
      <c r="C20" s="10"/>
      <c r="D20" s="10"/>
      <c r="E20" s="10">
        <v>27</v>
      </c>
      <c r="F20" s="10"/>
      <c r="G20" s="10">
        <f t="shared" si="0"/>
        <v>27</v>
      </c>
      <c r="H20" s="16">
        <f t="shared" si="1"/>
        <v>0.05</v>
      </c>
      <c r="I20" s="15">
        <f t="shared" si="2"/>
        <v>0</v>
      </c>
      <c r="J20" s="15">
        <f>ROUND(G20/12.25-1,2)</f>
        <v>1.2</v>
      </c>
    </row>
    <row r="21" spans="1:10" x14ac:dyDescent="0.25">
      <c r="A21" s="1" t="s">
        <v>16</v>
      </c>
      <c r="B21" s="1" t="s">
        <v>29</v>
      </c>
      <c r="C21" s="10"/>
      <c r="D21" s="10"/>
      <c r="E21" s="10">
        <v>329</v>
      </c>
      <c r="F21" s="10"/>
      <c r="G21" s="10">
        <f t="shared" si="0"/>
        <v>329</v>
      </c>
      <c r="H21" s="16">
        <f t="shared" si="1"/>
        <v>0.65</v>
      </c>
      <c r="I21" s="15">
        <f t="shared" si="2"/>
        <v>1E-3</v>
      </c>
      <c r="J21" s="15">
        <f>ROUND(G21/331.98-1,2)</f>
        <v>-0.01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129</v>
      </c>
      <c r="F22" s="10"/>
      <c r="G22" s="10">
        <f t="shared" si="0"/>
        <v>129</v>
      </c>
      <c r="H22" s="16">
        <f t="shared" si="1"/>
        <v>0.25</v>
      </c>
      <c r="I22" s="15">
        <f t="shared" si="2"/>
        <v>0</v>
      </c>
      <c r="J22" s="15">
        <f>ROUND(G22/9.23-1,2)</f>
        <v>12.98</v>
      </c>
    </row>
    <row r="23" spans="1:10" x14ac:dyDescent="0.25">
      <c r="A23" s="1" t="s">
        <v>16</v>
      </c>
      <c r="B23" s="1" t="s">
        <v>31</v>
      </c>
      <c r="C23" s="10"/>
      <c r="D23" s="10"/>
      <c r="E23" s="10">
        <v>29</v>
      </c>
      <c r="F23" s="10"/>
      <c r="G23" s="10">
        <f t="shared" si="0"/>
        <v>29</v>
      </c>
      <c r="H23" s="16">
        <f t="shared" si="1"/>
        <v>0.06</v>
      </c>
      <c r="I23" s="15">
        <f t="shared" si="2"/>
        <v>0</v>
      </c>
      <c r="J23" s="15"/>
    </row>
    <row r="24" spans="1:10" x14ac:dyDescent="0.25">
      <c r="A24" s="1" t="s">
        <v>16</v>
      </c>
      <c r="B24" s="1" t="s">
        <v>32</v>
      </c>
      <c r="C24" s="10"/>
      <c r="D24" s="10"/>
      <c r="E24" s="10">
        <v>754</v>
      </c>
      <c r="F24" s="10"/>
      <c r="G24" s="10">
        <f t="shared" si="0"/>
        <v>754</v>
      </c>
      <c r="H24" s="16">
        <f t="shared" si="1"/>
        <v>1.48</v>
      </c>
      <c r="I24" s="15">
        <f t="shared" si="2"/>
        <v>3.0000000000000001E-3</v>
      </c>
      <c r="J24" s="15">
        <f>ROUND(G24/154.02-1,2)</f>
        <v>3.9</v>
      </c>
    </row>
    <row r="25" spans="1:10" x14ac:dyDescent="0.25">
      <c r="A25" s="1" t="s">
        <v>16</v>
      </c>
      <c r="B25" s="1" t="s">
        <v>33</v>
      </c>
      <c r="C25" s="10"/>
      <c r="D25" s="10"/>
      <c r="E25" s="10">
        <v>37</v>
      </c>
      <c r="F25" s="10"/>
      <c r="G25" s="10">
        <f t="shared" si="0"/>
        <v>37</v>
      </c>
      <c r="H25" s="16">
        <f t="shared" si="1"/>
        <v>7.0000000000000007E-2</v>
      </c>
      <c r="I25" s="15">
        <f t="shared" si="2"/>
        <v>0</v>
      </c>
      <c r="J25" s="15">
        <f>ROUND(G25/21.82-1,2)</f>
        <v>0.7</v>
      </c>
    </row>
    <row r="26" spans="1:10" x14ac:dyDescent="0.25">
      <c r="A26" s="1" t="s">
        <v>16</v>
      </c>
      <c r="B26" s="1" t="s">
        <v>34</v>
      </c>
      <c r="C26" s="10"/>
      <c r="D26" s="10"/>
      <c r="E26" s="10">
        <v>55</v>
      </c>
      <c r="F26" s="10"/>
      <c r="G26" s="10">
        <f t="shared" si="0"/>
        <v>55</v>
      </c>
      <c r="H26" s="16">
        <f t="shared" si="1"/>
        <v>0.11</v>
      </c>
      <c r="I26" s="15">
        <f t="shared" si="2"/>
        <v>0</v>
      </c>
      <c r="J26" s="15"/>
    </row>
    <row r="27" spans="1:10" x14ac:dyDescent="0.25">
      <c r="A27" s="1" t="s">
        <v>16</v>
      </c>
      <c r="B27" s="1" t="s">
        <v>35</v>
      </c>
      <c r="C27" s="10"/>
      <c r="D27" s="10"/>
      <c r="E27" s="10">
        <v>82</v>
      </c>
      <c r="F27" s="10"/>
      <c r="G27" s="10">
        <f t="shared" si="0"/>
        <v>82</v>
      </c>
      <c r="H27" s="16">
        <f t="shared" si="1"/>
        <v>0.16</v>
      </c>
      <c r="I27" s="15">
        <f t="shared" si="2"/>
        <v>0</v>
      </c>
      <c r="J27" s="15"/>
    </row>
    <row r="28" spans="1:10" x14ac:dyDescent="0.25">
      <c r="A28" s="1" t="s">
        <v>16</v>
      </c>
      <c r="B28" s="1" t="s">
        <v>37</v>
      </c>
      <c r="C28" s="10"/>
      <c r="D28" s="10"/>
      <c r="E28" s="10">
        <v>1022</v>
      </c>
      <c r="F28" s="10"/>
      <c r="G28" s="10">
        <f t="shared" si="0"/>
        <v>1022</v>
      </c>
      <c r="H28" s="16">
        <f t="shared" si="1"/>
        <v>2.0099999999999998</v>
      </c>
      <c r="I28" s="15">
        <f t="shared" si="2"/>
        <v>4.0000000000000001E-3</v>
      </c>
      <c r="J28" s="15">
        <f>ROUND(G28/315.38-1,2)</f>
        <v>2.2400000000000002</v>
      </c>
    </row>
    <row r="29" spans="1:10" x14ac:dyDescent="0.25">
      <c r="A29" s="1" t="s">
        <v>16</v>
      </c>
      <c r="B29" s="1" t="s">
        <v>43</v>
      </c>
      <c r="C29" s="10"/>
      <c r="D29" s="10"/>
      <c r="E29" s="10">
        <v>574</v>
      </c>
      <c r="F29" s="10"/>
      <c r="G29" s="10">
        <f t="shared" si="0"/>
        <v>574</v>
      </c>
      <c r="H29" s="16">
        <f t="shared" si="1"/>
        <v>1.1299999999999999</v>
      </c>
      <c r="I29" s="15">
        <f t="shared" si="2"/>
        <v>2E-3</v>
      </c>
      <c r="J29" s="15"/>
    </row>
    <row r="30" spans="1:10" x14ac:dyDescent="0.25">
      <c r="A30" s="1" t="s">
        <v>16</v>
      </c>
      <c r="B30" s="1" t="s">
        <v>38</v>
      </c>
      <c r="C30" s="10"/>
      <c r="D30" s="10"/>
      <c r="E30" s="10">
        <v>19944</v>
      </c>
      <c r="F30" s="10"/>
      <c r="G30" s="10">
        <f t="shared" si="0"/>
        <v>19944</v>
      </c>
      <c r="H30" s="16">
        <f t="shared" si="1"/>
        <v>39.18</v>
      </c>
      <c r="I30" s="15">
        <f t="shared" si="2"/>
        <v>6.9000000000000006E-2</v>
      </c>
      <c r="J30" s="15">
        <f>ROUND(G30/6878.4-1,2)</f>
        <v>1.9</v>
      </c>
    </row>
    <row r="31" spans="1:10" x14ac:dyDescent="0.25">
      <c r="A31" s="1" t="s">
        <v>16</v>
      </c>
      <c r="B31" s="1" t="s">
        <v>39</v>
      </c>
      <c r="C31" s="10"/>
      <c r="D31" s="10"/>
      <c r="E31" s="10">
        <v>1547</v>
      </c>
      <c r="F31" s="10"/>
      <c r="G31" s="10">
        <f t="shared" si="0"/>
        <v>1547</v>
      </c>
      <c r="H31" s="16">
        <f t="shared" si="1"/>
        <v>3.04</v>
      </c>
      <c r="I31" s="15">
        <f t="shared" si="2"/>
        <v>5.0000000000000001E-3</v>
      </c>
      <c r="J31" s="15">
        <f>ROUND(G31/383.53-1,2)</f>
        <v>3.03</v>
      </c>
    </row>
    <row r="32" spans="1:10" x14ac:dyDescent="0.25">
      <c r="A32" s="1" t="s">
        <v>16</v>
      </c>
      <c r="B32" s="1" t="s">
        <v>40</v>
      </c>
      <c r="C32" s="10"/>
      <c r="D32" s="10"/>
      <c r="E32" s="10">
        <v>5056</v>
      </c>
      <c r="F32" s="10"/>
      <c r="G32" s="10">
        <f t="shared" si="0"/>
        <v>5056</v>
      </c>
      <c r="H32" s="16">
        <f t="shared" si="1"/>
        <v>9.93</v>
      </c>
      <c r="I32" s="15">
        <f t="shared" si="2"/>
        <v>1.7999999999999999E-2</v>
      </c>
      <c r="J32" s="15">
        <f>ROUND(G32/1575.16-1,2)</f>
        <v>2.21</v>
      </c>
    </row>
    <row r="33" spans="1:10" x14ac:dyDescent="0.25">
      <c r="A33" s="1" t="s">
        <v>16</v>
      </c>
      <c r="B33" s="1" t="s">
        <v>41</v>
      </c>
      <c r="C33" s="10"/>
      <c r="D33" s="10"/>
      <c r="E33" s="10">
        <v>6151</v>
      </c>
      <c r="F33" s="10"/>
      <c r="G33" s="10">
        <f t="shared" si="0"/>
        <v>6151</v>
      </c>
      <c r="H33" s="16">
        <f t="shared" si="1"/>
        <v>12.08</v>
      </c>
      <c r="I33" s="15">
        <f t="shared" si="2"/>
        <v>2.1000000000000001E-2</v>
      </c>
      <c r="J33" s="15">
        <f>ROUND(G33/589.29-1,2)</f>
        <v>9.44</v>
      </c>
    </row>
    <row r="34" spans="1:10" x14ac:dyDescent="0.25">
      <c r="A34" s="1" t="s">
        <v>16</v>
      </c>
      <c r="B34" s="1" t="s">
        <v>36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ROUND(G34/347.5-1,2)</f>
        <v>-1</v>
      </c>
    </row>
    <row r="35" spans="1:10" x14ac:dyDescent="0.25">
      <c r="A35" s="1" t="s">
        <v>16</v>
      </c>
      <c r="B35" s="1" t="s">
        <v>120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44</v>
      </c>
      <c r="B36" s="1" t="s">
        <v>45</v>
      </c>
      <c r="C36" s="10">
        <v>110100</v>
      </c>
      <c r="D36" s="10"/>
      <c r="E36" s="10"/>
      <c r="F36" s="10"/>
      <c r="G36" s="10">
        <f t="shared" si="0"/>
        <v>110100</v>
      </c>
      <c r="H36" s="16">
        <f t="shared" si="1"/>
        <v>216.31</v>
      </c>
      <c r="I36" s="15">
        <f t="shared" si="2"/>
        <v>0.38200000000000001</v>
      </c>
      <c r="J36" s="15">
        <f>ROUND(G36/102500-1,2)</f>
        <v>7.0000000000000007E-2</v>
      </c>
    </row>
    <row r="37" spans="1:10" x14ac:dyDescent="0.25">
      <c r="A37" s="1" t="s">
        <v>44</v>
      </c>
      <c r="B37" s="1" t="s">
        <v>46</v>
      </c>
      <c r="C37" s="10"/>
      <c r="D37" s="10"/>
      <c r="E37" s="10">
        <v>10711</v>
      </c>
      <c r="F37" s="10"/>
      <c r="G37" s="10">
        <f t="shared" si="0"/>
        <v>10711</v>
      </c>
      <c r="H37" s="16">
        <f t="shared" si="1"/>
        <v>21.04</v>
      </c>
      <c r="I37" s="15">
        <f t="shared" si="2"/>
        <v>3.6999999999999998E-2</v>
      </c>
      <c r="J37" s="15">
        <f>ROUND(G37/3751.58-1,2)</f>
        <v>1.86</v>
      </c>
    </row>
    <row r="38" spans="1:10" x14ac:dyDescent="0.25">
      <c r="A38" s="1" t="s">
        <v>44</v>
      </c>
      <c r="B38" s="1" t="s">
        <v>47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1" t="s">
        <v>48</v>
      </c>
      <c r="B39" s="1" t="s">
        <v>51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30" t="s">
        <v>12</v>
      </c>
      <c r="B40" s="30"/>
      <c r="C40" s="11">
        <f t="shared" ref="C40:H40" si="3">SUM(C8:C39)</f>
        <v>208580</v>
      </c>
      <c r="D40" s="11">
        <f t="shared" si="3"/>
        <v>0</v>
      </c>
      <c r="E40" s="11">
        <f t="shared" si="3"/>
        <v>79841</v>
      </c>
      <c r="F40" s="11">
        <f t="shared" si="3"/>
        <v>0</v>
      </c>
      <c r="G40" s="11">
        <f t="shared" si="3"/>
        <v>288421</v>
      </c>
      <c r="H40" s="14">
        <f t="shared" si="3"/>
        <v>566.63000000000011</v>
      </c>
      <c r="I40" s="17"/>
      <c r="J40" s="17"/>
    </row>
    <row r="41" spans="1:10" x14ac:dyDescent="0.25">
      <c r="A41" s="30" t="s">
        <v>14</v>
      </c>
      <c r="B41" s="30"/>
      <c r="C41" s="12">
        <f>ROUND(C40/G40,2)</f>
        <v>0.72</v>
      </c>
      <c r="D41" s="12">
        <f>ROUND(D40/G40,2)</f>
        <v>0</v>
      </c>
      <c r="E41" s="12">
        <f>ROUND(E40/G40,2)</f>
        <v>0.28000000000000003</v>
      </c>
      <c r="F41" s="12">
        <f>ROUND(F40/G40,2)</f>
        <v>0</v>
      </c>
      <c r="G41" s="13"/>
      <c r="H41" s="13"/>
      <c r="I41" s="17"/>
      <c r="J41" s="17"/>
    </row>
    <row r="42" spans="1:10" x14ac:dyDescent="0.25">
      <c r="A42" s="2" t="s">
        <v>52</v>
      </c>
      <c r="B42" s="2"/>
      <c r="C42" s="13"/>
      <c r="D42" s="13"/>
      <c r="E42" s="13"/>
      <c r="F42" s="13"/>
      <c r="G42" s="13"/>
      <c r="H42" s="13"/>
      <c r="I42" s="17"/>
      <c r="J42" s="17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A46" s="30" t="s">
        <v>53</v>
      </c>
      <c r="B46" s="30"/>
      <c r="C46" s="11" t="s">
        <v>8</v>
      </c>
      <c r="D46" s="11" t="s">
        <v>9</v>
      </c>
      <c r="E46" s="11" t="s">
        <v>10</v>
      </c>
      <c r="F46" s="11" t="s">
        <v>11</v>
      </c>
      <c r="G46" s="11" t="s">
        <v>12</v>
      </c>
      <c r="H46" s="14" t="s">
        <v>13</v>
      </c>
      <c r="I46" s="17"/>
      <c r="J46" s="17"/>
    </row>
    <row r="47" spans="1:10" x14ac:dyDescent="0.25">
      <c r="A47" s="29" t="s">
        <v>54</v>
      </c>
      <c r="B47" s="29"/>
      <c r="C47" s="10">
        <v>98480</v>
      </c>
      <c r="D47" s="10">
        <v>0</v>
      </c>
      <c r="E47" s="10">
        <v>69130</v>
      </c>
      <c r="F47" s="10">
        <v>0</v>
      </c>
      <c r="G47" s="10">
        <f>SUM(C47:F47)</f>
        <v>167610</v>
      </c>
      <c r="H47" s="16">
        <f>ROUND(G47/509,2)</f>
        <v>329.29</v>
      </c>
      <c r="I47" s="9"/>
      <c r="J47" s="9"/>
    </row>
    <row r="48" spans="1:10" x14ac:dyDescent="0.25">
      <c r="A48" s="29" t="s">
        <v>55</v>
      </c>
      <c r="B48" s="29"/>
      <c r="C48" s="10">
        <v>110100</v>
      </c>
      <c r="D48" s="10">
        <v>0</v>
      </c>
      <c r="E48" s="10">
        <v>10711</v>
      </c>
      <c r="F48" s="10">
        <v>0</v>
      </c>
      <c r="G48" s="10">
        <f>SUM(C48:F48)</f>
        <v>120811</v>
      </c>
      <c r="H48" s="16">
        <f>ROUND(G48/509,2)</f>
        <v>237.35</v>
      </c>
      <c r="I48" s="9"/>
      <c r="J48" s="9"/>
    </row>
    <row r="49" spans="1:10" x14ac:dyDescent="0.25">
      <c r="A49" s="29" t="s">
        <v>56</v>
      </c>
      <c r="B49" s="29"/>
      <c r="C49" s="10">
        <v>0</v>
      </c>
      <c r="D49" s="10">
        <v>0</v>
      </c>
      <c r="E49" s="10">
        <v>0</v>
      </c>
      <c r="F49" s="10">
        <v>0</v>
      </c>
      <c r="G49" s="10">
        <f>SUM(C49:F49)</f>
        <v>0</v>
      </c>
      <c r="H49" s="16">
        <f>ROUND(G49/509,2)</f>
        <v>0</v>
      </c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A54" s="30" t="s">
        <v>57</v>
      </c>
      <c r="B54" s="30"/>
      <c r="C54" s="14" t="s">
        <v>2</v>
      </c>
      <c r="D54" s="14">
        <v>2023</v>
      </c>
      <c r="E54" s="14" t="s">
        <v>59</v>
      </c>
      <c r="F54" s="13"/>
      <c r="G54" s="14" t="s">
        <v>60</v>
      </c>
      <c r="H54" s="14" t="s">
        <v>2</v>
      </c>
      <c r="I54" s="12" t="s">
        <v>61</v>
      </c>
      <c r="J54" s="12" t="s">
        <v>59</v>
      </c>
    </row>
    <row r="55" spans="1:10" x14ac:dyDescent="0.25">
      <c r="A55" s="29" t="s">
        <v>58</v>
      </c>
      <c r="B55" s="29"/>
      <c r="C55" s="15">
        <f>ROUND(0.5875, 4)</f>
        <v>0.58750000000000002</v>
      </c>
      <c r="D55" s="15">
        <f>ROUND(0.5397, 4)</f>
        <v>0.53969999999999996</v>
      </c>
      <c r="E55" s="15">
        <f>ROUND(0.777, 4)</f>
        <v>0.77700000000000002</v>
      </c>
      <c r="F55" s="8"/>
      <c r="G55" s="14" t="s">
        <v>62</v>
      </c>
      <c r="H55" s="33" t="s">
        <v>63</v>
      </c>
      <c r="I55" s="31" t="s">
        <v>64</v>
      </c>
      <c r="J55" s="31" t="s">
        <v>65</v>
      </c>
    </row>
    <row r="56" spans="1:10" x14ac:dyDescent="0.25">
      <c r="A56" s="29" t="s">
        <v>66</v>
      </c>
      <c r="B56" s="29"/>
      <c r="C56" s="15">
        <f>ROUND(0.5546, 4)</f>
        <v>0.55459999999999998</v>
      </c>
      <c r="D56" s="15">
        <f>ROUND(0.5026, 4)</f>
        <v>0.50260000000000005</v>
      </c>
      <c r="E56" s="15">
        <f>ROUND(0.7608, 4)</f>
        <v>0.76080000000000003</v>
      </c>
      <c r="F56" s="8"/>
      <c r="G56" s="14" t="s">
        <v>67</v>
      </c>
      <c r="H56" s="34"/>
      <c r="I56" s="32"/>
      <c r="J56" s="32"/>
    </row>
    <row r="57" spans="1:10" x14ac:dyDescent="0.25">
      <c r="C57" s="8"/>
      <c r="D57" s="8"/>
      <c r="E57" s="8"/>
      <c r="F57" s="8"/>
      <c r="G57" s="21"/>
      <c r="H57" s="8"/>
      <c r="I57" s="9"/>
      <c r="J57" s="9"/>
    </row>
    <row r="58" spans="1:10" x14ac:dyDescent="0.25">
      <c r="C58" s="8"/>
      <c r="D58" s="8"/>
      <c r="E58" s="8"/>
      <c r="F58" s="8"/>
      <c r="G58" s="21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A60" s="30" t="s">
        <v>68</v>
      </c>
      <c r="B60" s="30"/>
      <c r="C60" s="14" t="s">
        <v>2</v>
      </c>
      <c r="D60" s="14" t="s">
        <v>272</v>
      </c>
      <c r="E60" s="14" t="s">
        <v>70</v>
      </c>
      <c r="F60" s="14" t="s">
        <v>71</v>
      </c>
      <c r="G60" s="14" t="s">
        <v>72</v>
      </c>
      <c r="H60" s="13"/>
      <c r="I60" s="17"/>
      <c r="J60" s="17"/>
    </row>
    <row r="61" spans="1:10" x14ac:dyDescent="0.25">
      <c r="A61" s="29" t="s">
        <v>73</v>
      </c>
      <c r="B61" s="29"/>
      <c r="C61" s="16">
        <v>216.31</v>
      </c>
      <c r="D61" s="16">
        <v>166.33</v>
      </c>
      <c r="E61" s="16">
        <v>93.87</v>
      </c>
      <c r="F61" s="16">
        <v>57.16</v>
      </c>
      <c r="G61" s="16">
        <f>12/12*C61</f>
        <v>216.31</v>
      </c>
      <c r="H61" s="8"/>
      <c r="I61" s="9"/>
      <c r="J61" s="9"/>
    </row>
    <row r="62" spans="1:10" x14ac:dyDescent="0.25">
      <c r="A62" s="29" t="s">
        <v>74</v>
      </c>
      <c r="B62" s="29"/>
      <c r="C62" s="16">
        <v>32.630000000000003</v>
      </c>
      <c r="D62" s="16">
        <v>51.76</v>
      </c>
      <c r="E62" s="16">
        <v>62.84</v>
      </c>
      <c r="F62" s="16">
        <v>65.39</v>
      </c>
      <c r="G62" s="16">
        <f>12/12*C62</f>
        <v>32.630000000000003</v>
      </c>
      <c r="H62" s="8"/>
      <c r="I62" s="9"/>
      <c r="J62" s="9"/>
    </row>
    <row r="63" spans="1:10" x14ac:dyDescent="0.25">
      <c r="A63" s="29" t="s">
        <v>75</v>
      </c>
      <c r="B63" s="29"/>
      <c r="C63" s="16">
        <v>329.29</v>
      </c>
      <c r="D63" s="16">
        <v>317.24</v>
      </c>
      <c r="E63" s="16">
        <v>295.08999999999997</v>
      </c>
      <c r="F63" s="16">
        <v>289.06</v>
      </c>
      <c r="G63" s="16">
        <f>12/12*C63</f>
        <v>329.29</v>
      </c>
      <c r="H63" s="8"/>
      <c r="I63" s="9"/>
      <c r="J63" s="9"/>
    </row>
    <row r="64" spans="1:10" x14ac:dyDescent="0.25">
      <c r="A64" s="29" t="s">
        <v>76</v>
      </c>
      <c r="B64" s="29"/>
      <c r="C64" s="16">
        <v>237.35</v>
      </c>
      <c r="D64" s="16">
        <v>183.94</v>
      </c>
      <c r="E64" s="16">
        <v>118.05</v>
      </c>
      <c r="F64" s="16">
        <v>81.41</v>
      </c>
      <c r="G64" s="16">
        <f>12/12*C64</f>
        <v>237.35</v>
      </c>
      <c r="H64" s="8"/>
      <c r="I64" s="9"/>
      <c r="J64" s="9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28" t="s">
        <v>60</v>
      </c>
      <c r="B67" s="35"/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77</v>
      </c>
      <c r="B68" s="1" t="s">
        <v>273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70</v>
      </c>
      <c r="B69" s="1" t="s">
        <v>79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71</v>
      </c>
      <c r="B70" s="1" t="s">
        <v>80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3" t="s">
        <v>72</v>
      </c>
      <c r="B71" s="1" t="s">
        <v>81</v>
      </c>
      <c r="C71" s="8"/>
      <c r="D71" s="8"/>
      <c r="E71" s="8"/>
      <c r="F71" s="8"/>
      <c r="G71" s="8"/>
      <c r="H71" s="8"/>
      <c r="I71" s="9"/>
      <c r="J71" s="9"/>
    </row>
  </sheetData>
  <mergeCells count="19">
    <mergeCell ref="A62:B62"/>
    <mergeCell ref="A63:B63"/>
    <mergeCell ref="A64:B64"/>
    <mergeCell ref="A67:B67"/>
    <mergeCell ref="I55:I56"/>
    <mergeCell ref="J55:J56"/>
    <mergeCell ref="A56:B56"/>
    <mergeCell ref="A60:B60"/>
    <mergeCell ref="A61:B61"/>
    <mergeCell ref="A48:B48"/>
    <mergeCell ref="A49:B49"/>
    <mergeCell ref="A54:B54"/>
    <mergeCell ref="A55:B55"/>
    <mergeCell ref="H55:H56"/>
    <mergeCell ref="C7:G7"/>
    <mergeCell ref="A40:B40"/>
    <mergeCell ref="A41:B41"/>
    <mergeCell ref="A46:B46"/>
    <mergeCell ref="A47:B47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2:J75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0.425781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274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437</v>
      </c>
    </row>
    <row r="7" spans="1:10" x14ac:dyDescent="0.25">
      <c r="C7" s="28" t="s">
        <v>5</v>
      </c>
      <c r="D7" s="29"/>
      <c r="E7" s="29"/>
      <c r="F7" s="29"/>
      <c r="G7" s="29"/>
    </row>
    <row r="8" spans="1:10" x14ac:dyDescent="0.25">
      <c r="A8" s="25" t="s">
        <v>6</v>
      </c>
      <c r="B8" s="25" t="s">
        <v>7</v>
      </c>
      <c r="C8" s="27" t="s">
        <v>8</v>
      </c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10</v>
      </c>
      <c r="F9" s="10"/>
      <c r="G9" s="10">
        <f t="shared" ref="G9:G39" si="0">SUM(C9:F9)</f>
        <v>10</v>
      </c>
      <c r="H9" s="16">
        <f t="shared" ref="H9:H39" si="1">ROUND(G9/437,2)</f>
        <v>0.02</v>
      </c>
      <c r="I9" s="15">
        <f t="shared" ref="I9:I39" si="2">ROUND(G9/$G$40,3)</f>
        <v>0</v>
      </c>
      <c r="J9" s="15"/>
    </row>
    <row r="10" spans="1:10" x14ac:dyDescent="0.25">
      <c r="A10" s="1" t="s">
        <v>16</v>
      </c>
      <c r="B10" s="1" t="s">
        <v>19</v>
      </c>
      <c r="C10" s="10">
        <v>12910</v>
      </c>
      <c r="D10" s="10"/>
      <c r="E10" s="10">
        <v>1748</v>
      </c>
      <c r="F10" s="10"/>
      <c r="G10" s="10">
        <f t="shared" si="0"/>
        <v>14658</v>
      </c>
      <c r="H10" s="16">
        <f t="shared" si="1"/>
        <v>33.54</v>
      </c>
      <c r="I10" s="15">
        <f t="shared" si="2"/>
        <v>7.2999999999999995E-2</v>
      </c>
      <c r="J10" s="15">
        <f>ROUND(G10/13458.16-1,2)</f>
        <v>0.09</v>
      </c>
    </row>
    <row r="11" spans="1:10" x14ac:dyDescent="0.25">
      <c r="A11" s="1" t="s">
        <v>16</v>
      </c>
      <c r="B11" s="1" t="s">
        <v>20</v>
      </c>
      <c r="C11" s="10">
        <v>17185</v>
      </c>
      <c r="D11" s="10"/>
      <c r="E11" s="10">
        <v>247</v>
      </c>
      <c r="F11" s="10"/>
      <c r="G11" s="10">
        <f t="shared" si="0"/>
        <v>17432</v>
      </c>
      <c r="H11" s="16">
        <f t="shared" si="1"/>
        <v>39.89</v>
      </c>
      <c r="I11" s="15">
        <f t="shared" si="2"/>
        <v>8.6999999999999994E-2</v>
      </c>
      <c r="J11" s="15">
        <f>ROUND(G11/17095-1,2)</f>
        <v>0.02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38</v>
      </c>
      <c r="F12" s="10"/>
      <c r="G12" s="10">
        <f t="shared" si="0"/>
        <v>38</v>
      </c>
      <c r="H12" s="16">
        <f t="shared" si="1"/>
        <v>0.09</v>
      </c>
      <c r="I12" s="15">
        <f t="shared" si="2"/>
        <v>0</v>
      </c>
      <c r="J12" s="15">
        <f>ROUND(G12/35-1,2)</f>
        <v>0.09</v>
      </c>
    </row>
    <row r="13" spans="1:10" x14ac:dyDescent="0.25">
      <c r="A13" s="1" t="s">
        <v>16</v>
      </c>
      <c r="B13" s="1" t="s">
        <v>22</v>
      </c>
      <c r="C13" s="10"/>
      <c r="D13" s="10"/>
      <c r="E13" s="10">
        <v>669</v>
      </c>
      <c r="F13" s="10"/>
      <c r="G13" s="10">
        <f t="shared" si="0"/>
        <v>669</v>
      </c>
      <c r="H13" s="16">
        <f t="shared" si="1"/>
        <v>1.53</v>
      </c>
      <c r="I13" s="15">
        <f t="shared" si="2"/>
        <v>3.0000000000000001E-3</v>
      </c>
      <c r="J13" s="15"/>
    </row>
    <row r="14" spans="1:10" x14ac:dyDescent="0.25">
      <c r="A14" s="1" t="s">
        <v>16</v>
      </c>
      <c r="B14" s="1" t="s">
        <v>23</v>
      </c>
      <c r="C14" s="10"/>
      <c r="D14" s="10"/>
      <c r="E14" s="10">
        <v>34012</v>
      </c>
      <c r="F14" s="10"/>
      <c r="G14" s="10">
        <f t="shared" si="0"/>
        <v>34012</v>
      </c>
      <c r="H14" s="16">
        <f t="shared" si="1"/>
        <v>77.83</v>
      </c>
      <c r="I14" s="15">
        <f t="shared" si="2"/>
        <v>0.16900000000000001</v>
      </c>
      <c r="J14" s="15">
        <f>ROUND(G14/39284.54-1,2)</f>
        <v>-0.13</v>
      </c>
    </row>
    <row r="15" spans="1:10" x14ac:dyDescent="0.25">
      <c r="A15" s="1" t="s">
        <v>16</v>
      </c>
      <c r="B15" s="1" t="s">
        <v>24</v>
      </c>
      <c r="C15" s="10">
        <v>15320</v>
      </c>
      <c r="D15" s="10"/>
      <c r="E15" s="10">
        <v>4769</v>
      </c>
      <c r="F15" s="10"/>
      <c r="G15" s="10">
        <f t="shared" si="0"/>
        <v>20089</v>
      </c>
      <c r="H15" s="16">
        <f t="shared" si="1"/>
        <v>45.97</v>
      </c>
      <c r="I15" s="15">
        <f t="shared" si="2"/>
        <v>0.1</v>
      </c>
      <c r="J15" s="15">
        <f>ROUND(G15/15623.67-1,2)</f>
        <v>0.28999999999999998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4488</v>
      </c>
      <c r="F16" s="10"/>
      <c r="G16" s="10">
        <f t="shared" si="0"/>
        <v>4488</v>
      </c>
      <c r="H16" s="16">
        <f t="shared" si="1"/>
        <v>10.27</v>
      </c>
      <c r="I16" s="15">
        <f t="shared" si="2"/>
        <v>2.1999999999999999E-2</v>
      </c>
      <c r="J16" s="15">
        <f>ROUND(G16/1860-1,2)</f>
        <v>1.41</v>
      </c>
    </row>
    <row r="17" spans="1:10" x14ac:dyDescent="0.25">
      <c r="A17" s="1" t="s">
        <v>16</v>
      </c>
      <c r="B17" s="1" t="s">
        <v>26</v>
      </c>
      <c r="C17" s="10">
        <v>16250</v>
      </c>
      <c r="D17" s="10"/>
      <c r="E17" s="10"/>
      <c r="F17" s="10"/>
      <c r="G17" s="10">
        <f t="shared" si="0"/>
        <v>16250</v>
      </c>
      <c r="H17" s="16">
        <f t="shared" si="1"/>
        <v>37.19</v>
      </c>
      <c r="I17" s="15">
        <f t="shared" si="2"/>
        <v>8.1000000000000003E-2</v>
      </c>
      <c r="J17" s="15">
        <f>ROUND(G17/16950-1,2)</f>
        <v>-0.04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375</v>
      </c>
      <c r="F18" s="10"/>
      <c r="G18" s="10">
        <f t="shared" si="0"/>
        <v>375</v>
      </c>
      <c r="H18" s="16">
        <f t="shared" si="1"/>
        <v>0.86</v>
      </c>
      <c r="I18" s="15">
        <f t="shared" si="2"/>
        <v>2E-3</v>
      </c>
      <c r="J18" s="15">
        <f>ROUND(G18/534-1,2)</f>
        <v>-0.3</v>
      </c>
    </row>
    <row r="19" spans="1:10" x14ac:dyDescent="0.25">
      <c r="A19" s="1" t="s">
        <v>16</v>
      </c>
      <c r="B19" s="1" t="s">
        <v>28</v>
      </c>
      <c r="C19" s="10"/>
      <c r="D19" s="10"/>
      <c r="E19" s="10">
        <v>311</v>
      </c>
      <c r="F19" s="10"/>
      <c r="G19" s="10">
        <f t="shared" si="0"/>
        <v>311</v>
      </c>
      <c r="H19" s="16">
        <f t="shared" si="1"/>
        <v>0.71</v>
      </c>
      <c r="I19" s="15">
        <f t="shared" si="2"/>
        <v>2E-3</v>
      </c>
      <c r="J19" s="15">
        <f>ROUND(G19/127-1,2)</f>
        <v>1.45</v>
      </c>
    </row>
    <row r="20" spans="1:10" x14ac:dyDescent="0.25">
      <c r="A20" s="1" t="s">
        <v>16</v>
      </c>
      <c r="B20" s="1" t="s">
        <v>42</v>
      </c>
      <c r="C20" s="10"/>
      <c r="D20" s="10"/>
      <c r="E20" s="10">
        <v>14</v>
      </c>
      <c r="F20" s="10"/>
      <c r="G20" s="10">
        <f t="shared" si="0"/>
        <v>14</v>
      </c>
      <c r="H20" s="16">
        <f t="shared" si="1"/>
        <v>0.03</v>
      </c>
      <c r="I20" s="15">
        <f t="shared" si="2"/>
        <v>0</v>
      </c>
      <c r="J20" s="15"/>
    </row>
    <row r="21" spans="1:10" x14ac:dyDescent="0.25">
      <c r="A21" s="1" t="s">
        <v>16</v>
      </c>
      <c r="B21" s="1" t="s">
        <v>29</v>
      </c>
      <c r="C21" s="10"/>
      <c r="D21" s="10"/>
      <c r="E21" s="10">
        <v>333</v>
      </c>
      <c r="F21" s="10"/>
      <c r="G21" s="10">
        <f t="shared" si="0"/>
        <v>333</v>
      </c>
      <c r="H21" s="16">
        <f t="shared" si="1"/>
        <v>0.76</v>
      </c>
      <c r="I21" s="15">
        <f t="shared" si="2"/>
        <v>2E-3</v>
      </c>
      <c r="J21" s="15">
        <f>ROUND(G21/495-1,2)</f>
        <v>-0.33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102</v>
      </c>
      <c r="F22" s="10"/>
      <c r="G22" s="10">
        <f t="shared" si="0"/>
        <v>102</v>
      </c>
      <c r="H22" s="16">
        <f t="shared" si="1"/>
        <v>0.23</v>
      </c>
      <c r="I22" s="15">
        <f t="shared" si="2"/>
        <v>1E-3</v>
      </c>
      <c r="J22" s="15">
        <f>ROUND(G22/60.65-1,2)</f>
        <v>0.68</v>
      </c>
    </row>
    <row r="23" spans="1:10" x14ac:dyDescent="0.25">
      <c r="A23" s="1" t="s">
        <v>16</v>
      </c>
      <c r="B23" s="1" t="s">
        <v>31</v>
      </c>
      <c r="C23" s="10"/>
      <c r="D23" s="10"/>
      <c r="E23" s="10">
        <v>91</v>
      </c>
      <c r="F23" s="10"/>
      <c r="G23" s="10">
        <f t="shared" si="0"/>
        <v>91</v>
      </c>
      <c r="H23" s="16">
        <f t="shared" si="1"/>
        <v>0.21</v>
      </c>
      <c r="I23" s="15">
        <f t="shared" si="2"/>
        <v>0</v>
      </c>
      <c r="J23" s="15"/>
    </row>
    <row r="24" spans="1:10" x14ac:dyDescent="0.25">
      <c r="A24" s="1" t="s">
        <v>16</v>
      </c>
      <c r="B24" s="1" t="s">
        <v>32</v>
      </c>
      <c r="C24" s="10"/>
      <c r="D24" s="10"/>
      <c r="E24" s="10">
        <v>264</v>
      </c>
      <c r="F24" s="10"/>
      <c r="G24" s="10">
        <f t="shared" si="0"/>
        <v>264</v>
      </c>
      <c r="H24" s="16">
        <f t="shared" si="1"/>
        <v>0.6</v>
      </c>
      <c r="I24" s="15">
        <f t="shared" si="2"/>
        <v>1E-3</v>
      </c>
      <c r="J24" s="15"/>
    </row>
    <row r="25" spans="1:10" x14ac:dyDescent="0.25">
      <c r="A25" s="1" t="s">
        <v>16</v>
      </c>
      <c r="B25" s="1" t="s">
        <v>33</v>
      </c>
      <c r="C25" s="10"/>
      <c r="D25" s="10"/>
      <c r="E25" s="10">
        <v>41</v>
      </c>
      <c r="F25" s="10"/>
      <c r="G25" s="10">
        <f t="shared" si="0"/>
        <v>41</v>
      </c>
      <c r="H25" s="16">
        <f t="shared" si="1"/>
        <v>0.09</v>
      </c>
      <c r="I25" s="15">
        <f t="shared" si="2"/>
        <v>0</v>
      </c>
      <c r="J25" s="15"/>
    </row>
    <row r="26" spans="1:10" x14ac:dyDescent="0.25">
      <c r="A26" s="1" t="s">
        <v>16</v>
      </c>
      <c r="B26" s="1" t="s">
        <v>37</v>
      </c>
      <c r="C26" s="10"/>
      <c r="D26" s="10"/>
      <c r="E26" s="10">
        <v>991</v>
      </c>
      <c r="F26" s="10"/>
      <c r="G26" s="10">
        <f t="shared" si="0"/>
        <v>991</v>
      </c>
      <c r="H26" s="16">
        <f t="shared" si="1"/>
        <v>2.27</v>
      </c>
      <c r="I26" s="15">
        <f t="shared" si="2"/>
        <v>5.0000000000000001E-3</v>
      </c>
      <c r="J26" s="15">
        <f>ROUND(G26/23.21-1,2)</f>
        <v>41.7</v>
      </c>
    </row>
    <row r="27" spans="1:10" x14ac:dyDescent="0.25">
      <c r="A27" s="1" t="s">
        <v>16</v>
      </c>
      <c r="B27" s="1" t="s">
        <v>43</v>
      </c>
      <c r="C27" s="10"/>
      <c r="D27" s="10"/>
      <c r="E27" s="10">
        <v>1395</v>
      </c>
      <c r="F27" s="10"/>
      <c r="G27" s="10">
        <f t="shared" si="0"/>
        <v>1395</v>
      </c>
      <c r="H27" s="16">
        <f t="shared" si="1"/>
        <v>3.19</v>
      </c>
      <c r="I27" s="15">
        <f t="shared" si="2"/>
        <v>7.0000000000000001E-3</v>
      </c>
      <c r="J27" s="15">
        <f>ROUND(G27/630-1,2)</f>
        <v>1.21</v>
      </c>
    </row>
    <row r="28" spans="1:10" x14ac:dyDescent="0.25">
      <c r="A28" s="1" t="s">
        <v>16</v>
      </c>
      <c r="B28" s="1" t="s">
        <v>38</v>
      </c>
      <c r="C28" s="10"/>
      <c r="D28" s="10"/>
      <c r="E28" s="10">
        <v>12568</v>
      </c>
      <c r="F28" s="10"/>
      <c r="G28" s="10">
        <f t="shared" si="0"/>
        <v>12568</v>
      </c>
      <c r="H28" s="16">
        <f t="shared" si="1"/>
        <v>28.76</v>
      </c>
      <c r="I28" s="15">
        <f t="shared" si="2"/>
        <v>6.2E-2</v>
      </c>
      <c r="J28" s="15">
        <f>ROUND(G28/1423.95-1,2)</f>
        <v>7.83</v>
      </c>
    </row>
    <row r="29" spans="1:10" x14ac:dyDescent="0.25">
      <c r="A29" s="1" t="s">
        <v>16</v>
      </c>
      <c r="B29" s="1" t="s">
        <v>40</v>
      </c>
      <c r="C29" s="10"/>
      <c r="D29" s="10"/>
      <c r="E29" s="10">
        <v>9392</v>
      </c>
      <c r="F29" s="10"/>
      <c r="G29" s="10">
        <f t="shared" si="0"/>
        <v>9392</v>
      </c>
      <c r="H29" s="16">
        <f t="shared" si="1"/>
        <v>21.49</v>
      </c>
      <c r="I29" s="15">
        <f t="shared" si="2"/>
        <v>4.7E-2</v>
      </c>
      <c r="J29" s="15">
        <f>ROUND(G29/7965.93-1,2)</f>
        <v>0.18</v>
      </c>
    </row>
    <row r="30" spans="1:10" x14ac:dyDescent="0.25">
      <c r="A30" s="1" t="s">
        <v>16</v>
      </c>
      <c r="B30" s="1" t="s">
        <v>41</v>
      </c>
      <c r="C30" s="10"/>
      <c r="D30" s="10"/>
      <c r="E30" s="10">
        <v>8245</v>
      </c>
      <c r="F30" s="10"/>
      <c r="G30" s="10">
        <f t="shared" si="0"/>
        <v>8245</v>
      </c>
      <c r="H30" s="16">
        <f t="shared" si="1"/>
        <v>18.87</v>
      </c>
      <c r="I30" s="15">
        <f t="shared" si="2"/>
        <v>4.1000000000000002E-2</v>
      </c>
      <c r="J30" s="15">
        <f>ROUND(G30/2703.68-1,2)</f>
        <v>2.0499999999999998</v>
      </c>
    </row>
    <row r="31" spans="1:10" x14ac:dyDescent="0.25">
      <c r="A31" s="1" t="s">
        <v>16</v>
      </c>
      <c r="B31" s="1" t="s">
        <v>34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/>
    </row>
    <row r="32" spans="1:10" x14ac:dyDescent="0.25">
      <c r="A32" s="1" t="s">
        <v>16</v>
      </c>
      <c r="B32" s="1" t="s">
        <v>36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>
        <f>ROUND(G32/336-1,2)</f>
        <v>-1</v>
      </c>
    </row>
    <row r="33" spans="1:10" x14ac:dyDescent="0.25">
      <c r="A33" s="1" t="s">
        <v>16</v>
      </c>
      <c r="B33" s="1" t="s">
        <v>35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/>
    </row>
    <row r="34" spans="1:10" x14ac:dyDescent="0.25">
      <c r="A34" s="1" t="s">
        <v>16</v>
      </c>
      <c r="B34" s="1" t="s">
        <v>39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/>
    </row>
    <row r="35" spans="1:10" x14ac:dyDescent="0.25">
      <c r="A35" s="1" t="s">
        <v>44</v>
      </c>
      <c r="B35" s="1" t="s">
        <v>45</v>
      </c>
      <c r="C35" s="10">
        <v>43520</v>
      </c>
      <c r="D35" s="10"/>
      <c r="E35" s="10"/>
      <c r="F35" s="10"/>
      <c r="G35" s="10">
        <f t="shared" si="0"/>
        <v>43520</v>
      </c>
      <c r="H35" s="16">
        <f t="shared" si="1"/>
        <v>99.59</v>
      </c>
      <c r="I35" s="15">
        <f t="shared" si="2"/>
        <v>0.216</v>
      </c>
      <c r="J35" s="15">
        <f>ROUND(G35/34630-1,2)</f>
        <v>0.26</v>
      </c>
    </row>
    <row r="36" spans="1:10" x14ac:dyDescent="0.25">
      <c r="A36" s="1" t="s">
        <v>44</v>
      </c>
      <c r="B36" s="1" t="s">
        <v>46</v>
      </c>
      <c r="C36" s="10"/>
      <c r="D36" s="10"/>
      <c r="E36" s="10">
        <v>15823</v>
      </c>
      <c r="F36" s="10"/>
      <c r="G36" s="10">
        <f t="shared" si="0"/>
        <v>15823</v>
      </c>
      <c r="H36" s="16">
        <f t="shared" si="1"/>
        <v>36.21</v>
      </c>
      <c r="I36" s="15">
        <f t="shared" si="2"/>
        <v>7.9000000000000001E-2</v>
      </c>
      <c r="J36" s="15">
        <f>ROUND(G36/12502.34-1,2)</f>
        <v>0.27</v>
      </c>
    </row>
    <row r="37" spans="1:10" x14ac:dyDescent="0.25">
      <c r="A37" s="1" t="s">
        <v>44</v>
      </c>
      <c r="B37" s="1" t="s">
        <v>47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>
        <f>ROUND(G37/10690-1,2)</f>
        <v>-1</v>
      </c>
    </row>
    <row r="38" spans="1:10" x14ac:dyDescent="0.25">
      <c r="A38" s="1" t="s">
        <v>48</v>
      </c>
      <c r="B38" s="1" t="s">
        <v>86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>
        <f>ROUND(G38/494-1,2)</f>
        <v>-1</v>
      </c>
    </row>
    <row r="39" spans="1:10" x14ac:dyDescent="0.25">
      <c r="A39" s="1" t="s">
        <v>48</v>
      </c>
      <c r="B39" s="1" t="s">
        <v>51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30" t="s">
        <v>12</v>
      </c>
      <c r="B40" s="30"/>
      <c r="C40" s="11">
        <f t="shared" ref="C40:H40" si="3">SUM(C8:C39)</f>
        <v>105185</v>
      </c>
      <c r="D40" s="11">
        <f t="shared" si="3"/>
        <v>0</v>
      </c>
      <c r="E40" s="11">
        <f t="shared" si="3"/>
        <v>95926</v>
      </c>
      <c r="F40" s="11">
        <f t="shared" si="3"/>
        <v>0</v>
      </c>
      <c r="G40" s="11">
        <f t="shared" si="3"/>
        <v>201111</v>
      </c>
      <c r="H40" s="14">
        <f t="shared" si="3"/>
        <v>460.2</v>
      </c>
      <c r="I40" s="17"/>
      <c r="J40" s="17"/>
    </row>
    <row r="41" spans="1:10" x14ac:dyDescent="0.25">
      <c r="A41" s="30" t="s">
        <v>14</v>
      </c>
      <c r="B41" s="30"/>
      <c r="C41" s="12">
        <f>ROUND(C40/G40,2)</f>
        <v>0.52</v>
      </c>
      <c r="D41" s="12">
        <f>ROUND(D40/G40,2)</f>
        <v>0</v>
      </c>
      <c r="E41" s="12">
        <f>ROUND(E40/G40,2)</f>
        <v>0.48</v>
      </c>
      <c r="F41" s="12">
        <f>ROUND(F40/G40,2)</f>
        <v>0</v>
      </c>
      <c r="G41" s="13"/>
      <c r="H41" s="13"/>
      <c r="I41" s="17"/>
      <c r="J41" s="17"/>
    </row>
    <row r="42" spans="1:10" x14ac:dyDescent="0.25">
      <c r="A42" s="2" t="s">
        <v>52</v>
      </c>
      <c r="B42" s="2"/>
      <c r="C42" s="13"/>
      <c r="D42" s="13"/>
      <c r="E42" s="13"/>
      <c r="F42" s="13"/>
      <c r="G42" s="13"/>
      <c r="H42" s="13"/>
      <c r="I42" s="17"/>
      <c r="J42" s="17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A46" s="30" t="s">
        <v>53</v>
      </c>
      <c r="B46" s="30"/>
      <c r="C46" s="11" t="s">
        <v>8</v>
      </c>
      <c r="D46" s="11" t="s">
        <v>9</v>
      </c>
      <c r="E46" s="11" t="s">
        <v>10</v>
      </c>
      <c r="F46" s="11" t="s">
        <v>11</v>
      </c>
      <c r="G46" s="11" t="s">
        <v>12</v>
      </c>
      <c r="H46" s="14" t="s">
        <v>13</v>
      </c>
      <c r="I46" s="17"/>
      <c r="J46" s="17"/>
    </row>
    <row r="47" spans="1:10" x14ac:dyDescent="0.25">
      <c r="A47" s="29" t="s">
        <v>54</v>
      </c>
      <c r="B47" s="29"/>
      <c r="C47" s="10">
        <v>61665</v>
      </c>
      <c r="D47" s="10">
        <v>0</v>
      </c>
      <c r="E47" s="10">
        <v>80103</v>
      </c>
      <c r="F47" s="10">
        <v>0</v>
      </c>
      <c r="G47" s="10">
        <f>SUM(C47:F47)</f>
        <v>141768</v>
      </c>
      <c r="H47" s="16">
        <f>ROUND(G47/437,2)</f>
        <v>324.41000000000003</v>
      </c>
      <c r="I47" s="9"/>
      <c r="J47" s="9"/>
    </row>
    <row r="48" spans="1:10" x14ac:dyDescent="0.25">
      <c r="A48" s="29" t="s">
        <v>55</v>
      </c>
      <c r="B48" s="29"/>
      <c r="C48" s="10">
        <v>43520</v>
      </c>
      <c r="D48" s="10">
        <v>0</v>
      </c>
      <c r="E48" s="10">
        <v>15823</v>
      </c>
      <c r="F48" s="10">
        <v>0</v>
      </c>
      <c r="G48" s="10">
        <f>SUM(C48:F48)</f>
        <v>59343</v>
      </c>
      <c r="H48" s="16">
        <f>ROUND(G48/437,2)</f>
        <v>135.80000000000001</v>
      </c>
      <c r="I48" s="9"/>
      <c r="J48" s="9"/>
    </row>
    <row r="49" spans="1:10" x14ac:dyDescent="0.25">
      <c r="A49" s="29" t="s">
        <v>56</v>
      </c>
      <c r="B49" s="29"/>
      <c r="C49" s="10">
        <v>0</v>
      </c>
      <c r="D49" s="10">
        <v>0</v>
      </c>
      <c r="E49" s="10">
        <v>0</v>
      </c>
      <c r="F49" s="10">
        <v>0</v>
      </c>
      <c r="G49" s="10">
        <f>SUM(C49:F49)</f>
        <v>0</v>
      </c>
      <c r="H49" s="16">
        <f>ROUND(G49/437,2)</f>
        <v>0</v>
      </c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A54" s="30" t="s">
        <v>57</v>
      </c>
      <c r="B54" s="30"/>
      <c r="C54" s="14" t="s">
        <v>2</v>
      </c>
      <c r="D54" s="14">
        <v>2023</v>
      </c>
      <c r="E54" s="14" t="s">
        <v>59</v>
      </c>
      <c r="F54" s="13"/>
      <c r="G54" s="14" t="s">
        <v>60</v>
      </c>
      <c r="H54" s="14" t="s">
        <v>2</v>
      </c>
      <c r="I54" s="12" t="s">
        <v>61</v>
      </c>
      <c r="J54" s="12" t="s">
        <v>59</v>
      </c>
    </row>
    <row r="55" spans="1:10" x14ac:dyDescent="0.25">
      <c r="A55" s="29" t="s">
        <v>58</v>
      </c>
      <c r="B55" s="29"/>
      <c r="C55" s="15">
        <f>ROUND(0.7301, 4)</f>
        <v>0.73009999999999997</v>
      </c>
      <c r="D55" s="15">
        <f>ROUND(0.7282, 4)</f>
        <v>0.72819999999999996</v>
      </c>
      <c r="E55" s="15">
        <f>ROUND(0.777, 4)</f>
        <v>0.77700000000000002</v>
      </c>
      <c r="F55" s="8"/>
      <c r="G55" s="14" t="s">
        <v>62</v>
      </c>
      <c r="H55" s="33" t="s">
        <v>63</v>
      </c>
      <c r="I55" s="31" t="s">
        <v>64</v>
      </c>
      <c r="J55" s="31" t="s">
        <v>65</v>
      </c>
    </row>
    <row r="56" spans="1:10" x14ac:dyDescent="0.25">
      <c r="A56" s="29" t="s">
        <v>66</v>
      </c>
      <c r="B56" s="29"/>
      <c r="C56" s="15">
        <f>ROUND(0.6974, 4)</f>
        <v>0.69740000000000002</v>
      </c>
      <c r="D56" s="15">
        <f>ROUND(0.6909, 4)</f>
        <v>0.69089999999999996</v>
      </c>
      <c r="E56" s="15">
        <f>ROUND(0.7608, 4)</f>
        <v>0.76080000000000003</v>
      </c>
      <c r="F56" s="8"/>
      <c r="G56" s="14" t="s">
        <v>67</v>
      </c>
      <c r="H56" s="34"/>
      <c r="I56" s="32"/>
      <c r="J56" s="32"/>
    </row>
    <row r="57" spans="1:10" x14ac:dyDescent="0.25">
      <c r="C57" s="8"/>
      <c r="D57" s="8"/>
      <c r="E57" s="8"/>
      <c r="F57" s="8"/>
      <c r="G57" s="21"/>
      <c r="H57" s="8"/>
      <c r="I57" s="9"/>
      <c r="J57" s="9"/>
    </row>
    <row r="58" spans="1:10" x14ac:dyDescent="0.25">
      <c r="C58" s="8"/>
      <c r="D58" s="8"/>
      <c r="E58" s="8"/>
      <c r="F58" s="8"/>
      <c r="G58" s="21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A60" s="30" t="s">
        <v>68</v>
      </c>
      <c r="B60" s="30"/>
      <c r="C60" s="14" t="s">
        <v>2</v>
      </c>
      <c r="D60" s="14" t="s">
        <v>275</v>
      </c>
      <c r="E60" s="14" t="s">
        <v>70</v>
      </c>
      <c r="F60" s="14" t="s">
        <v>71</v>
      </c>
      <c r="G60" s="14" t="s">
        <v>72</v>
      </c>
      <c r="H60" s="13"/>
      <c r="I60" s="17"/>
      <c r="J60" s="17"/>
    </row>
    <row r="61" spans="1:10" x14ac:dyDescent="0.25">
      <c r="A61" s="29" t="s">
        <v>73</v>
      </c>
      <c r="B61" s="29"/>
      <c r="C61" s="16">
        <v>99.59</v>
      </c>
      <c r="D61" s="16">
        <v>75.69</v>
      </c>
      <c r="E61" s="16">
        <v>93.87</v>
      </c>
      <c r="F61" s="16">
        <v>57.16</v>
      </c>
      <c r="G61" s="16">
        <f>12/12*C61</f>
        <v>99.59</v>
      </c>
      <c r="H61" s="8"/>
      <c r="I61" s="9"/>
      <c r="J61" s="9"/>
    </row>
    <row r="62" spans="1:10" x14ac:dyDescent="0.25">
      <c r="A62" s="29" t="s">
        <v>74</v>
      </c>
      <c r="B62" s="29"/>
      <c r="C62" s="16">
        <v>37.19</v>
      </c>
      <c r="D62" s="16">
        <v>38.909999999999997</v>
      </c>
      <c r="E62" s="16">
        <v>62.84</v>
      </c>
      <c r="F62" s="16">
        <v>65.39</v>
      </c>
      <c r="G62" s="16">
        <f>12/12*C62</f>
        <v>37.19</v>
      </c>
      <c r="H62" s="8"/>
      <c r="I62" s="9"/>
      <c r="J62" s="9"/>
    </row>
    <row r="63" spans="1:10" x14ac:dyDescent="0.25">
      <c r="A63" s="29" t="s">
        <v>75</v>
      </c>
      <c r="B63" s="29"/>
      <c r="C63" s="16">
        <v>324.41000000000003</v>
      </c>
      <c r="D63" s="16">
        <v>262.63</v>
      </c>
      <c r="E63" s="16">
        <v>295.08999999999997</v>
      </c>
      <c r="F63" s="16">
        <v>289.06</v>
      </c>
      <c r="G63" s="16">
        <f>12/12*C63</f>
        <v>324.41000000000003</v>
      </c>
      <c r="H63" s="8"/>
      <c r="I63" s="9"/>
      <c r="J63" s="9"/>
    </row>
    <row r="64" spans="1:10" x14ac:dyDescent="0.25">
      <c r="A64" s="29" t="s">
        <v>76</v>
      </c>
      <c r="B64" s="29"/>
      <c r="C64" s="16">
        <v>135.80000000000001</v>
      </c>
      <c r="D64" s="16">
        <v>133.62</v>
      </c>
      <c r="E64" s="16">
        <v>118.05</v>
      </c>
      <c r="F64" s="16">
        <v>81.41</v>
      </c>
      <c r="G64" s="16">
        <f>12/12*C64</f>
        <v>135.80000000000001</v>
      </c>
      <c r="H64" s="8"/>
      <c r="I64" s="9"/>
      <c r="J64" s="9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28" t="s">
        <v>60</v>
      </c>
      <c r="B67" s="35"/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77</v>
      </c>
      <c r="B68" s="1" t="s">
        <v>276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70</v>
      </c>
      <c r="B69" s="1" t="s">
        <v>79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71</v>
      </c>
      <c r="B70" s="1" t="s">
        <v>80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3" t="s">
        <v>72</v>
      </c>
      <c r="B71" s="1" t="s">
        <v>81</v>
      </c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</sheetData>
  <mergeCells count="19">
    <mergeCell ref="A62:B62"/>
    <mergeCell ref="A63:B63"/>
    <mergeCell ref="A64:B64"/>
    <mergeCell ref="A67:B67"/>
    <mergeCell ref="I55:I56"/>
    <mergeCell ref="J55:J56"/>
    <mergeCell ref="A56:B56"/>
    <mergeCell ref="A60:B60"/>
    <mergeCell ref="A61:B61"/>
    <mergeCell ref="A48:B48"/>
    <mergeCell ref="A49:B49"/>
    <mergeCell ref="A54:B54"/>
    <mergeCell ref="A55:B55"/>
    <mergeCell ref="H55:H56"/>
    <mergeCell ref="C7:G7"/>
    <mergeCell ref="A40:B40"/>
    <mergeCell ref="A41:B41"/>
    <mergeCell ref="A46:B46"/>
    <mergeCell ref="A47:B47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2:J76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31.285156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277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4638</v>
      </c>
    </row>
    <row r="7" spans="1:10" x14ac:dyDescent="0.25">
      <c r="C7" s="28" t="s">
        <v>5</v>
      </c>
      <c r="D7" s="29"/>
      <c r="E7" s="29"/>
      <c r="F7" s="29"/>
      <c r="G7" s="29"/>
    </row>
    <row r="8" spans="1:10" x14ac:dyDescent="0.25">
      <c r="A8" s="25" t="s">
        <v>6</v>
      </c>
      <c r="B8" s="25" t="s">
        <v>7</v>
      </c>
      <c r="C8" s="27" t="s">
        <v>8</v>
      </c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</row>
    <row r="9" spans="1:10" x14ac:dyDescent="0.25">
      <c r="A9" s="1" t="s">
        <v>48</v>
      </c>
      <c r="B9" s="1" t="s">
        <v>50</v>
      </c>
      <c r="C9" s="10"/>
      <c r="D9" s="10"/>
      <c r="E9" s="10"/>
      <c r="F9" s="10">
        <v>950</v>
      </c>
      <c r="G9" s="10">
        <f t="shared" ref="G9:G43" si="0">SUM(C9:F9)</f>
        <v>950</v>
      </c>
      <c r="H9" s="16">
        <f t="shared" ref="H9:H43" si="1">ROUND(G9/4638,2)</f>
        <v>0.2</v>
      </c>
      <c r="I9" s="15">
        <f t="shared" ref="I9:I43" si="2">ROUND(G9/$G$44,3)</f>
        <v>1E-3</v>
      </c>
      <c r="J9" s="15">
        <f>ROUND(G9/160-1,2)</f>
        <v>4.9400000000000004</v>
      </c>
    </row>
    <row r="10" spans="1:10" x14ac:dyDescent="0.25">
      <c r="A10" s="1" t="s">
        <v>48</v>
      </c>
      <c r="B10" s="1" t="s">
        <v>49</v>
      </c>
      <c r="C10" s="10"/>
      <c r="D10" s="10"/>
      <c r="E10" s="10"/>
      <c r="F10" s="10"/>
      <c r="G10" s="10">
        <f t="shared" si="0"/>
        <v>0</v>
      </c>
      <c r="H10" s="16">
        <f t="shared" si="1"/>
        <v>0</v>
      </c>
      <c r="I10" s="15">
        <f t="shared" si="2"/>
        <v>0</v>
      </c>
      <c r="J10" s="15">
        <f>ROUND(G10/200-1,2)</f>
        <v>-1</v>
      </c>
    </row>
    <row r="11" spans="1:10" x14ac:dyDescent="0.25">
      <c r="A11" s="1" t="s">
        <v>48</v>
      </c>
      <c r="B11" s="1" t="s">
        <v>51</v>
      </c>
      <c r="C11" s="10"/>
      <c r="D11" s="10"/>
      <c r="E11" s="10"/>
      <c r="F11" s="10"/>
      <c r="G11" s="10">
        <f t="shared" si="0"/>
        <v>0</v>
      </c>
      <c r="H11" s="16">
        <f t="shared" si="1"/>
        <v>0</v>
      </c>
      <c r="I11" s="15">
        <f t="shared" si="2"/>
        <v>0</v>
      </c>
      <c r="J11" s="15"/>
    </row>
    <row r="12" spans="1:10" x14ac:dyDescent="0.25">
      <c r="A12" s="1" t="s">
        <v>48</v>
      </c>
      <c r="B12" s="1" t="s">
        <v>86</v>
      </c>
      <c r="C12" s="10"/>
      <c r="D12" s="10"/>
      <c r="E12" s="10"/>
      <c r="F12" s="10"/>
      <c r="G12" s="10">
        <f t="shared" si="0"/>
        <v>0</v>
      </c>
      <c r="H12" s="16">
        <f t="shared" si="1"/>
        <v>0</v>
      </c>
      <c r="I12" s="15">
        <f t="shared" si="2"/>
        <v>0</v>
      </c>
      <c r="J12" s="15"/>
    </row>
    <row r="13" spans="1:10" x14ac:dyDescent="0.25">
      <c r="A13" s="1" t="s">
        <v>16</v>
      </c>
      <c r="B13" s="1" t="s">
        <v>17</v>
      </c>
      <c r="C13" s="10"/>
      <c r="D13" s="10"/>
      <c r="E13" s="10">
        <v>136</v>
      </c>
      <c r="F13" s="10"/>
      <c r="G13" s="10">
        <f t="shared" si="0"/>
        <v>136</v>
      </c>
      <c r="H13" s="16">
        <f t="shared" si="1"/>
        <v>0.03</v>
      </c>
      <c r="I13" s="15">
        <f t="shared" si="2"/>
        <v>0</v>
      </c>
      <c r="J13" s="15">
        <f>ROUND(G13/45-1,2)</f>
        <v>2.02</v>
      </c>
    </row>
    <row r="14" spans="1:10" x14ac:dyDescent="0.25">
      <c r="A14" s="1" t="s">
        <v>16</v>
      </c>
      <c r="B14" s="1" t="s">
        <v>19</v>
      </c>
      <c r="C14" s="10">
        <v>162905</v>
      </c>
      <c r="D14" s="10"/>
      <c r="E14" s="10">
        <v>7240</v>
      </c>
      <c r="F14" s="10"/>
      <c r="G14" s="10">
        <f t="shared" si="0"/>
        <v>170145</v>
      </c>
      <c r="H14" s="16">
        <f t="shared" si="1"/>
        <v>36.68</v>
      </c>
      <c r="I14" s="15">
        <f t="shared" si="2"/>
        <v>9.7000000000000003E-2</v>
      </c>
      <c r="J14" s="15">
        <f>ROUND(G14/161325-1,2)</f>
        <v>0.05</v>
      </c>
    </row>
    <row r="15" spans="1:10" x14ac:dyDescent="0.25">
      <c r="A15" s="1" t="s">
        <v>16</v>
      </c>
      <c r="B15" s="1" t="s">
        <v>20</v>
      </c>
      <c r="C15" s="10">
        <v>190580</v>
      </c>
      <c r="D15" s="10"/>
      <c r="E15" s="10"/>
      <c r="F15" s="10"/>
      <c r="G15" s="10">
        <f t="shared" si="0"/>
        <v>190580</v>
      </c>
      <c r="H15" s="16">
        <f t="shared" si="1"/>
        <v>41.09</v>
      </c>
      <c r="I15" s="15">
        <f t="shared" si="2"/>
        <v>0.109</v>
      </c>
      <c r="J15" s="15">
        <f>ROUND(G15/187900-1,2)</f>
        <v>0.01</v>
      </c>
    </row>
    <row r="16" spans="1:10" x14ac:dyDescent="0.25">
      <c r="A16" s="1" t="s">
        <v>16</v>
      </c>
      <c r="B16" s="1" t="s">
        <v>95</v>
      </c>
      <c r="C16" s="10"/>
      <c r="D16" s="10"/>
      <c r="E16" s="10">
        <v>80</v>
      </c>
      <c r="F16" s="10"/>
      <c r="G16" s="10">
        <f t="shared" si="0"/>
        <v>80</v>
      </c>
      <c r="H16" s="16">
        <f t="shared" si="1"/>
        <v>0.02</v>
      </c>
      <c r="I16" s="15">
        <f t="shared" si="2"/>
        <v>0</v>
      </c>
      <c r="J16" s="15">
        <f>ROUND(G16/63-1,2)</f>
        <v>0.27</v>
      </c>
    </row>
    <row r="17" spans="1:10" x14ac:dyDescent="0.25">
      <c r="A17" s="1" t="s">
        <v>16</v>
      </c>
      <c r="B17" s="1" t="s">
        <v>21</v>
      </c>
      <c r="C17" s="10"/>
      <c r="D17" s="10"/>
      <c r="E17" s="10">
        <v>343</v>
      </c>
      <c r="F17" s="10"/>
      <c r="G17" s="10">
        <f t="shared" si="0"/>
        <v>343</v>
      </c>
      <c r="H17" s="16">
        <f t="shared" si="1"/>
        <v>7.0000000000000007E-2</v>
      </c>
      <c r="I17" s="15">
        <f t="shared" si="2"/>
        <v>0</v>
      </c>
      <c r="J17" s="15">
        <f>ROUND(G17/173-1,2)</f>
        <v>0.98</v>
      </c>
    </row>
    <row r="18" spans="1:10" x14ac:dyDescent="0.25">
      <c r="A18" s="1" t="s">
        <v>16</v>
      </c>
      <c r="B18" s="1" t="s">
        <v>22</v>
      </c>
      <c r="C18" s="10"/>
      <c r="D18" s="10"/>
      <c r="E18" s="10">
        <v>2900</v>
      </c>
      <c r="F18" s="10"/>
      <c r="G18" s="10">
        <f t="shared" si="0"/>
        <v>2900</v>
      </c>
      <c r="H18" s="16">
        <f t="shared" si="1"/>
        <v>0.63</v>
      </c>
      <c r="I18" s="15">
        <f t="shared" si="2"/>
        <v>2E-3</v>
      </c>
      <c r="J18" s="15">
        <f>ROUND(G18/1600-1,2)</f>
        <v>0.81</v>
      </c>
    </row>
    <row r="19" spans="1:10" x14ac:dyDescent="0.25">
      <c r="A19" s="1" t="s">
        <v>16</v>
      </c>
      <c r="B19" s="1" t="s">
        <v>23</v>
      </c>
      <c r="C19" s="10"/>
      <c r="D19" s="10"/>
      <c r="E19" s="10">
        <v>46320</v>
      </c>
      <c r="F19" s="10"/>
      <c r="G19" s="10">
        <f t="shared" si="0"/>
        <v>46320</v>
      </c>
      <c r="H19" s="16">
        <f t="shared" si="1"/>
        <v>9.99</v>
      </c>
      <c r="I19" s="15">
        <f t="shared" si="2"/>
        <v>2.5999999999999999E-2</v>
      </c>
      <c r="J19" s="15">
        <f>ROUND(G19/50760-1,2)</f>
        <v>-0.09</v>
      </c>
    </row>
    <row r="20" spans="1:10" x14ac:dyDescent="0.25">
      <c r="A20" s="1" t="s">
        <v>16</v>
      </c>
      <c r="B20" s="1" t="s">
        <v>24</v>
      </c>
      <c r="C20" s="10">
        <v>237930</v>
      </c>
      <c r="D20" s="10"/>
      <c r="E20" s="10">
        <v>1200</v>
      </c>
      <c r="F20" s="10">
        <v>1020</v>
      </c>
      <c r="G20" s="10">
        <f t="shared" si="0"/>
        <v>240150</v>
      </c>
      <c r="H20" s="16">
        <f t="shared" si="1"/>
        <v>51.78</v>
      </c>
      <c r="I20" s="15">
        <f t="shared" si="2"/>
        <v>0.13700000000000001</v>
      </c>
      <c r="J20" s="15">
        <f>ROUND(G20/241390-1,2)</f>
        <v>-0.01</v>
      </c>
    </row>
    <row r="21" spans="1:10" x14ac:dyDescent="0.25">
      <c r="A21" s="1" t="s">
        <v>16</v>
      </c>
      <c r="B21" s="1" t="s">
        <v>25</v>
      </c>
      <c r="C21" s="10"/>
      <c r="D21" s="10"/>
      <c r="E21" s="10">
        <v>8400</v>
      </c>
      <c r="F21" s="10"/>
      <c r="G21" s="10">
        <f t="shared" si="0"/>
        <v>8400</v>
      </c>
      <c r="H21" s="16">
        <f t="shared" si="1"/>
        <v>1.81</v>
      </c>
      <c r="I21" s="15">
        <f t="shared" si="2"/>
        <v>5.0000000000000001E-3</v>
      </c>
      <c r="J21" s="15">
        <f>ROUND(G21/7055-1,2)</f>
        <v>0.19</v>
      </c>
    </row>
    <row r="22" spans="1:10" x14ac:dyDescent="0.25">
      <c r="A22" s="1" t="s">
        <v>16</v>
      </c>
      <c r="B22" s="1" t="s">
        <v>26</v>
      </c>
      <c r="C22" s="10">
        <v>332820</v>
      </c>
      <c r="D22" s="10"/>
      <c r="E22" s="10"/>
      <c r="F22" s="10">
        <v>1890</v>
      </c>
      <c r="G22" s="10">
        <f t="shared" si="0"/>
        <v>334710</v>
      </c>
      <c r="H22" s="16">
        <f t="shared" si="1"/>
        <v>72.17</v>
      </c>
      <c r="I22" s="15">
        <f t="shared" si="2"/>
        <v>0.191</v>
      </c>
      <c r="J22" s="15">
        <f>ROUND(G22/306410-1,2)</f>
        <v>0.09</v>
      </c>
    </row>
    <row r="23" spans="1:10" x14ac:dyDescent="0.25">
      <c r="A23" s="1" t="s">
        <v>16</v>
      </c>
      <c r="B23" s="1" t="s">
        <v>27</v>
      </c>
      <c r="C23" s="10"/>
      <c r="D23" s="10"/>
      <c r="E23" s="10">
        <v>1438</v>
      </c>
      <c r="F23" s="10"/>
      <c r="G23" s="10">
        <f t="shared" si="0"/>
        <v>1438</v>
      </c>
      <c r="H23" s="16">
        <f t="shared" si="1"/>
        <v>0.31</v>
      </c>
      <c r="I23" s="15">
        <f t="shared" si="2"/>
        <v>1E-3</v>
      </c>
      <c r="J23" s="15">
        <f>ROUND(G23/3842-1,2)</f>
        <v>-0.63</v>
      </c>
    </row>
    <row r="24" spans="1:10" x14ac:dyDescent="0.25">
      <c r="A24" s="1" t="s">
        <v>16</v>
      </c>
      <c r="B24" s="1" t="s">
        <v>28</v>
      </c>
      <c r="C24" s="10"/>
      <c r="D24" s="10"/>
      <c r="E24" s="10">
        <v>1048</v>
      </c>
      <c r="F24" s="10"/>
      <c r="G24" s="10">
        <f t="shared" si="0"/>
        <v>1048</v>
      </c>
      <c r="H24" s="16">
        <f t="shared" si="1"/>
        <v>0.23</v>
      </c>
      <c r="I24" s="15">
        <f t="shared" si="2"/>
        <v>1E-3</v>
      </c>
      <c r="J24" s="15">
        <f>ROUND(G24/535-1,2)</f>
        <v>0.96</v>
      </c>
    </row>
    <row r="25" spans="1:10" x14ac:dyDescent="0.25">
      <c r="A25" s="1" t="s">
        <v>16</v>
      </c>
      <c r="B25" s="1" t="s">
        <v>30</v>
      </c>
      <c r="C25" s="10"/>
      <c r="D25" s="10"/>
      <c r="E25" s="10">
        <v>1240</v>
      </c>
      <c r="F25" s="10"/>
      <c r="G25" s="10">
        <f t="shared" si="0"/>
        <v>1240</v>
      </c>
      <c r="H25" s="16">
        <f t="shared" si="1"/>
        <v>0.27</v>
      </c>
      <c r="I25" s="15">
        <f t="shared" si="2"/>
        <v>1E-3</v>
      </c>
      <c r="J25" s="15">
        <f>ROUND(G25/1120-1,2)</f>
        <v>0.11</v>
      </c>
    </row>
    <row r="26" spans="1:10" x14ac:dyDescent="0.25">
      <c r="A26" s="1" t="s">
        <v>16</v>
      </c>
      <c r="B26" s="1" t="s">
        <v>31</v>
      </c>
      <c r="C26" s="10"/>
      <c r="D26" s="10"/>
      <c r="E26" s="10">
        <v>470</v>
      </c>
      <c r="F26" s="10"/>
      <c r="G26" s="10">
        <f t="shared" si="0"/>
        <v>470</v>
      </c>
      <c r="H26" s="16">
        <f t="shared" si="1"/>
        <v>0.1</v>
      </c>
      <c r="I26" s="15">
        <f t="shared" si="2"/>
        <v>0</v>
      </c>
      <c r="J26" s="15">
        <f>ROUND(G26/440-1,2)</f>
        <v>7.0000000000000007E-2</v>
      </c>
    </row>
    <row r="27" spans="1:10" x14ac:dyDescent="0.25">
      <c r="A27" s="1" t="s">
        <v>16</v>
      </c>
      <c r="B27" s="1" t="s">
        <v>32</v>
      </c>
      <c r="C27" s="10"/>
      <c r="D27" s="10"/>
      <c r="E27" s="10">
        <v>2565</v>
      </c>
      <c r="F27" s="10"/>
      <c r="G27" s="10">
        <f t="shared" si="0"/>
        <v>2565</v>
      </c>
      <c r="H27" s="16">
        <f t="shared" si="1"/>
        <v>0.55000000000000004</v>
      </c>
      <c r="I27" s="15">
        <f t="shared" si="2"/>
        <v>1E-3</v>
      </c>
      <c r="J27" s="15">
        <f>ROUND(G27/2210-1,2)</f>
        <v>0.16</v>
      </c>
    </row>
    <row r="28" spans="1:10" x14ac:dyDescent="0.25">
      <c r="A28" s="1" t="s">
        <v>16</v>
      </c>
      <c r="B28" s="1" t="s">
        <v>33</v>
      </c>
      <c r="C28" s="10"/>
      <c r="D28" s="10">
        <v>281</v>
      </c>
      <c r="E28" s="10">
        <v>170</v>
      </c>
      <c r="F28" s="10"/>
      <c r="G28" s="10">
        <f t="shared" si="0"/>
        <v>451</v>
      </c>
      <c r="H28" s="16">
        <f t="shared" si="1"/>
        <v>0.1</v>
      </c>
      <c r="I28" s="15">
        <f t="shared" si="2"/>
        <v>0</v>
      </c>
      <c r="J28" s="15">
        <f>ROUND(G28/508-1,2)</f>
        <v>-0.11</v>
      </c>
    </row>
    <row r="29" spans="1:10" x14ac:dyDescent="0.25">
      <c r="A29" s="1" t="s">
        <v>16</v>
      </c>
      <c r="B29" s="1" t="s">
        <v>35</v>
      </c>
      <c r="C29" s="10"/>
      <c r="D29" s="10"/>
      <c r="E29" s="10">
        <v>305</v>
      </c>
      <c r="F29" s="10"/>
      <c r="G29" s="10">
        <f t="shared" si="0"/>
        <v>305</v>
      </c>
      <c r="H29" s="16">
        <f t="shared" si="1"/>
        <v>7.0000000000000007E-2</v>
      </c>
      <c r="I29" s="15">
        <f t="shared" si="2"/>
        <v>0</v>
      </c>
      <c r="J29" s="15">
        <f>ROUND(G29/728-1,2)</f>
        <v>-0.57999999999999996</v>
      </c>
    </row>
    <row r="30" spans="1:10" x14ac:dyDescent="0.25">
      <c r="A30" s="1" t="s">
        <v>16</v>
      </c>
      <c r="B30" s="1" t="s">
        <v>34</v>
      </c>
      <c r="C30" s="10"/>
      <c r="D30" s="10"/>
      <c r="E30" s="10">
        <v>3250</v>
      </c>
      <c r="F30" s="10"/>
      <c r="G30" s="10">
        <f t="shared" si="0"/>
        <v>3250</v>
      </c>
      <c r="H30" s="16">
        <f t="shared" si="1"/>
        <v>0.7</v>
      </c>
      <c r="I30" s="15">
        <f t="shared" si="2"/>
        <v>2E-3</v>
      </c>
      <c r="J30" s="15">
        <f>ROUND(G30/2110-1,2)</f>
        <v>0.54</v>
      </c>
    </row>
    <row r="31" spans="1:10" x14ac:dyDescent="0.25">
      <c r="A31" s="1" t="s">
        <v>16</v>
      </c>
      <c r="B31" s="1" t="s">
        <v>37</v>
      </c>
      <c r="C31" s="10"/>
      <c r="D31" s="10"/>
      <c r="E31" s="10">
        <v>3000</v>
      </c>
      <c r="F31" s="10"/>
      <c r="G31" s="10">
        <f t="shared" si="0"/>
        <v>3000</v>
      </c>
      <c r="H31" s="16">
        <f t="shared" si="1"/>
        <v>0.65</v>
      </c>
      <c r="I31" s="15">
        <f t="shared" si="2"/>
        <v>2E-3</v>
      </c>
      <c r="J31" s="15">
        <f>ROUND(G31/3728-1,2)</f>
        <v>-0.2</v>
      </c>
    </row>
    <row r="32" spans="1:10" x14ac:dyDescent="0.25">
      <c r="A32" s="1" t="s">
        <v>16</v>
      </c>
      <c r="B32" s="1" t="s">
        <v>43</v>
      </c>
      <c r="C32" s="10"/>
      <c r="D32" s="10"/>
      <c r="E32" s="10">
        <v>3100</v>
      </c>
      <c r="F32" s="10"/>
      <c r="G32" s="10">
        <f t="shared" si="0"/>
        <v>3100</v>
      </c>
      <c r="H32" s="16">
        <f t="shared" si="1"/>
        <v>0.67</v>
      </c>
      <c r="I32" s="15">
        <f t="shared" si="2"/>
        <v>2E-3</v>
      </c>
      <c r="J32" s="15">
        <f>ROUND(G32/6699-1,2)</f>
        <v>-0.54</v>
      </c>
    </row>
    <row r="33" spans="1:10" x14ac:dyDescent="0.25">
      <c r="A33" s="1" t="s">
        <v>16</v>
      </c>
      <c r="B33" s="1" t="s">
        <v>38</v>
      </c>
      <c r="C33" s="10"/>
      <c r="D33" s="10"/>
      <c r="E33" s="10">
        <v>100760</v>
      </c>
      <c r="F33" s="10"/>
      <c r="G33" s="10">
        <f t="shared" si="0"/>
        <v>100760</v>
      </c>
      <c r="H33" s="16">
        <f t="shared" si="1"/>
        <v>21.72</v>
      </c>
      <c r="I33" s="15">
        <f t="shared" si="2"/>
        <v>5.8000000000000003E-2</v>
      </c>
      <c r="J33" s="15">
        <f>ROUND(G33/86765-1,2)</f>
        <v>0.16</v>
      </c>
    </row>
    <row r="34" spans="1:10" x14ac:dyDescent="0.25">
      <c r="A34" s="1" t="s">
        <v>16</v>
      </c>
      <c r="B34" s="1" t="s">
        <v>39</v>
      </c>
      <c r="C34" s="10"/>
      <c r="D34" s="10"/>
      <c r="E34" s="10">
        <v>6400</v>
      </c>
      <c r="F34" s="10"/>
      <c r="G34" s="10">
        <f t="shared" si="0"/>
        <v>6400</v>
      </c>
      <c r="H34" s="16">
        <f t="shared" si="1"/>
        <v>1.38</v>
      </c>
      <c r="I34" s="15">
        <f t="shared" si="2"/>
        <v>4.0000000000000001E-3</v>
      </c>
      <c r="J34" s="15">
        <f>ROUND(G34/8570-1,2)</f>
        <v>-0.25</v>
      </c>
    </row>
    <row r="35" spans="1:10" x14ac:dyDescent="0.25">
      <c r="A35" s="1" t="s">
        <v>16</v>
      </c>
      <c r="B35" s="1" t="s">
        <v>40</v>
      </c>
      <c r="C35" s="10"/>
      <c r="D35" s="10"/>
      <c r="E35" s="10">
        <v>23450</v>
      </c>
      <c r="F35" s="10"/>
      <c r="G35" s="10">
        <f t="shared" si="0"/>
        <v>23450</v>
      </c>
      <c r="H35" s="16">
        <f t="shared" si="1"/>
        <v>5.0599999999999996</v>
      </c>
      <c r="I35" s="15">
        <f t="shared" si="2"/>
        <v>1.2999999999999999E-2</v>
      </c>
      <c r="J35" s="15">
        <f>ROUND(G35/26130-1,2)</f>
        <v>-0.1</v>
      </c>
    </row>
    <row r="36" spans="1:10" x14ac:dyDescent="0.25">
      <c r="A36" s="1" t="s">
        <v>16</v>
      </c>
      <c r="B36" s="1" t="s">
        <v>41</v>
      </c>
      <c r="C36" s="10"/>
      <c r="D36" s="10"/>
      <c r="E36" s="10">
        <v>204850</v>
      </c>
      <c r="F36" s="10">
        <v>3200</v>
      </c>
      <c r="G36" s="10">
        <f t="shared" si="0"/>
        <v>208050</v>
      </c>
      <c r="H36" s="16">
        <f t="shared" si="1"/>
        <v>44.86</v>
      </c>
      <c r="I36" s="15">
        <f t="shared" si="2"/>
        <v>0.11899999999999999</v>
      </c>
      <c r="J36" s="15">
        <f>ROUND(G36/234130-1,2)</f>
        <v>-0.11</v>
      </c>
    </row>
    <row r="37" spans="1:10" x14ac:dyDescent="0.25">
      <c r="A37" s="1" t="s">
        <v>16</v>
      </c>
      <c r="B37" s="1" t="s">
        <v>29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>
        <f>ROUND(G37/5770-1,2)</f>
        <v>-1</v>
      </c>
    </row>
    <row r="38" spans="1:10" x14ac:dyDescent="0.25">
      <c r="A38" s="1" t="s">
        <v>16</v>
      </c>
      <c r="B38" s="1" t="s">
        <v>36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>
        <f>ROUND(G38/3780-1,2)</f>
        <v>-1</v>
      </c>
    </row>
    <row r="39" spans="1:10" x14ac:dyDescent="0.25">
      <c r="A39" s="1" t="s">
        <v>16</v>
      </c>
      <c r="B39" s="1" t="s">
        <v>42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>
        <f>ROUND(G39/143-1,2)</f>
        <v>-1</v>
      </c>
    </row>
    <row r="40" spans="1:10" x14ac:dyDescent="0.25">
      <c r="A40" s="1" t="s">
        <v>16</v>
      </c>
      <c r="B40" s="1" t="s">
        <v>98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>
        <f>ROUND(G40/400-1,2)</f>
        <v>-1</v>
      </c>
    </row>
    <row r="41" spans="1:10" x14ac:dyDescent="0.25">
      <c r="A41" s="1" t="s">
        <v>44</v>
      </c>
      <c r="B41" s="1" t="s">
        <v>45</v>
      </c>
      <c r="C41" s="10">
        <v>276670</v>
      </c>
      <c r="D41" s="10"/>
      <c r="E41" s="10"/>
      <c r="F41" s="10"/>
      <c r="G41" s="10">
        <f t="shared" si="0"/>
        <v>276670</v>
      </c>
      <c r="H41" s="16">
        <f t="shared" si="1"/>
        <v>59.65</v>
      </c>
      <c r="I41" s="15">
        <f t="shared" si="2"/>
        <v>0.158</v>
      </c>
      <c r="J41" s="15">
        <f>ROUND(G41/260960-1,2)</f>
        <v>0.06</v>
      </c>
    </row>
    <row r="42" spans="1:10" x14ac:dyDescent="0.25">
      <c r="A42" s="1" t="s">
        <v>44</v>
      </c>
      <c r="B42" s="1" t="s">
        <v>47</v>
      </c>
      <c r="C42" s="10"/>
      <c r="D42" s="10"/>
      <c r="E42" s="10"/>
      <c r="F42" s="10">
        <v>55800</v>
      </c>
      <c r="G42" s="10">
        <f t="shared" si="0"/>
        <v>55800</v>
      </c>
      <c r="H42" s="16">
        <f t="shared" si="1"/>
        <v>12.03</v>
      </c>
      <c r="I42" s="15">
        <f t="shared" si="2"/>
        <v>3.2000000000000001E-2</v>
      </c>
      <c r="J42" s="15">
        <f>ROUND(G42/79940-1,2)</f>
        <v>-0.3</v>
      </c>
    </row>
    <row r="43" spans="1:10" x14ac:dyDescent="0.25">
      <c r="A43" s="1" t="s">
        <v>44</v>
      </c>
      <c r="B43" s="1" t="s">
        <v>46</v>
      </c>
      <c r="C43" s="10"/>
      <c r="D43" s="10"/>
      <c r="E43" s="10">
        <v>68960</v>
      </c>
      <c r="F43" s="10"/>
      <c r="G43" s="10">
        <f t="shared" si="0"/>
        <v>68960</v>
      </c>
      <c r="H43" s="16">
        <f t="shared" si="1"/>
        <v>14.87</v>
      </c>
      <c r="I43" s="15">
        <f t="shared" si="2"/>
        <v>3.9E-2</v>
      </c>
      <c r="J43" s="15">
        <f>ROUND(G43/64840-1,2)</f>
        <v>0.06</v>
      </c>
    </row>
    <row r="44" spans="1:10" x14ac:dyDescent="0.25">
      <c r="A44" s="30" t="s">
        <v>12</v>
      </c>
      <c r="B44" s="30"/>
      <c r="C44" s="11">
        <f t="shared" ref="C44:H44" si="3">SUM(C8:C43)</f>
        <v>1200905</v>
      </c>
      <c r="D44" s="11">
        <f t="shared" si="3"/>
        <v>281</v>
      </c>
      <c r="E44" s="11">
        <f t="shared" si="3"/>
        <v>487625</v>
      </c>
      <c r="F44" s="11">
        <f t="shared" si="3"/>
        <v>62860</v>
      </c>
      <c r="G44" s="11">
        <f t="shared" si="3"/>
        <v>1751671</v>
      </c>
      <c r="H44" s="14">
        <f t="shared" si="3"/>
        <v>377.68999999999988</v>
      </c>
      <c r="I44" s="17"/>
      <c r="J44" s="17"/>
    </row>
    <row r="45" spans="1:10" x14ac:dyDescent="0.25">
      <c r="A45" s="30" t="s">
        <v>14</v>
      </c>
      <c r="B45" s="30"/>
      <c r="C45" s="12">
        <f>ROUND(C44/G44,2)</f>
        <v>0.69</v>
      </c>
      <c r="D45" s="12">
        <f>ROUND(D44/G44,2)</f>
        <v>0</v>
      </c>
      <c r="E45" s="12">
        <f>ROUND(E44/G44,2)</f>
        <v>0.28000000000000003</v>
      </c>
      <c r="F45" s="12">
        <f>ROUND(F44/G44,2)</f>
        <v>0.04</v>
      </c>
      <c r="G45" s="13"/>
      <c r="H45" s="13"/>
      <c r="I45" s="17"/>
      <c r="J45" s="17"/>
    </row>
    <row r="46" spans="1:10" x14ac:dyDescent="0.25">
      <c r="A46" s="2" t="s">
        <v>52</v>
      </c>
      <c r="B46" s="2"/>
      <c r="C46" s="13"/>
      <c r="D46" s="13"/>
      <c r="E46" s="13"/>
      <c r="F46" s="13"/>
      <c r="G46" s="13"/>
      <c r="H46" s="13"/>
      <c r="I46" s="17"/>
      <c r="J46" s="17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A50" s="30" t="s">
        <v>53</v>
      </c>
      <c r="B50" s="30"/>
      <c r="C50" s="11" t="s">
        <v>8</v>
      </c>
      <c r="D50" s="11" t="s">
        <v>9</v>
      </c>
      <c r="E50" s="11" t="s">
        <v>10</v>
      </c>
      <c r="F50" s="11" t="s">
        <v>11</v>
      </c>
      <c r="G50" s="11" t="s">
        <v>12</v>
      </c>
      <c r="H50" s="14" t="s">
        <v>13</v>
      </c>
      <c r="I50" s="17"/>
      <c r="J50" s="17"/>
    </row>
    <row r="51" spans="1:10" x14ac:dyDescent="0.25">
      <c r="A51" s="29" t="s">
        <v>54</v>
      </c>
      <c r="B51" s="29"/>
      <c r="C51" s="10">
        <v>924235</v>
      </c>
      <c r="D51" s="10">
        <v>281</v>
      </c>
      <c r="E51" s="10">
        <v>418665</v>
      </c>
      <c r="F51" s="10">
        <v>6110</v>
      </c>
      <c r="G51" s="10">
        <f>SUM(C51:F51)</f>
        <v>1349291</v>
      </c>
      <c r="H51" s="16">
        <f>ROUND(G51/4638,2)</f>
        <v>290.92</v>
      </c>
      <c r="I51" s="9"/>
      <c r="J51" s="9"/>
    </row>
    <row r="52" spans="1:10" x14ac:dyDescent="0.25">
      <c r="A52" s="29" t="s">
        <v>55</v>
      </c>
      <c r="B52" s="29"/>
      <c r="C52" s="10">
        <v>276670</v>
      </c>
      <c r="D52" s="10">
        <v>0</v>
      </c>
      <c r="E52" s="10">
        <v>68960</v>
      </c>
      <c r="F52" s="10">
        <v>55800</v>
      </c>
      <c r="G52" s="10">
        <f>SUM(C52:F52)</f>
        <v>401430</v>
      </c>
      <c r="H52" s="16">
        <f>ROUND(G52/4638,2)</f>
        <v>86.55</v>
      </c>
      <c r="I52" s="9"/>
      <c r="J52" s="9"/>
    </row>
    <row r="53" spans="1:10" x14ac:dyDescent="0.25">
      <c r="A53" s="29" t="s">
        <v>56</v>
      </c>
      <c r="B53" s="29"/>
      <c r="C53" s="10">
        <v>0</v>
      </c>
      <c r="D53" s="10">
        <v>0</v>
      </c>
      <c r="E53" s="10">
        <v>0</v>
      </c>
      <c r="F53" s="10">
        <v>950</v>
      </c>
      <c r="G53" s="10">
        <f>SUM(C53:F53)</f>
        <v>950</v>
      </c>
      <c r="H53" s="16">
        <f>ROUND(G53/4638,2)</f>
        <v>0.2</v>
      </c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21"/>
      <c r="H57" s="8"/>
      <c r="I57" s="9"/>
      <c r="J57" s="9"/>
    </row>
    <row r="58" spans="1:10" x14ac:dyDescent="0.25">
      <c r="A58" s="30" t="s">
        <v>57</v>
      </c>
      <c r="B58" s="30"/>
      <c r="C58" s="14" t="s">
        <v>2</v>
      </c>
      <c r="D58" s="14">
        <v>2023</v>
      </c>
      <c r="E58" s="14" t="s">
        <v>59</v>
      </c>
      <c r="F58" s="13"/>
      <c r="G58" s="20" t="s">
        <v>60</v>
      </c>
      <c r="H58" s="14" t="s">
        <v>2</v>
      </c>
      <c r="I58" s="12" t="s">
        <v>61</v>
      </c>
      <c r="J58" s="12" t="s">
        <v>59</v>
      </c>
    </row>
    <row r="59" spans="1:10" x14ac:dyDescent="0.25">
      <c r="A59" s="29" t="s">
        <v>58</v>
      </c>
      <c r="B59" s="29"/>
      <c r="C59" s="15">
        <f>ROUND(0.8286, 4)</f>
        <v>0.8286</v>
      </c>
      <c r="D59" s="15">
        <f>ROUND(0.8355, 4)</f>
        <v>0.83550000000000002</v>
      </c>
      <c r="E59" s="15">
        <f>ROUND(0.777, 4)</f>
        <v>0.77700000000000002</v>
      </c>
      <c r="F59" s="8"/>
      <c r="G59" s="14" t="s">
        <v>62</v>
      </c>
      <c r="H59" s="33" t="s">
        <v>63</v>
      </c>
      <c r="I59" s="31" t="s">
        <v>64</v>
      </c>
      <c r="J59" s="31" t="s">
        <v>65</v>
      </c>
    </row>
    <row r="60" spans="1:10" x14ac:dyDescent="0.25">
      <c r="A60" s="29" t="s">
        <v>66</v>
      </c>
      <c r="B60" s="29"/>
      <c r="C60" s="15">
        <f>ROUND(0.8158, 4)</f>
        <v>0.81579999999999997</v>
      </c>
      <c r="D60" s="15">
        <f>ROUND(0.8233, 4)</f>
        <v>0.82330000000000003</v>
      </c>
      <c r="E60" s="15">
        <f>ROUND(0.7608, 4)</f>
        <v>0.76080000000000003</v>
      </c>
      <c r="F60" s="8"/>
      <c r="G60" s="14" t="s">
        <v>67</v>
      </c>
      <c r="H60" s="34"/>
      <c r="I60" s="32"/>
      <c r="J60" s="32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A64" s="30" t="s">
        <v>68</v>
      </c>
      <c r="B64" s="30"/>
      <c r="C64" s="14" t="s">
        <v>2</v>
      </c>
      <c r="D64" s="14" t="s">
        <v>278</v>
      </c>
      <c r="E64" s="14" t="s">
        <v>70</v>
      </c>
      <c r="F64" s="14" t="s">
        <v>71</v>
      </c>
      <c r="G64" s="14" t="s">
        <v>72</v>
      </c>
      <c r="H64" s="13"/>
      <c r="I64" s="17"/>
      <c r="J64" s="17"/>
    </row>
    <row r="65" spans="1:10" x14ac:dyDescent="0.25">
      <c r="A65" s="29" t="s">
        <v>73</v>
      </c>
      <c r="B65" s="29"/>
      <c r="C65" s="16">
        <v>59.65</v>
      </c>
      <c r="D65" s="16">
        <v>80.25</v>
      </c>
      <c r="E65" s="16">
        <v>93.87</v>
      </c>
      <c r="F65" s="16">
        <v>57.16</v>
      </c>
      <c r="G65" s="16">
        <f>12/12*C65</f>
        <v>59.65</v>
      </c>
      <c r="H65" s="8"/>
      <c r="I65" s="9"/>
      <c r="J65" s="9"/>
    </row>
    <row r="66" spans="1:10" x14ac:dyDescent="0.25">
      <c r="A66" s="29" t="s">
        <v>74</v>
      </c>
      <c r="B66" s="29"/>
      <c r="C66" s="16">
        <v>72.17</v>
      </c>
      <c r="D66" s="16">
        <v>65.81</v>
      </c>
      <c r="E66" s="16">
        <v>62.84</v>
      </c>
      <c r="F66" s="16">
        <v>65.39</v>
      </c>
      <c r="G66" s="16">
        <f>12/12*C66</f>
        <v>72.17</v>
      </c>
      <c r="H66" s="8"/>
      <c r="I66" s="9"/>
      <c r="J66" s="9"/>
    </row>
    <row r="67" spans="1:10" x14ac:dyDescent="0.25">
      <c r="A67" s="29" t="s">
        <v>75</v>
      </c>
      <c r="B67" s="29"/>
      <c r="C67" s="16">
        <v>290.92</v>
      </c>
      <c r="D67" s="16">
        <v>306.95999999999998</v>
      </c>
      <c r="E67" s="16">
        <v>295.08999999999997</v>
      </c>
      <c r="F67" s="16">
        <v>289.06</v>
      </c>
      <c r="G67" s="16">
        <f>12/12*C67</f>
        <v>290.92</v>
      </c>
      <c r="H67" s="8"/>
      <c r="I67" s="9"/>
      <c r="J67" s="9"/>
    </row>
    <row r="68" spans="1:10" x14ac:dyDescent="0.25">
      <c r="A68" s="29" t="s">
        <v>76</v>
      </c>
      <c r="B68" s="29"/>
      <c r="C68" s="16">
        <v>86.55</v>
      </c>
      <c r="D68" s="16">
        <v>109.41</v>
      </c>
      <c r="E68" s="16">
        <v>118.05</v>
      </c>
      <c r="F68" s="16">
        <v>81.41</v>
      </c>
      <c r="G68" s="16">
        <f>12/12*C68</f>
        <v>86.55</v>
      </c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28" t="s">
        <v>60</v>
      </c>
      <c r="B71" s="35"/>
      <c r="C71" s="8"/>
      <c r="D71" s="8"/>
      <c r="E71" s="8"/>
      <c r="F71" s="8"/>
      <c r="G71" s="8"/>
      <c r="H71" s="8"/>
      <c r="I71" s="9"/>
      <c r="J71" s="9"/>
    </row>
    <row r="72" spans="1:10" x14ac:dyDescent="0.25">
      <c r="A72" s="3" t="s">
        <v>77</v>
      </c>
      <c r="B72" s="1" t="s">
        <v>279</v>
      </c>
      <c r="C72" s="8"/>
      <c r="D72" s="8"/>
      <c r="E72" s="8"/>
      <c r="F72" s="8"/>
      <c r="G72" s="8"/>
      <c r="H72" s="8"/>
      <c r="I72" s="9"/>
      <c r="J72" s="9"/>
    </row>
    <row r="73" spans="1:10" x14ac:dyDescent="0.25">
      <c r="A73" s="3" t="s">
        <v>70</v>
      </c>
      <c r="B73" s="1" t="s">
        <v>79</v>
      </c>
      <c r="C73" s="8"/>
      <c r="D73" s="8"/>
      <c r="E73" s="8"/>
      <c r="F73" s="8"/>
      <c r="G73" s="8"/>
      <c r="H73" s="8"/>
      <c r="I73" s="9"/>
      <c r="J73" s="9"/>
    </row>
    <row r="74" spans="1:10" x14ac:dyDescent="0.25">
      <c r="A74" s="3" t="s">
        <v>71</v>
      </c>
      <c r="B74" s="1" t="s">
        <v>80</v>
      </c>
      <c r="C74" s="8"/>
      <c r="D74" s="8"/>
      <c r="E74" s="8"/>
      <c r="F74" s="8"/>
      <c r="G74" s="8"/>
      <c r="H74" s="8"/>
      <c r="I74" s="9"/>
      <c r="J74" s="9"/>
    </row>
    <row r="75" spans="1:10" x14ac:dyDescent="0.25">
      <c r="A75" s="3" t="s">
        <v>72</v>
      </c>
      <c r="B75" s="1" t="s">
        <v>81</v>
      </c>
      <c r="C75" s="8"/>
      <c r="D75" s="8"/>
      <c r="E75" s="8"/>
      <c r="F75" s="8"/>
      <c r="G75" s="8"/>
      <c r="H75" s="8"/>
      <c r="I75" s="9"/>
      <c r="J75" s="9"/>
    </row>
    <row r="76" spans="1:10" x14ac:dyDescent="0.25">
      <c r="C76" s="8"/>
      <c r="D76" s="8"/>
      <c r="E76" s="8"/>
      <c r="F76" s="8"/>
      <c r="G76" s="8"/>
      <c r="H76" s="8"/>
      <c r="I76" s="9"/>
      <c r="J76" s="9"/>
    </row>
  </sheetData>
  <mergeCells count="19">
    <mergeCell ref="A66:B66"/>
    <mergeCell ref="A67:B67"/>
    <mergeCell ref="A68:B68"/>
    <mergeCell ref="A71:B71"/>
    <mergeCell ref="I59:I60"/>
    <mergeCell ref="J59:J60"/>
    <mergeCell ref="A60:B60"/>
    <mergeCell ref="A64:B64"/>
    <mergeCell ref="A65:B65"/>
    <mergeCell ref="A52:B52"/>
    <mergeCell ref="A53:B53"/>
    <mergeCell ref="A58:B58"/>
    <mergeCell ref="A59:B59"/>
    <mergeCell ref="H59:H60"/>
    <mergeCell ref="C7:G7"/>
    <mergeCell ref="A44:B44"/>
    <mergeCell ref="A45:B45"/>
    <mergeCell ref="A50:B50"/>
    <mergeCell ref="A51:B51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2:J76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7.285156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280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6015</v>
      </c>
    </row>
    <row r="7" spans="1:10" x14ac:dyDescent="0.25">
      <c r="C7" s="28" t="s">
        <v>5</v>
      </c>
      <c r="D7" s="29"/>
      <c r="E7" s="29"/>
      <c r="F7" s="29"/>
      <c r="G7" s="29"/>
    </row>
    <row r="8" spans="1:10" x14ac:dyDescent="0.25">
      <c r="A8" s="25" t="s">
        <v>6</v>
      </c>
      <c r="B8" s="25" t="s">
        <v>7</v>
      </c>
      <c r="C8" s="27" t="s">
        <v>8</v>
      </c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</row>
    <row r="9" spans="1:10" x14ac:dyDescent="0.25">
      <c r="A9" s="1" t="s">
        <v>48</v>
      </c>
      <c r="B9" s="1" t="s">
        <v>49</v>
      </c>
      <c r="C9" s="10"/>
      <c r="D9" s="10"/>
      <c r="E9" s="10"/>
      <c r="F9" s="10">
        <v>6</v>
      </c>
      <c r="G9" s="10">
        <f t="shared" ref="G9:G44" si="0">SUM(C9:F9)</f>
        <v>6</v>
      </c>
      <c r="H9" s="16">
        <f t="shared" ref="H9:H44" si="1">ROUND(G9/6015,2)</f>
        <v>0</v>
      </c>
      <c r="I9" s="15">
        <f t="shared" ref="I9:I44" si="2">ROUND(G9/$G$45,3)</f>
        <v>0</v>
      </c>
      <c r="J9" s="15"/>
    </row>
    <row r="10" spans="1:10" x14ac:dyDescent="0.25">
      <c r="A10" s="1" t="s">
        <v>48</v>
      </c>
      <c r="B10" s="1" t="s">
        <v>86</v>
      </c>
      <c r="C10" s="10"/>
      <c r="D10" s="10"/>
      <c r="E10" s="10"/>
      <c r="F10" s="10"/>
      <c r="G10" s="10">
        <f t="shared" si="0"/>
        <v>0</v>
      </c>
      <c r="H10" s="16">
        <f t="shared" si="1"/>
        <v>0</v>
      </c>
      <c r="I10" s="15">
        <f t="shared" si="2"/>
        <v>0</v>
      </c>
      <c r="J10" s="15"/>
    </row>
    <row r="11" spans="1:10" x14ac:dyDescent="0.25">
      <c r="A11" s="1" t="s">
        <v>48</v>
      </c>
      <c r="B11" s="1" t="s">
        <v>50</v>
      </c>
      <c r="C11" s="10"/>
      <c r="D11" s="10"/>
      <c r="E11" s="10"/>
      <c r="F11" s="10"/>
      <c r="G11" s="10">
        <f t="shared" si="0"/>
        <v>0</v>
      </c>
      <c r="H11" s="16">
        <f t="shared" si="1"/>
        <v>0</v>
      </c>
      <c r="I11" s="15">
        <f t="shared" si="2"/>
        <v>0</v>
      </c>
      <c r="J11" s="15">
        <f>ROUND(G11/635-1,2)</f>
        <v>-1</v>
      </c>
    </row>
    <row r="12" spans="1:10" x14ac:dyDescent="0.25">
      <c r="A12" s="1" t="s">
        <v>48</v>
      </c>
      <c r="B12" s="1" t="s">
        <v>51</v>
      </c>
      <c r="C12" s="10"/>
      <c r="D12" s="10"/>
      <c r="E12" s="10"/>
      <c r="F12" s="10"/>
      <c r="G12" s="10">
        <f t="shared" si="0"/>
        <v>0</v>
      </c>
      <c r="H12" s="16">
        <f t="shared" si="1"/>
        <v>0</v>
      </c>
      <c r="I12" s="15">
        <f t="shared" si="2"/>
        <v>0</v>
      </c>
      <c r="J12" s="15"/>
    </row>
    <row r="13" spans="1:10" x14ac:dyDescent="0.25">
      <c r="A13" s="1" t="s">
        <v>16</v>
      </c>
      <c r="B13" s="1" t="s">
        <v>17</v>
      </c>
      <c r="C13" s="10"/>
      <c r="D13" s="10"/>
      <c r="E13" s="10">
        <v>40</v>
      </c>
      <c r="F13" s="10"/>
      <c r="G13" s="10">
        <f t="shared" si="0"/>
        <v>40</v>
      </c>
      <c r="H13" s="16">
        <f t="shared" si="1"/>
        <v>0.01</v>
      </c>
      <c r="I13" s="15">
        <f t="shared" si="2"/>
        <v>0</v>
      </c>
      <c r="J13" s="15">
        <f>ROUND(G13/201-1,2)</f>
        <v>-0.8</v>
      </c>
    </row>
    <row r="14" spans="1:10" x14ac:dyDescent="0.25">
      <c r="A14" s="1" t="s">
        <v>16</v>
      </c>
      <c r="B14" s="1" t="s">
        <v>19</v>
      </c>
      <c r="C14" s="10">
        <v>215495</v>
      </c>
      <c r="D14" s="10"/>
      <c r="E14" s="10">
        <v>7430</v>
      </c>
      <c r="F14" s="10">
        <v>1925</v>
      </c>
      <c r="G14" s="10">
        <f t="shared" si="0"/>
        <v>224850</v>
      </c>
      <c r="H14" s="16">
        <f t="shared" si="1"/>
        <v>37.380000000000003</v>
      </c>
      <c r="I14" s="15">
        <f t="shared" si="2"/>
        <v>9.8000000000000004E-2</v>
      </c>
      <c r="J14" s="15">
        <f>ROUND(G14/221410-1,2)</f>
        <v>0.02</v>
      </c>
    </row>
    <row r="15" spans="1:10" x14ac:dyDescent="0.25">
      <c r="A15" s="1" t="s">
        <v>16</v>
      </c>
      <c r="B15" s="1" t="s">
        <v>20</v>
      </c>
      <c r="C15" s="10">
        <v>231370</v>
      </c>
      <c r="D15" s="10"/>
      <c r="E15" s="10"/>
      <c r="F15" s="10"/>
      <c r="G15" s="10">
        <f t="shared" si="0"/>
        <v>231370</v>
      </c>
      <c r="H15" s="16">
        <f t="shared" si="1"/>
        <v>38.47</v>
      </c>
      <c r="I15" s="15">
        <f t="shared" si="2"/>
        <v>0.10100000000000001</v>
      </c>
      <c r="J15" s="15">
        <f>ROUND(G15/238760-1,2)</f>
        <v>-0.03</v>
      </c>
    </row>
    <row r="16" spans="1:10" x14ac:dyDescent="0.25">
      <c r="A16" s="1" t="s">
        <v>16</v>
      </c>
      <c r="B16" s="1" t="s">
        <v>95</v>
      </c>
      <c r="C16" s="10"/>
      <c r="D16" s="10"/>
      <c r="E16" s="10">
        <v>358</v>
      </c>
      <c r="F16" s="10"/>
      <c r="G16" s="10">
        <f t="shared" si="0"/>
        <v>358</v>
      </c>
      <c r="H16" s="16">
        <f t="shared" si="1"/>
        <v>0.06</v>
      </c>
      <c r="I16" s="15">
        <f t="shared" si="2"/>
        <v>0</v>
      </c>
      <c r="J16" s="15">
        <f>ROUND(G16/211-1,2)</f>
        <v>0.7</v>
      </c>
    </row>
    <row r="17" spans="1:10" x14ac:dyDescent="0.25">
      <c r="A17" s="1" t="s">
        <v>16</v>
      </c>
      <c r="B17" s="1" t="s">
        <v>21</v>
      </c>
      <c r="C17" s="10"/>
      <c r="D17" s="10"/>
      <c r="E17" s="10">
        <v>304</v>
      </c>
      <c r="F17" s="10"/>
      <c r="G17" s="10">
        <f t="shared" si="0"/>
        <v>304</v>
      </c>
      <c r="H17" s="16">
        <f t="shared" si="1"/>
        <v>0.05</v>
      </c>
      <c r="I17" s="15">
        <f t="shared" si="2"/>
        <v>0</v>
      </c>
      <c r="J17" s="15">
        <f>ROUND(G17/323-1,2)</f>
        <v>-0.06</v>
      </c>
    </row>
    <row r="18" spans="1:10" x14ac:dyDescent="0.25">
      <c r="A18" s="1" t="s">
        <v>16</v>
      </c>
      <c r="B18" s="1" t="s">
        <v>22</v>
      </c>
      <c r="C18" s="10"/>
      <c r="D18" s="10"/>
      <c r="E18" s="10">
        <v>2580</v>
      </c>
      <c r="F18" s="10"/>
      <c r="G18" s="10">
        <f t="shared" si="0"/>
        <v>2580</v>
      </c>
      <c r="H18" s="16">
        <f t="shared" si="1"/>
        <v>0.43</v>
      </c>
      <c r="I18" s="15">
        <f t="shared" si="2"/>
        <v>1E-3</v>
      </c>
      <c r="J18" s="15">
        <f>ROUND(G18/5400-1,2)</f>
        <v>-0.52</v>
      </c>
    </row>
    <row r="19" spans="1:10" x14ac:dyDescent="0.25">
      <c r="A19" s="1" t="s">
        <v>16</v>
      </c>
      <c r="B19" s="1" t="s">
        <v>23</v>
      </c>
      <c r="C19" s="10"/>
      <c r="D19" s="10"/>
      <c r="E19" s="10">
        <v>58480</v>
      </c>
      <c r="F19" s="10"/>
      <c r="G19" s="10">
        <f t="shared" si="0"/>
        <v>58480</v>
      </c>
      <c r="H19" s="16">
        <f t="shared" si="1"/>
        <v>9.7200000000000006</v>
      </c>
      <c r="I19" s="15">
        <f t="shared" si="2"/>
        <v>2.5999999999999999E-2</v>
      </c>
      <c r="J19" s="15">
        <f>ROUND(G19/57700-1,2)</f>
        <v>0.01</v>
      </c>
    </row>
    <row r="20" spans="1:10" x14ac:dyDescent="0.25">
      <c r="A20" s="1" t="s">
        <v>16</v>
      </c>
      <c r="B20" s="1" t="s">
        <v>24</v>
      </c>
      <c r="C20" s="10">
        <v>350770</v>
      </c>
      <c r="D20" s="10"/>
      <c r="E20" s="10">
        <v>34800</v>
      </c>
      <c r="F20" s="10">
        <v>7260</v>
      </c>
      <c r="G20" s="10">
        <f t="shared" si="0"/>
        <v>392830</v>
      </c>
      <c r="H20" s="16">
        <f t="shared" si="1"/>
        <v>65.31</v>
      </c>
      <c r="I20" s="15">
        <f t="shared" si="2"/>
        <v>0.17199999999999999</v>
      </c>
      <c r="J20" s="15">
        <f>ROUND(G20/382710-1,2)</f>
        <v>0.03</v>
      </c>
    </row>
    <row r="21" spans="1:10" x14ac:dyDescent="0.25">
      <c r="A21" s="1" t="s">
        <v>16</v>
      </c>
      <c r="B21" s="1" t="s">
        <v>25</v>
      </c>
      <c r="C21" s="10"/>
      <c r="D21" s="10"/>
      <c r="E21" s="10">
        <v>9960</v>
      </c>
      <c r="F21" s="10"/>
      <c r="G21" s="10">
        <f t="shared" si="0"/>
        <v>9960</v>
      </c>
      <c r="H21" s="16">
        <f t="shared" si="1"/>
        <v>1.66</v>
      </c>
      <c r="I21" s="15">
        <f t="shared" si="2"/>
        <v>4.0000000000000001E-3</v>
      </c>
      <c r="J21" s="15">
        <f>ROUND(G21/9875-1,2)</f>
        <v>0.01</v>
      </c>
    </row>
    <row r="22" spans="1:10" x14ac:dyDescent="0.25">
      <c r="A22" s="1" t="s">
        <v>16</v>
      </c>
      <c r="B22" s="1" t="s">
        <v>26</v>
      </c>
      <c r="C22" s="10">
        <v>442610</v>
      </c>
      <c r="D22" s="10"/>
      <c r="E22" s="10"/>
      <c r="F22" s="10">
        <v>1510</v>
      </c>
      <c r="G22" s="10">
        <f t="shared" si="0"/>
        <v>444120</v>
      </c>
      <c r="H22" s="16">
        <f t="shared" si="1"/>
        <v>73.84</v>
      </c>
      <c r="I22" s="15">
        <f t="shared" si="2"/>
        <v>0.19400000000000001</v>
      </c>
      <c r="J22" s="15">
        <f>ROUND(G22/422960-1,2)</f>
        <v>0.05</v>
      </c>
    </row>
    <row r="23" spans="1:10" x14ac:dyDescent="0.25">
      <c r="A23" s="1" t="s">
        <v>16</v>
      </c>
      <c r="B23" s="1" t="s">
        <v>27</v>
      </c>
      <c r="C23" s="10"/>
      <c r="D23" s="10"/>
      <c r="E23" s="10">
        <v>2654</v>
      </c>
      <c r="F23" s="10"/>
      <c r="G23" s="10">
        <f t="shared" si="0"/>
        <v>2654</v>
      </c>
      <c r="H23" s="16">
        <f t="shared" si="1"/>
        <v>0.44</v>
      </c>
      <c r="I23" s="15">
        <f t="shared" si="2"/>
        <v>1E-3</v>
      </c>
      <c r="J23" s="15">
        <f>ROUND(G23/2866-1,2)</f>
        <v>-7.0000000000000007E-2</v>
      </c>
    </row>
    <row r="24" spans="1:10" x14ac:dyDescent="0.25">
      <c r="A24" s="1" t="s">
        <v>16</v>
      </c>
      <c r="B24" s="1" t="s">
        <v>28</v>
      </c>
      <c r="C24" s="10"/>
      <c r="D24" s="10"/>
      <c r="E24" s="10">
        <v>1960</v>
      </c>
      <c r="F24" s="10"/>
      <c r="G24" s="10">
        <f t="shared" si="0"/>
        <v>1960</v>
      </c>
      <c r="H24" s="16">
        <f t="shared" si="1"/>
        <v>0.33</v>
      </c>
      <c r="I24" s="15">
        <f t="shared" si="2"/>
        <v>1E-3</v>
      </c>
      <c r="J24" s="15">
        <f>ROUND(G24/1845-1,2)</f>
        <v>0.06</v>
      </c>
    </row>
    <row r="25" spans="1:10" x14ac:dyDescent="0.25">
      <c r="A25" s="1" t="s">
        <v>16</v>
      </c>
      <c r="B25" s="1" t="s">
        <v>42</v>
      </c>
      <c r="C25" s="10"/>
      <c r="D25" s="10"/>
      <c r="E25" s="10">
        <v>180</v>
      </c>
      <c r="F25" s="10"/>
      <c r="G25" s="10">
        <f t="shared" si="0"/>
        <v>180</v>
      </c>
      <c r="H25" s="16">
        <f t="shared" si="1"/>
        <v>0.03</v>
      </c>
      <c r="I25" s="15">
        <f t="shared" si="2"/>
        <v>0</v>
      </c>
      <c r="J25" s="15">
        <f>ROUND(G25/373-1,2)</f>
        <v>-0.52</v>
      </c>
    </row>
    <row r="26" spans="1:10" x14ac:dyDescent="0.25">
      <c r="A26" s="1" t="s">
        <v>16</v>
      </c>
      <c r="B26" s="1" t="s">
        <v>29</v>
      </c>
      <c r="C26" s="10"/>
      <c r="D26" s="10"/>
      <c r="E26" s="10">
        <v>3300</v>
      </c>
      <c r="F26" s="10"/>
      <c r="G26" s="10">
        <f t="shared" si="0"/>
        <v>3300</v>
      </c>
      <c r="H26" s="16">
        <f t="shared" si="1"/>
        <v>0.55000000000000004</v>
      </c>
      <c r="I26" s="15">
        <f t="shared" si="2"/>
        <v>1E-3</v>
      </c>
      <c r="J26" s="15">
        <f>ROUND(G26/7820-1,2)</f>
        <v>-0.57999999999999996</v>
      </c>
    </row>
    <row r="27" spans="1:10" x14ac:dyDescent="0.25">
      <c r="A27" s="1" t="s">
        <v>16</v>
      </c>
      <c r="B27" s="1" t="s">
        <v>30</v>
      </c>
      <c r="C27" s="10"/>
      <c r="D27" s="10"/>
      <c r="E27" s="10">
        <v>1560</v>
      </c>
      <c r="F27" s="10"/>
      <c r="G27" s="10">
        <f t="shared" si="0"/>
        <v>1560</v>
      </c>
      <c r="H27" s="16">
        <f t="shared" si="1"/>
        <v>0.26</v>
      </c>
      <c r="I27" s="15">
        <f t="shared" si="2"/>
        <v>1E-3</v>
      </c>
      <c r="J27" s="15">
        <f>ROUND(G27/2000-1,2)</f>
        <v>-0.22</v>
      </c>
    </row>
    <row r="28" spans="1:10" x14ac:dyDescent="0.25">
      <c r="A28" s="1" t="s">
        <v>16</v>
      </c>
      <c r="B28" s="1" t="s">
        <v>31</v>
      </c>
      <c r="C28" s="10"/>
      <c r="D28" s="10"/>
      <c r="E28" s="10">
        <v>490</v>
      </c>
      <c r="F28" s="10"/>
      <c r="G28" s="10">
        <f t="shared" si="0"/>
        <v>490</v>
      </c>
      <c r="H28" s="16">
        <f t="shared" si="1"/>
        <v>0.08</v>
      </c>
      <c r="I28" s="15">
        <f t="shared" si="2"/>
        <v>0</v>
      </c>
      <c r="J28" s="15">
        <f>ROUND(G28/800-1,2)</f>
        <v>-0.39</v>
      </c>
    </row>
    <row r="29" spans="1:10" x14ac:dyDescent="0.25">
      <c r="A29" s="1" t="s">
        <v>16</v>
      </c>
      <c r="B29" s="1" t="s">
        <v>32</v>
      </c>
      <c r="C29" s="10"/>
      <c r="D29" s="10"/>
      <c r="E29" s="10">
        <v>2405</v>
      </c>
      <c r="F29" s="10"/>
      <c r="G29" s="10">
        <f t="shared" si="0"/>
        <v>2405</v>
      </c>
      <c r="H29" s="16">
        <f t="shared" si="1"/>
        <v>0.4</v>
      </c>
      <c r="I29" s="15">
        <f t="shared" si="2"/>
        <v>1E-3</v>
      </c>
      <c r="J29" s="15">
        <f>ROUND(G29/3185-1,2)</f>
        <v>-0.24</v>
      </c>
    </row>
    <row r="30" spans="1:10" x14ac:dyDescent="0.25">
      <c r="A30" s="1" t="s">
        <v>16</v>
      </c>
      <c r="B30" s="1" t="s">
        <v>33</v>
      </c>
      <c r="C30" s="10"/>
      <c r="D30" s="10">
        <v>506</v>
      </c>
      <c r="E30" s="10">
        <v>92</v>
      </c>
      <c r="F30" s="10"/>
      <c r="G30" s="10">
        <f t="shared" si="0"/>
        <v>598</v>
      </c>
      <c r="H30" s="16">
        <f t="shared" si="1"/>
        <v>0.1</v>
      </c>
      <c r="I30" s="15">
        <f t="shared" si="2"/>
        <v>0</v>
      </c>
      <c r="J30" s="15">
        <f>ROUND(G30/494-1,2)</f>
        <v>0.21</v>
      </c>
    </row>
    <row r="31" spans="1:10" x14ac:dyDescent="0.25">
      <c r="A31" s="1" t="s">
        <v>16</v>
      </c>
      <c r="B31" s="1" t="s">
        <v>34</v>
      </c>
      <c r="C31" s="10"/>
      <c r="D31" s="10"/>
      <c r="E31" s="10">
        <v>740</v>
      </c>
      <c r="F31" s="10"/>
      <c r="G31" s="10">
        <f t="shared" si="0"/>
        <v>740</v>
      </c>
      <c r="H31" s="16">
        <f t="shared" si="1"/>
        <v>0.12</v>
      </c>
      <c r="I31" s="15">
        <f t="shared" si="2"/>
        <v>0</v>
      </c>
      <c r="J31" s="15">
        <f>ROUND(G31/2050-1,2)</f>
        <v>-0.64</v>
      </c>
    </row>
    <row r="32" spans="1:10" x14ac:dyDescent="0.25">
      <c r="A32" s="1" t="s">
        <v>16</v>
      </c>
      <c r="B32" s="1" t="s">
        <v>43</v>
      </c>
      <c r="C32" s="10"/>
      <c r="D32" s="10"/>
      <c r="E32" s="10">
        <v>7720</v>
      </c>
      <c r="F32" s="10"/>
      <c r="G32" s="10">
        <f t="shared" si="0"/>
        <v>7720</v>
      </c>
      <c r="H32" s="16">
        <f t="shared" si="1"/>
        <v>1.28</v>
      </c>
      <c r="I32" s="15">
        <f t="shared" si="2"/>
        <v>3.0000000000000001E-3</v>
      </c>
      <c r="J32" s="15">
        <f>ROUND(G32/17845-1,2)</f>
        <v>-0.56999999999999995</v>
      </c>
    </row>
    <row r="33" spans="1:10" x14ac:dyDescent="0.25">
      <c r="A33" s="1" t="s">
        <v>16</v>
      </c>
      <c r="B33" s="1" t="s">
        <v>37</v>
      </c>
      <c r="C33" s="10"/>
      <c r="D33" s="10"/>
      <c r="E33" s="10">
        <v>4210</v>
      </c>
      <c r="F33" s="10"/>
      <c r="G33" s="10">
        <f t="shared" si="0"/>
        <v>4210</v>
      </c>
      <c r="H33" s="16">
        <f t="shared" si="1"/>
        <v>0.7</v>
      </c>
      <c r="I33" s="15">
        <f t="shared" si="2"/>
        <v>2E-3</v>
      </c>
      <c r="J33" s="15">
        <f>ROUND(G33/6320-1,2)</f>
        <v>-0.33</v>
      </c>
    </row>
    <row r="34" spans="1:10" x14ac:dyDescent="0.25">
      <c r="A34" s="1" t="s">
        <v>16</v>
      </c>
      <c r="B34" s="1" t="s">
        <v>38</v>
      </c>
      <c r="C34" s="10"/>
      <c r="D34" s="10"/>
      <c r="E34" s="10">
        <v>162395</v>
      </c>
      <c r="F34" s="10"/>
      <c r="G34" s="10">
        <f t="shared" si="0"/>
        <v>162395</v>
      </c>
      <c r="H34" s="16">
        <f t="shared" si="1"/>
        <v>27</v>
      </c>
      <c r="I34" s="15">
        <f t="shared" si="2"/>
        <v>7.0999999999999994E-2</v>
      </c>
      <c r="J34" s="15">
        <f>ROUND(G34/161750-1,2)</f>
        <v>0</v>
      </c>
    </row>
    <row r="35" spans="1:10" x14ac:dyDescent="0.25">
      <c r="A35" s="1" t="s">
        <v>16</v>
      </c>
      <c r="B35" s="1" t="s">
        <v>39</v>
      </c>
      <c r="C35" s="10"/>
      <c r="D35" s="10"/>
      <c r="E35" s="10">
        <v>8170</v>
      </c>
      <c r="F35" s="10"/>
      <c r="G35" s="10">
        <f t="shared" si="0"/>
        <v>8170</v>
      </c>
      <c r="H35" s="16">
        <f t="shared" si="1"/>
        <v>1.36</v>
      </c>
      <c r="I35" s="15">
        <f t="shared" si="2"/>
        <v>4.0000000000000001E-3</v>
      </c>
      <c r="J35" s="15">
        <f>ROUND(G35/6420-1,2)</f>
        <v>0.27</v>
      </c>
    </row>
    <row r="36" spans="1:10" x14ac:dyDescent="0.25">
      <c r="A36" s="1" t="s">
        <v>16</v>
      </c>
      <c r="B36" s="1" t="s">
        <v>40</v>
      </c>
      <c r="C36" s="10"/>
      <c r="D36" s="10"/>
      <c r="E36" s="10">
        <v>32340</v>
      </c>
      <c r="F36" s="10"/>
      <c r="G36" s="10">
        <f t="shared" si="0"/>
        <v>32340</v>
      </c>
      <c r="H36" s="16">
        <f t="shared" si="1"/>
        <v>5.38</v>
      </c>
      <c r="I36" s="15">
        <f t="shared" si="2"/>
        <v>1.4E-2</v>
      </c>
      <c r="J36" s="15">
        <f>ROUND(G36/32980-1,2)</f>
        <v>-0.02</v>
      </c>
    </row>
    <row r="37" spans="1:10" x14ac:dyDescent="0.25">
      <c r="A37" s="1" t="s">
        <v>16</v>
      </c>
      <c r="B37" s="1" t="s">
        <v>41</v>
      </c>
      <c r="C37" s="10"/>
      <c r="D37" s="10"/>
      <c r="E37" s="10">
        <v>233790</v>
      </c>
      <c r="F37" s="10"/>
      <c r="G37" s="10">
        <f t="shared" si="0"/>
        <v>233790</v>
      </c>
      <c r="H37" s="16">
        <f t="shared" si="1"/>
        <v>38.869999999999997</v>
      </c>
      <c r="I37" s="15">
        <f t="shared" si="2"/>
        <v>0.10199999999999999</v>
      </c>
      <c r="J37" s="15">
        <f>ROUND(G37/207390-1,2)</f>
        <v>0.13</v>
      </c>
    </row>
    <row r="38" spans="1:10" x14ac:dyDescent="0.25">
      <c r="A38" s="1" t="s">
        <v>16</v>
      </c>
      <c r="B38" s="1" t="s">
        <v>98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>
        <f>ROUND(G38/380-1,2)</f>
        <v>-1</v>
      </c>
    </row>
    <row r="39" spans="1:10" x14ac:dyDescent="0.25">
      <c r="A39" s="1" t="s">
        <v>16</v>
      </c>
      <c r="B39" s="1" t="s">
        <v>35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>
        <f>ROUND(G39/569-1,2)</f>
        <v>-1</v>
      </c>
    </row>
    <row r="40" spans="1:10" x14ac:dyDescent="0.25">
      <c r="A40" s="1" t="s">
        <v>16</v>
      </c>
      <c r="B40" s="1" t="s">
        <v>36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>
        <f>ROUND(G40/4972-1,2)</f>
        <v>-1</v>
      </c>
    </row>
    <row r="41" spans="1:10" x14ac:dyDescent="0.25">
      <c r="A41" s="1" t="s">
        <v>16</v>
      </c>
      <c r="B41" s="1" t="s">
        <v>120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/>
    </row>
    <row r="42" spans="1:10" x14ac:dyDescent="0.25">
      <c r="A42" s="1" t="s">
        <v>44</v>
      </c>
      <c r="B42" s="1" t="s">
        <v>45</v>
      </c>
      <c r="C42" s="10">
        <v>317155</v>
      </c>
      <c r="D42" s="10"/>
      <c r="E42" s="10"/>
      <c r="F42" s="10"/>
      <c r="G42" s="10">
        <f t="shared" si="0"/>
        <v>317155</v>
      </c>
      <c r="H42" s="16">
        <f t="shared" si="1"/>
        <v>52.73</v>
      </c>
      <c r="I42" s="15">
        <f t="shared" si="2"/>
        <v>0.13900000000000001</v>
      </c>
      <c r="J42" s="15">
        <f>ROUND(G42/346665-1,2)</f>
        <v>-0.09</v>
      </c>
    </row>
    <row r="43" spans="1:10" x14ac:dyDescent="0.25">
      <c r="A43" s="1" t="s">
        <v>44</v>
      </c>
      <c r="B43" s="1" t="s">
        <v>47</v>
      </c>
      <c r="C43" s="10"/>
      <c r="D43" s="10"/>
      <c r="E43" s="10"/>
      <c r="F43" s="10">
        <v>39500</v>
      </c>
      <c r="G43" s="10">
        <f t="shared" si="0"/>
        <v>39500</v>
      </c>
      <c r="H43" s="16">
        <f t="shared" si="1"/>
        <v>6.57</v>
      </c>
      <c r="I43" s="15">
        <f t="shared" si="2"/>
        <v>1.7000000000000001E-2</v>
      </c>
      <c r="J43" s="15">
        <f>ROUND(G43/53300-1,2)</f>
        <v>-0.26</v>
      </c>
    </row>
    <row r="44" spans="1:10" x14ac:dyDescent="0.25">
      <c r="A44" s="1" t="s">
        <v>44</v>
      </c>
      <c r="B44" s="1" t="s">
        <v>46</v>
      </c>
      <c r="C44" s="10"/>
      <c r="D44" s="10"/>
      <c r="E44" s="10">
        <v>104625</v>
      </c>
      <c r="F44" s="10"/>
      <c r="G44" s="10">
        <f t="shared" si="0"/>
        <v>104625</v>
      </c>
      <c r="H44" s="16">
        <f t="shared" si="1"/>
        <v>17.39</v>
      </c>
      <c r="I44" s="15">
        <f t="shared" si="2"/>
        <v>4.5999999999999999E-2</v>
      </c>
      <c r="J44" s="15">
        <f>ROUND(G44/93090-1,2)</f>
        <v>0.12</v>
      </c>
    </row>
    <row r="45" spans="1:10" x14ac:dyDescent="0.25">
      <c r="A45" s="30" t="s">
        <v>12</v>
      </c>
      <c r="B45" s="30"/>
      <c r="C45" s="11">
        <f t="shared" ref="C45:H45" si="3">SUM(C8:C44)</f>
        <v>1557400</v>
      </c>
      <c r="D45" s="11">
        <f t="shared" si="3"/>
        <v>506</v>
      </c>
      <c r="E45" s="11">
        <f t="shared" si="3"/>
        <v>680583</v>
      </c>
      <c r="F45" s="11">
        <f t="shared" si="3"/>
        <v>50201</v>
      </c>
      <c r="G45" s="11">
        <f t="shared" si="3"/>
        <v>2288690</v>
      </c>
      <c r="H45" s="14">
        <f t="shared" si="3"/>
        <v>380.52000000000004</v>
      </c>
      <c r="I45" s="17"/>
      <c r="J45" s="17"/>
    </row>
    <row r="46" spans="1:10" x14ac:dyDescent="0.25">
      <c r="A46" s="30" t="s">
        <v>14</v>
      </c>
      <c r="B46" s="30"/>
      <c r="C46" s="12">
        <f>ROUND(C45/G45,2)</f>
        <v>0.68</v>
      </c>
      <c r="D46" s="12">
        <f>ROUND(D45/G45,2)</f>
        <v>0</v>
      </c>
      <c r="E46" s="12">
        <f>ROUND(E45/G45,2)</f>
        <v>0.3</v>
      </c>
      <c r="F46" s="12">
        <f>ROUND(F45/G45,2)</f>
        <v>0.02</v>
      </c>
      <c r="G46" s="13"/>
      <c r="H46" s="13"/>
      <c r="I46" s="17"/>
      <c r="J46" s="17"/>
    </row>
    <row r="47" spans="1:10" x14ac:dyDescent="0.25">
      <c r="A47" s="2" t="s">
        <v>52</v>
      </c>
      <c r="B47" s="2"/>
      <c r="C47" s="13"/>
      <c r="D47" s="13"/>
      <c r="E47" s="13"/>
      <c r="F47" s="13"/>
      <c r="G47" s="13"/>
      <c r="H47" s="13"/>
      <c r="I47" s="17"/>
      <c r="J47" s="17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A51" s="30" t="s">
        <v>53</v>
      </c>
      <c r="B51" s="30"/>
      <c r="C51" s="11" t="s">
        <v>8</v>
      </c>
      <c r="D51" s="11" t="s">
        <v>9</v>
      </c>
      <c r="E51" s="11" t="s">
        <v>10</v>
      </c>
      <c r="F51" s="11" t="s">
        <v>11</v>
      </c>
      <c r="G51" s="11" t="s">
        <v>12</v>
      </c>
      <c r="H51" s="14" t="s">
        <v>13</v>
      </c>
      <c r="I51" s="17"/>
      <c r="J51" s="17"/>
    </row>
    <row r="52" spans="1:10" x14ac:dyDescent="0.25">
      <c r="A52" s="29" t="s">
        <v>54</v>
      </c>
      <c r="B52" s="29"/>
      <c r="C52" s="10">
        <v>1240245</v>
      </c>
      <c r="D52" s="10">
        <v>506</v>
      </c>
      <c r="E52" s="10">
        <v>575958</v>
      </c>
      <c r="F52" s="10">
        <v>10695</v>
      </c>
      <c r="G52" s="10">
        <f>SUM(C52:F52)</f>
        <v>1827404</v>
      </c>
      <c r="H52" s="16">
        <f>ROUND(G52/6015,2)</f>
        <v>303.81</v>
      </c>
      <c r="I52" s="9"/>
      <c r="J52" s="9"/>
    </row>
    <row r="53" spans="1:10" x14ac:dyDescent="0.25">
      <c r="A53" s="29" t="s">
        <v>55</v>
      </c>
      <c r="B53" s="29"/>
      <c r="C53" s="10">
        <v>317155</v>
      </c>
      <c r="D53" s="10">
        <v>0</v>
      </c>
      <c r="E53" s="10">
        <v>104625</v>
      </c>
      <c r="F53" s="10">
        <v>39500</v>
      </c>
      <c r="G53" s="10">
        <f>SUM(C53:F53)</f>
        <v>461280</v>
      </c>
      <c r="H53" s="16">
        <f>ROUND(G53/6015,2)</f>
        <v>76.69</v>
      </c>
      <c r="I53" s="9"/>
      <c r="J53" s="9"/>
    </row>
    <row r="54" spans="1:10" x14ac:dyDescent="0.25">
      <c r="A54" s="29" t="s">
        <v>56</v>
      </c>
      <c r="B54" s="29"/>
      <c r="C54" s="10">
        <v>0</v>
      </c>
      <c r="D54" s="10">
        <v>0</v>
      </c>
      <c r="E54" s="10">
        <v>0</v>
      </c>
      <c r="F54" s="10">
        <v>6</v>
      </c>
      <c r="G54" s="10">
        <f>SUM(C54:F54)</f>
        <v>6</v>
      </c>
      <c r="H54" s="16">
        <f>ROUND(G54/6015,2)</f>
        <v>0</v>
      </c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21"/>
      <c r="H57" s="8"/>
      <c r="I57" s="9"/>
      <c r="J57" s="9"/>
    </row>
    <row r="58" spans="1:10" x14ac:dyDescent="0.25">
      <c r="C58" s="8"/>
      <c r="D58" s="8"/>
      <c r="E58" s="8"/>
      <c r="F58" s="8"/>
      <c r="G58" s="21"/>
      <c r="H58" s="8"/>
      <c r="I58" s="9"/>
      <c r="J58" s="9"/>
    </row>
    <row r="59" spans="1:10" x14ac:dyDescent="0.25">
      <c r="A59" s="30" t="s">
        <v>57</v>
      </c>
      <c r="B59" s="30"/>
      <c r="C59" s="3" t="s">
        <v>2</v>
      </c>
      <c r="D59" s="3">
        <v>2023</v>
      </c>
      <c r="E59" s="3" t="s">
        <v>59</v>
      </c>
      <c r="F59" s="2"/>
      <c r="G59" s="3" t="s">
        <v>60</v>
      </c>
      <c r="H59" s="3" t="s">
        <v>2</v>
      </c>
      <c r="I59" s="3" t="s">
        <v>61</v>
      </c>
      <c r="J59" s="3" t="s">
        <v>59</v>
      </c>
    </row>
    <row r="60" spans="1:10" x14ac:dyDescent="0.25">
      <c r="A60" s="29" t="s">
        <v>58</v>
      </c>
      <c r="B60" s="29"/>
      <c r="C60" s="7">
        <f>ROUND(0.8516, 4)</f>
        <v>0.85160000000000002</v>
      </c>
      <c r="D60" s="7">
        <f>ROUND(0.8366, 4)</f>
        <v>0.83660000000000001</v>
      </c>
      <c r="E60" s="7">
        <f>ROUND(0.777, 4)</f>
        <v>0.77700000000000002</v>
      </c>
      <c r="G60" s="3" t="s">
        <v>62</v>
      </c>
      <c r="H60" s="36" t="s">
        <v>63</v>
      </c>
      <c r="I60" s="36" t="s">
        <v>64</v>
      </c>
      <c r="J60" s="36" t="s">
        <v>65</v>
      </c>
    </row>
    <row r="61" spans="1:10" x14ac:dyDescent="0.25">
      <c r="A61" s="29" t="s">
        <v>66</v>
      </c>
      <c r="B61" s="29"/>
      <c r="C61" s="7">
        <f>ROUND(0.8387, 4)</f>
        <v>0.8387</v>
      </c>
      <c r="D61" s="7">
        <f>ROUND(0.8238, 4)</f>
        <v>0.82379999999999998</v>
      </c>
      <c r="E61" s="7">
        <f>ROUND(0.7608, 4)</f>
        <v>0.76080000000000003</v>
      </c>
      <c r="G61" s="3" t="s">
        <v>67</v>
      </c>
      <c r="H61" s="29"/>
      <c r="I61" s="29"/>
      <c r="J61" s="29"/>
    </row>
    <row r="65" spans="1:10" x14ac:dyDescent="0.25">
      <c r="A65" s="30" t="s">
        <v>68</v>
      </c>
      <c r="B65" s="30"/>
      <c r="C65" s="3" t="s">
        <v>2</v>
      </c>
      <c r="D65" s="3" t="s">
        <v>281</v>
      </c>
      <c r="E65" s="3" t="s">
        <v>70</v>
      </c>
      <c r="F65" s="3" t="s">
        <v>71</v>
      </c>
      <c r="G65" s="3" t="s">
        <v>72</v>
      </c>
      <c r="H65" s="2"/>
      <c r="I65" s="2"/>
      <c r="J65" s="2"/>
    </row>
    <row r="66" spans="1:10" x14ac:dyDescent="0.25">
      <c r="A66" s="29" t="s">
        <v>73</v>
      </c>
      <c r="B66" s="29"/>
      <c r="C66" s="1">
        <v>52.73</v>
      </c>
      <c r="D66" s="1">
        <v>76.790000000000006</v>
      </c>
      <c r="E66" s="1">
        <v>93.87</v>
      </c>
      <c r="F66" s="1">
        <v>57.16</v>
      </c>
      <c r="G66" s="1">
        <f>12/12*C66</f>
        <v>52.73</v>
      </c>
    </row>
    <row r="67" spans="1:10" x14ac:dyDescent="0.25">
      <c r="A67" s="29" t="s">
        <v>74</v>
      </c>
      <c r="B67" s="29"/>
      <c r="C67" s="1">
        <v>73.84</v>
      </c>
      <c r="D67" s="1">
        <v>64.3</v>
      </c>
      <c r="E67" s="1">
        <v>62.84</v>
      </c>
      <c r="F67" s="1">
        <v>65.39</v>
      </c>
      <c r="G67" s="1">
        <f>12/12*C67</f>
        <v>73.84</v>
      </c>
    </row>
    <row r="68" spans="1:10" x14ac:dyDescent="0.25">
      <c r="A68" s="29" t="s">
        <v>75</v>
      </c>
      <c r="B68" s="29"/>
      <c r="C68" s="1">
        <v>307.64</v>
      </c>
      <c r="D68" s="1">
        <v>301.14</v>
      </c>
      <c r="E68" s="1">
        <v>295.08999999999997</v>
      </c>
      <c r="F68" s="1">
        <v>289.06</v>
      </c>
      <c r="G68" s="1">
        <f>12/12*C68</f>
        <v>307.64</v>
      </c>
    </row>
    <row r="69" spans="1:10" x14ac:dyDescent="0.25">
      <c r="A69" s="29" t="s">
        <v>76</v>
      </c>
      <c r="B69" s="29"/>
      <c r="C69" s="1">
        <v>76.69</v>
      </c>
      <c r="D69" s="1">
        <v>99.17</v>
      </c>
      <c r="E69" s="1">
        <v>118.05</v>
      </c>
      <c r="F69" s="1">
        <v>81.41</v>
      </c>
      <c r="G69" s="1">
        <f>12/12*C69</f>
        <v>76.69</v>
      </c>
    </row>
    <row r="72" spans="1:10" x14ac:dyDescent="0.25">
      <c r="A72" s="28" t="s">
        <v>60</v>
      </c>
      <c r="B72" s="35"/>
    </row>
    <row r="73" spans="1:10" x14ac:dyDescent="0.25">
      <c r="A73" s="3" t="s">
        <v>77</v>
      </c>
      <c r="B73" s="1" t="s">
        <v>282</v>
      </c>
    </row>
    <row r="74" spans="1:10" x14ac:dyDescent="0.25">
      <c r="A74" s="3" t="s">
        <v>70</v>
      </c>
      <c r="B74" s="1" t="s">
        <v>79</v>
      </c>
    </row>
    <row r="75" spans="1:10" x14ac:dyDescent="0.25">
      <c r="A75" s="3" t="s">
        <v>71</v>
      </c>
      <c r="B75" s="1" t="s">
        <v>80</v>
      </c>
    </row>
    <row r="76" spans="1:10" x14ac:dyDescent="0.25">
      <c r="A76" s="3" t="s">
        <v>72</v>
      </c>
      <c r="B76" s="1" t="s">
        <v>81</v>
      </c>
    </row>
  </sheetData>
  <mergeCells count="19">
    <mergeCell ref="A67:B67"/>
    <mergeCell ref="A68:B68"/>
    <mergeCell ref="A69:B69"/>
    <mergeCell ref="A72:B72"/>
    <mergeCell ref="I60:I61"/>
    <mergeCell ref="J60:J61"/>
    <mergeCell ref="A61:B61"/>
    <mergeCell ref="A65:B65"/>
    <mergeCell ref="A66:B66"/>
    <mergeCell ref="A53:B53"/>
    <mergeCell ref="A54:B54"/>
    <mergeCell ref="A59:B59"/>
    <mergeCell ref="A60:B60"/>
    <mergeCell ref="H60:H61"/>
    <mergeCell ref="C7:G7"/>
    <mergeCell ref="A45:B45"/>
    <mergeCell ref="A46:B46"/>
    <mergeCell ref="A51:B51"/>
    <mergeCell ref="A52:B5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2:J70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2.8554687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283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267</v>
      </c>
    </row>
    <row r="7" spans="1:10" x14ac:dyDescent="0.25">
      <c r="C7" s="28" t="s">
        <v>5</v>
      </c>
      <c r="D7" s="29"/>
      <c r="E7" s="29"/>
      <c r="F7" s="29"/>
      <c r="G7" s="29"/>
    </row>
    <row r="8" spans="1:10" x14ac:dyDescent="0.25">
      <c r="A8" s="25" t="s">
        <v>6</v>
      </c>
      <c r="B8" s="25" t="s">
        <v>7</v>
      </c>
      <c r="C8" s="27" t="s">
        <v>8</v>
      </c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</row>
    <row r="9" spans="1:10" x14ac:dyDescent="0.25">
      <c r="A9" s="1" t="s">
        <v>16</v>
      </c>
      <c r="B9" s="1" t="s">
        <v>19</v>
      </c>
      <c r="C9" s="10">
        <v>9860</v>
      </c>
      <c r="D9" s="10"/>
      <c r="E9" s="10"/>
      <c r="F9" s="10"/>
      <c r="G9" s="10">
        <f t="shared" ref="G9:G26" si="0">SUM(C9:F9)</f>
        <v>9860</v>
      </c>
      <c r="H9" s="16">
        <f t="shared" ref="H9:H26" si="1">ROUND(G9/267,2)</f>
        <v>36.93</v>
      </c>
      <c r="I9" s="15">
        <f t="shared" ref="I9:I26" si="2">ROUND(G9/$G$27,3)</f>
        <v>7.2999999999999995E-2</v>
      </c>
      <c r="J9" s="15">
        <f>ROUND(G9/10710-1,2)</f>
        <v>-0.08</v>
      </c>
    </row>
    <row r="10" spans="1:10" x14ac:dyDescent="0.25">
      <c r="A10" s="1" t="s">
        <v>16</v>
      </c>
      <c r="B10" s="1" t="s">
        <v>20</v>
      </c>
      <c r="C10" s="10">
        <v>14040</v>
      </c>
      <c r="D10" s="10"/>
      <c r="E10" s="10"/>
      <c r="F10" s="10"/>
      <c r="G10" s="10">
        <f t="shared" si="0"/>
        <v>14040</v>
      </c>
      <c r="H10" s="16">
        <f t="shared" si="1"/>
        <v>52.58</v>
      </c>
      <c r="I10" s="15">
        <f t="shared" si="2"/>
        <v>0.10299999999999999</v>
      </c>
      <c r="J10" s="15">
        <f>ROUND(G10/17835-1,2)</f>
        <v>-0.21</v>
      </c>
    </row>
    <row r="11" spans="1:10" x14ac:dyDescent="0.25">
      <c r="A11" s="1" t="s">
        <v>16</v>
      </c>
      <c r="B11" s="1" t="s">
        <v>24</v>
      </c>
      <c r="C11" s="10">
        <v>15660</v>
      </c>
      <c r="D11" s="10"/>
      <c r="E11" s="10"/>
      <c r="F11" s="10"/>
      <c r="G11" s="10">
        <f t="shared" si="0"/>
        <v>15660</v>
      </c>
      <c r="H11" s="16">
        <f t="shared" si="1"/>
        <v>58.65</v>
      </c>
      <c r="I11" s="15">
        <f t="shared" si="2"/>
        <v>0.115</v>
      </c>
      <c r="J11" s="15">
        <f>ROUND(G11/21610-1,2)</f>
        <v>-0.28000000000000003</v>
      </c>
    </row>
    <row r="12" spans="1:10" x14ac:dyDescent="0.25">
      <c r="A12" s="1" t="s">
        <v>16</v>
      </c>
      <c r="B12" s="1" t="s">
        <v>26</v>
      </c>
      <c r="C12" s="10">
        <v>28950</v>
      </c>
      <c r="D12" s="10"/>
      <c r="E12" s="10"/>
      <c r="F12" s="10"/>
      <c r="G12" s="10">
        <f t="shared" si="0"/>
        <v>28950</v>
      </c>
      <c r="H12" s="16">
        <f t="shared" si="1"/>
        <v>108.43</v>
      </c>
      <c r="I12" s="15">
        <f t="shared" si="2"/>
        <v>0.21299999999999999</v>
      </c>
      <c r="J12" s="15">
        <f>ROUND(G12/27180-1,2)</f>
        <v>7.0000000000000007E-2</v>
      </c>
    </row>
    <row r="13" spans="1:10" x14ac:dyDescent="0.25">
      <c r="A13" s="1" t="s">
        <v>16</v>
      </c>
      <c r="B13" s="1" t="s">
        <v>30</v>
      </c>
      <c r="C13" s="10"/>
      <c r="D13" s="10"/>
      <c r="E13" s="10">
        <v>160</v>
      </c>
      <c r="F13" s="10"/>
      <c r="G13" s="10">
        <f t="shared" si="0"/>
        <v>160</v>
      </c>
      <c r="H13" s="16">
        <f t="shared" si="1"/>
        <v>0.6</v>
      </c>
      <c r="I13" s="15">
        <f t="shared" si="2"/>
        <v>1E-3</v>
      </c>
      <c r="J13" s="15">
        <f>ROUND(G13/180-1,2)</f>
        <v>-0.11</v>
      </c>
    </row>
    <row r="14" spans="1:10" x14ac:dyDescent="0.25">
      <c r="A14" s="1" t="s">
        <v>16</v>
      </c>
      <c r="B14" s="1" t="s">
        <v>33</v>
      </c>
      <c r="C14" s="10"/>
      <c r="D14" s="10">
        <v>115</v>
      </c>
      <c r="E14" s="10">
        <v>17</v>
      </c>
      <c r="F14" s="10"/>
      <c r="G14" s="10">
        <f t="shared" si="0"/>
        <v>132</v>
      </c>
      <c r="H14" s="16">
        <f t="shared" si="1"/>
        <v>0.49</v>
      </c>
      <c r="I14" s="15">
        <f t="shared" si="2"/>
        <v>1E-3</v>
      </c>
      <c r="J14" s="15">
        <f>ROUND(G14/88-1,2)</f>
        <v>0.5</v>
      </c>
    </row>
    <row r="15" spans="1:10" x14ac:dyDescent="0.25">
      <c r="A15" s="1" t="s">
        <v>16</v>
      </c>
      <c r="B15" s="1" t="s">
        <v>38</v>
      </c>
      <c r="C15" s="10"/>
      <c r="D15" s="10"/>
      <c r="E15" s="10">
        <v>7940</v>
      </c>
      <c r="F15" s="10"/>
      <c r="G15" s="10">
        <f t="shared" si="0"/>
        <v>7940</v>
      </c>
      <c r="H15" s="16">
        <f t="shared" si="1"/>
        <v>29.74</v>
      </c>
      <c r="I15" s="15">
        <f t="shared" si="2"/>
        <v>5.8000000000000003E-2</v>
      </c>
      <c r="J15" s="15">
        <f>ROUND(G15/5705-1,2)</f>
        <v>0.39</v>
      </c>
    </row>
    <row r="16" spans="1:10" x14ac:dyDescent="0.25">
      <c r="A16" s="1" t="s">
        <v>16</v>
      </c>
      <c r="B16" s="1" t="s">
        <v>40</v>
      </c>
      <c r="C16" s="10"/>
      <c r="D16" s="10"/>
      <c r="E16" s="10">
        <v>1220</v>
      </c>
      <c r="F16" s="10"/>
      <c r="G16" s="10">
        <f t="shared" si="0"/>
        <v>1220</v>
      </c>
      <c r="H16" s="16">
        <f t="shared" si="1"/>
        <v>4.57</v>
      </c>
      <c r="I16" s="15">
        <f t="shared" si="2"/>
        <v>8.9999999999999993E-3</v>
      </c>
      <c r="J16" s="15">
        <f>ROUND(G16/1720-1,2)</f>
        <v>-0.28999999999999998</v>
      </c>
    </row>
    <row r="17" spans="1:10" x14ac:dyDescent="0.25">
      <c r="A17" s="1" t="s">
        <v>16</v>
      </c>
      <c r="B17" s="1" t="s">
        <v>22</v>
      </c>
      <c r="C17" s="10"/>
      <c r="D17" s="10"/>
      <c r="E17" s="10"/>
      <c r="F17" s="10"/>
      <c r="G17" s="10">
        <f t="shared" si="0"/>
        <v>0</v>
      </c>
      <c r="H17" s="16">
        <f t="shared" si="1"/>
        <v>0</v>
      </c>
      <c r="I17" s="15">
        <f t="shared" si="2"/>
        <v>0</v>
      </c>
      <c r="J17" s="15"/>
    </row>
    <row r="18" spans="1:10" x14ac:dyDescent="0.25">
      <c r="A18" s="1" t="s">
        <v>16</v>
      </c>
      <c r="B18" s="1" t="s">
        <v>23</v>
      </c>
      <c r="C18" s="10"/>
      <c r="D18" s="10"/>
      <c r="E18" s="10"/>
      <c r="F18" s="10"/>
      <c r="G18" s="10">
        <f t="shared" si="0"/>
        <v>0</v>
      </c>
      <c r="H18" s="16">
        <f t="shared" si="1"/>
        <v>0</v>
      </c>
      <c r="I18" s="15">
        <f t="shared" si="2"/>
        <v>0</v>
      </c>
      <c r="J18" s="15"/>
    </row>
    <row r="19" spans="1:10" x14ac:dyDescent="0.25">
      <c r="A19" s="1" t="s">
        <v>16</v>
      </c>
      <c r="B19" s="1" t="s">
        <v>37</v>
      </c>
      <c r="C19" s="10"/>
      <c r="D19" s="10"/>
      <c r="E19" s="10"/>
      <c r="F19" s="10"/>
      <c r="G19" s="10">
        <f t="shared" si="0"/>
        <v>0</v>
      </c>
      <c r="H19" s="16">
        <f t="shared" si="1"/>
        <v>0</v>
      </c>
      <c r="I19" s="15">
        <f t="shared" si="2"/>
        <v>0</v>
      </c>
      <c r="J19" s="15">
        <f>ROUND(G19/320-1,2)</f>
        <v>-1</v>
      </c>
    </row>
    <row r="20" spans="1:10" x14ac:dyDescent="0.25">
      <c r="A20" s="1" t="s">
        <v>16</v>
      </c>
      <c r="B20" s="1" t="s">
        <v>25</v>
      </c>
      <c r="C20" s="10"/>
      <c r="D20" s="10"/>
      <c r="E20" s="10"/>
      <c r="F20" s="10"/>
      <c r="G20" s="10">
        <f t="shared" si="0"/>
        <v>0</v>
      </c>
      <c r="H20" s="16">
        <f t="shared" si="1"/>
        <v>0</v>
      </c>
      <c r="I20" s="15">
        <f t="shared" si="2"/>
        <v>0</v>
      </c>
      <c r="J20" s="15"/>
    </row>
    <row r="21" spans="1:10" x14ac:dyDescent="0.25">
      <c r="A21" s="1" t="s">
        <v>16</v>
      </c>
      <c r="B21" s="1" t="s">
        <v>36</v>
      </c>
      <c r="C21" s="10"/>
      <c r="D21" s="10"/>
      <c r="E21" s="10"/>
      <c r="F21" s="10"/>
      <c r="G21" s="10">
        <f t="shared" si="0"/>
        <v>0</v>
      </c>
      <c r="H21" s="16">
        <f t="shared" si="1"/>
        <v>0</v>
      </c>
      <c r="I21" s="15">
        <f t="shared" si="2"/>
        <v>0</v>
      </c>
      <c r="J21" s="15">
        <f>ROUND(G21/359-1,2)</f>
        <v>-1</v>
      </c>
    </row>
    <row r="22" spans="1:10" x14ac:dyDescent="0.25">
      <c r="A22" s="1" t="s">
        <v>16</v>
      </c>
      <c r="B22" s="1" t="s">
        <v>43</v>
      </c>
      <c r="C22" s="10"/>
      <c r="D22" s="10"/>
      <c r="E22" s="10"/>
      <c r="F22" s="10"/>
      <c r="G22" s="10">
        <f t="shared" si="0"/>
        <v>0</v>
      </c>
      <c r="H22" s="16">
        <f t="shared" si="1"/>
        <v>0</v>
      </c>
      <c r="I22" s="15">
        <f t="shared" si="2"/>
        <v>0</v>
      </c>
      <c r="J22" s="15"/>
    </row>
    <row r="23" spans="1:10" x14ac:dyDescent="0.25">
      <c r="A23" s="1" t="s">
        <v>16</v>
      </c>
      <c r="B23" s="1" t="s">
        <v>29</v>
      </c>
      <c r="C23" s="10"/>
      <c r="D23" s="10"/>
      <c r="E23" s="10"/>
      <c r="F23" s="10"/>
      <c r="G23" s="10">
        <f t="shared" si="0"/>
        <v>0</v>
      </c>
      <c r="H23" s="16">
        <f t="shared" si="1"/>
        <v>0</v>
      </c>
      <c r="I23" s="15">
        <f t="shared" si="2"/>
        <v>0</v>
      </c>
      <c r="J23" s="15">
        <f>ROUND(G23/420-1,2)</f>
        <v>-1</v>
      </c>
    </row>
    <row r="24" spans="1:10" x14ac:dyDescent="0.25">
      <c r="A24" s="1" t="s">
        <v>16</v>
      </c>
      <c r="B24" s="1" t="s">
        <v>35</v>
      </c>
      <c r="C24" s="10"/>
      <c r="D24" s="10"/>
      <c r="E24" s="10"/>
      <c r="F24" s="10"/>
      <c r="G24" s="10">
        <f t="shared" si="0"/>
        <v>0</v>
      </c>
      <c r="H24" s="16">
        <f t="shared" si="1"/>
        <v>0</v>
      </c>
      <c r="I24" s="15">
        <f t="shared" si="2"/>
        <v>0</v>
      </c>
      <c r="J24" s="15"/>
    </row>
    <row r="25" spans="1:10" x14ac:dyDescent="0.25">
      <c r="A25" s="1" t="s">
        <v>44</v>
      </c>
      <c r="B25" s="1" t="s">
        <v>45</v>
      </c>
      <c r="C25" s="10">
        <v>44735</v>
      </c>
      <c r="D25" s="10"/>
      <c r="E25" s="10"/>
      <c r="F25" s="10"/>
      <c r="G25" s="10">
        <f t="shared" si="0"/>
        <v>44735</v>
      </c>
      <c r="H25" s="16">
        <f t="shared" si="1"/>
        <v>167.55</v>
      </c>
      <c r="I25" s="15">
        <f t="shared" si="2"/>
        <v>0.32900000000000001</v>
      </c>
      <c r="J25" s="15">
        <f>ROUND(G25/41665-1,2)</f>
        <v>7.0000000000000007E-2</v>
      </c>
    </row>
    <row r="26" spans="1:10" x14ac:dyDescent="0.25">
      <c r="A26" s="1" t="s">
        <v>44</v>
      </c>
      <c r="B26" s="1" t="s">
        <v>46</v>
      </c>
      <c r="C26" s="10"/>
      <c r="D26" s="10"/>
      <c r="E26" s="10">
        <v>13180</v>
      </c>
      <c r="F26" s="10"/>
      <c r="G26" s="10">
        <f t="shared" si="0"/>
        <v>13180</v>
      </c>
      <c r="H26" s="16">
        <f t="shared" si="1"/>
        <v>49.36</v>
      </c>
      <c r="I26" s="15">
        <f t="shared" si="2"/>
        <v>9.7000000000000003E-2</v>
      </c>
      <c r="J26" s="15">
        <f>ROUND(G26/12740-1,2)</f>
        <v>0.03</v>
      </c>
    </row>
    <row r="27" spans="1:10" x14ac:dyDescent="0.25">
      <c r="A27" s="30" t="s">
        <v>12</v>
      </c>
      <c r="B27" s="30"/>
      <c r="C27" s="11">
        <f t="shared" ref="C27:H27" si="3">SUM(C8:C26)</f>
        <v>113245</v>
      </c>
      <c r="D27" s="11">
        <f t="shared" si="3"/>
        <v>115</v>
      </c>
      <c r="E27" s="11">
        <f t="shared" si="3"/>
        <v>22517</v>
      </c>
      <c r="F27" s="11">
        <f t="shared" si="3"/>
        <v>0</v>
      </c>
      <c r="G27" s="11">
        <f t="shared" si="3"/>
        <v>135877</v>
      </c>
      <c r="H27" s="14">
        <f t="shared" si="3"/>
        <v>508.90000000000009</v>
      </c>
      <c r="I27" s="17"/>
      <c r="J27" s="17"/>
    </row>
    <row r="28" spans="1:10" x14ac:dyDescent="0.25">
      <c r="A28" s="30" t="s">
        <v>14</v>
      </c>
      <c r="B28" s="30"/>
      <c r="C28" s="12">
        <f>ROUND(C27/G27,2)</f>
        <v>0.83</v>
      </c>
      <c r="D28" s="12">
        <f>ROUND(D27/G27,2)</f>
        <v>0</v>
      </c>
      <c r="E28" s="12">
        <f>ROUND(E27/G27,2)</f>
        <v>0.17</v>
      </c>
      <c r="F28" s="12">
        <f>ROUND(F27/G27,2)</f>
        <v>0</v>
      </c>
      <c r="G28" s="13"/>
      <c r="H28" s="13"/>
      <c r="I28" s="17"/>
      <c r="J28" s="17"/>
    </row>
    <row r="29" spans="1:10" x14ac:dyDescent="0.25">
      <c r="A29" s="2" t="s">
        <v>52</v>
      </c>
      <c r="B29" s="2"/>
      <c r="C29" s="13"/>
      <c r="D29" s="13"/>
      <c r="E29" s="13"/>
      <c r="F29" s="13"/>
      <c r="G29" s="13"/>
      <c r="H29" s="13"/>
      <c r="I29" s="17"/>
      <c r="J29" s="17"/>
    </row>
    <row r="30" spans="1:10" x14ac:dyDescent="0.25">
      <c r="C30" s="8"/>
      <c r="D30" s="8"/>
      <c r="E30" s="8"/>
      <c r="F30" s="8"/>
      <c r="G30" s="8"/>
      <c r="H30" s="8"/>
      <c r="I30" s="9"/>
      <c r="J30" s="9"/>
    </row>
    <row r="31" spans="1:10" x14ac:dyDescent="0.25">
      <c r="C31" s="8"/>
      <c r="D31" s="8"/>
      <c r="E31" s="8"/>
      <c r="F31" s="8"/>
      <c r="G31" s="8"/>
      <c r="H31" s="8"/>
      <c r="I31" s="9"/>
      <c r="J31" s="9"/>
    </row>
    <row r="32" spans="1:10" x14ac:dyDescent="0.25">
      <c r="C32" s="8"/>
      <c r="D32" s="8"/>
      <c r="E32" s="8"/>
      <c r="F32" s="8"/>
      <c r="G32" s="8"/>
      <c r="H32" s="8"/>
      <c r="I32" s="9"/>
      <c r="J32" s="9"/>
    </row>
    <row r="33" spans="1:10" x14ac:dyDescent="0.25">
      <c r="A33" s="30" t="s">
        <v>53</v>
      </c>
      <c r="B33" s="30"/>
      <c r="C33" s="11" t="s">
        <v>8</v>
      </c>
      <c r="D33" s="11" t="s">
        <v>9</v>
      </c>
      <c r="E33" s="11" t="s">
        <v>10</v>
      </c>
      <c r="F33" s="11" t="s">
        <v>11</v>
      </c>
      <c r="G33" s="11" t="s">
        <v>12</v>
      </c>
      <c r="H33" s="14" t="s">
        <v>13</v>
      </c>
      <c r="I33" s="17"/>
      <c r="J33" s="17"/>
    </row>
    <row r="34" spans="1:10" x14ac:dyDescent="0.25">
      <c r="A34" s="29" t="s">
        <v>54</v>
      </c>
      <c r="B34" s="29"/>
      <c r="C34" s="10">
        <v>68510</v>
      </c>
      <c r="D34" s="10">
        <v>115</v>
      </c>
      <c r="E34" s="10">
        <v>9337</v>
      </c>
      <c r="F34" s="10">
        <v>0</v>
      </c>
      <c r="G34" s="10">
        <f>SUM(C34:F34)</f>
        <v>77962</v>
      </c>
      <c r="H34" s="16">
        <f>ROUND(G34/267,2)</f>
        <v>291.99</v>
      </c>
      <c r="I34" s="9"/>
      <c r="J34" s="9"/>
    </row>
    <row r="35" spans="1:10" x14ac:dyDescent="0.25">
      <c r="A35" s="29" t="s">
        <v>55</v>
      </c>
      <c r="B35" s="29"/>
      <c r="C35" s="10">
        <v>44735</v>
      </c>
      <c r="D35" s="10">
        <v>0</v>
      </c>
      <c r="E35" s="10">
        <v>13180</v>
      </c>
      <c r="F35" s="10">
        <v>0</v>
      </c>
      <c r="G35" s="10">
        <f>SUM(C35:F35)</f>
        <v>57915</v>
      </c>
      <c r="H35" s="16">
        <f>ROUND(G35/267,2)</f>
        <v>216.91</v>
      </c>
      <c r="I35" s="9"/>
      <c r="J35" s="9"/>
    </row>
    <row r="36" spans="1:10" x14ac:dyDescent="0.25">
      <c r="A36" s="29" t="s">
        <v>56</v>
      </c>
      <c r="B36" s="29"/>
      <c r="C36" s="10"/>
      <c r="D36" s="10"/>
      <c r="E36" s="10"/>
      <c r="F36" s="10"/>
      <c r="G36" s="10">
        <f>SUM(C36:F36)</f>
        <v>0</v>
      </c>
      <c r="H36" s="16">
        <f>ROUND(G36/267,2)</f>
        <v>0</v>
      </c>
      <c r="I36" s="9"/>
      <c r="J36" s="9"/>
    </row>
    <row r="37" spans="1:10" x14ac:dyDescent="0.25">
      <c r="C37" s="8"/>
      <c r="D37" s="8"/>
      <c r="E37" s="8"/>
      <c r="F37" s="8"/>
      <c r="G37" s="8"/>
      <c r="H37" s="8"/>
      <c r="I37" s="9"/>
      <c r="J37" s="9"/>
    </row>
    <row r="38" spans="1:10" x14ac:dyDescent="0.25">
      <c r="C38" s="8"/>
      <c r="D38" s="8"/>
      <c r="E38" s="8"/>
      <c r="F38" s="8"/>
      <c r="G38" s="8"/>
      <c r="H38" s="8"/>
      <c r="I38" s="9"/>
      <c r="J38" s="9"/>
    </row>
    <row r="39" spans="1:10" x14ac:dyDescent="0.25">
      <c r="C39" s="8"/>
      <c r="D39" s="8"/>
      <c r="E39" s="8"/>
      <c r="F39" s="8"/>
      <c r="G39" s="8"/>
      <c r="H39" s="8"/>
      <c r="I39" s="9"/>
      <c r="J39" s="9"/>
    </row>
    <row r="40" spans="1:10" x14ac:dyDescent="0.25">
      <c r="C40" s="8"/>
      <c r="D40" s="8"/>
      <c r="E40" s="8"/>
      <c r="F40" s="8"/>
      <c r="G40" s="8"/>
      <c r="H40" s="8"/>
      <c r="I40" s="9"/>
      <c r="J40" s="9"/>
    </row>
    <row r="41" spans="1:10" x14ac:dyDescent="0.25">
      <c r="A41" s="30" t="s">
        <v>57</v>
      </c>
      <c r="B41" s="30"/>
      <c r="C41" s="14" t="s">
        <v>2</v>
      </c>
      <c r="D41" s="14">
        <v>2023</v>
      </c>
      <c r="E41" s="14" t="s">
        <v>59</v>
      </c>
      <c r="F41" s="13"/>
      <c r="G41" s="14" t="s">
        <v>60</v>
      </c>
      <c r="H41" s="14" t="s">
        <v>2</v>
      </c>
      <c r="I41" s="12" t="s">
        <v>61</v>
      </c>
      <c r="J41" s="12" t="s">
        <v>59</v>
      </c>
    </row>
    <row r="42" spans="1:10" x14ac:dyDescent="0.25">
      <c r="A42" s="29" t="s">
        <v>58</v>
      </c>
      <c r="B42" s="29"/>
      <c r="C42" s="15">
        <f>ROUND(0.6603, 4)</f>
        <v>0.6603</v>
      </c>
      <c r="D42" s="15">
        <f>ROUND(0.6937, 4)</f>
        <v>0.69369999999999998</v>
      </c>
      <c r="E42" s="15">
        <f>ROUND(0.777, 4)</f>
        <v>0.77700000000000002</v>
      </c>
      <c r="F42" s="8"/>
      <c r="G42" s="14" t="s">
        <v>62</v>
      </c>
      <c r="H42" s="33" t="s">
        <v>63</v>
      </c>
      <c r="I42" s="31" t="s">
        <v>64</v>
      </c>
      <c r="J42" s="31" t="s">
        <v>65</v>
      </c>
    </row>
    <row r="43" spans="1:10" x14ac:dyDescent="0.25">
      <c r="A43" s="29" t="s">
        <v>66</v>
      </c>
      <c r="B43" s="29"/>
      <c r="C43" s="15">
        <f>ROUND(0.651, 4)</f>
        <v>0.65100000000000002</v>
      </c>
      <c r="D43" s="15">
        <f>ROUND(0.6839, 4)</f>
        <v>0.68389999999999995</v>
      </c>
      <c r="E43" s="15">
        <f>ROUND(0.7608, 4)</f>
        <v>0.76080000000000003</v>
      </c>
      <c r="F43" s="8"/>
      <c r="G43" s="14" t="s">
        <v>67</v>
      </c>
      <c r="H43" s="34"/>
      <c r="I43" s="32"/>
      <c r="J43" s="32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A47" s="30" t="s">
        <v>68</v>
      </c>
      <c r="B47" s="30"/>
      <c r="C47" s="14" t="s">
        <v>2</v>
      </c>
      <c r="D47" s="14" t="s">
        <v>284</v>
      </c>
      <c r="E47" s="14" t="s">
        <v>70</v>
      </c>
      <c r="F47" s="14" t="s">
        <v>71</v>
      </c>
      <c r="G47" s="14" t="s">
        <v>72</v>
      </c>
      <c r="H47" s="13"/>
      <c r="I47" s="17"/>
      <c r="J47" s="17"/>
    </row>
    <row r="48" spans="1:10" x14ac:dyDescent="0.25">
      <c r="A48" s="29" t="s">
        <v>73</v>
      </c>
      <c r="B48" s="29"/>
      <c r="C48" s="16">
        <v>167.55</v>
      </c>
      <c r="D48" s="16">
        <v>150.85</v>
      </c>
      <c r="E48" s="16">
        <v>93.87</v>
      </c>
      <c r="F48" s="16">
        <v>57.16</v>
      </c>
      <c r="G48" s="16">
        <f>12/12*C48</f>
        <v>167.55</v>
      </c>
      <c r="H48" s="8"/>
      <c r="I48" s="9"/>
      <c r="J48" s="9"/>
    </row>
    <row r="49" spans="1:10" x14ac:dyDescent="0.25">
      <c r="A49" s="29" t="s">
        <v>74</v>
      </c>
      <c r="B49" s="29"/>
      <c r="C49" s="16">
        <v>108.43</v>
      </c>
      <c r="D49" s="16">
        <v>110.16</v>
      </c>
      <c r="E49" s="16">
        <v>62.84</v>
      </c>
      <c r="F49" s="16">
        <v>65.39</v>
      </c>
      <c r="G49" s="16">
        <f>12/12*C49</f>
        <v>108.43</v>
      </c>
      <c r="H49" s="8"/>
      <c r="I49" s="9"/>
      <c r="J49" s="9"/>
    </row>
    <row r="50" spans="1:10" x14ac:dyDescent="0.25">
      <c r="A50" s="29" t="s">
        <v>75</v>
      </c>
      <c r="B50" s="29"/>
      <c r="C50" s="16">
        <v>291.99</v>
      </c>
      <c r="D50" s="16">
        <v>339.67</v>
      </c>
      <c r="E50" s="16">
        <v>295.08999999999997</v>
      </c>
      <c r="F50" s="16">
        <v>289.06</v>
      </c>
      <c r="G50" s="16">
        <f>12/12*C50</f>
        <v>291.99</v>
      </c>
      <c r="H50" s="8"/>
      <c r="I50" s="9"/>
      <c r="J50" s="9"/>
    </row>
    <row r="51" spans="1:10" x14ac:dyDescent="0.25">
      <c r="A51" s="29" t="s">
        <v>76</v>
      </c>
      <c r="B51" s="29"/>
      <c r="C51" s="16">
        <v>216.91</v>
      </c>
      <c r="D51" s="16">
        <v>216.1</v>
      </c>
      <c r="E51" s="16">
        <v>118.05</v>
      </c>
      <c r="F51" s="16">
        <v>81.41</v>
      </c>
      <c r="G51" s="16">
        <f>12/12*C51</f>
        <v>216.91</v>
      </c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A54" s="28" t="s">
        <v>60</v>
      </c>
      <c r="B54" s="35"/>
      <c r="C54" s="8"/>
      <c r="D54" s="8"/>
      <c r="E54" s="8"/>
      <c r="F54" s="8"/>
      <c r="G54" s="8"/>
      <c r="H54" s="8"/>
      <c r="I54" s="9"/>
      <c r="J54" s="9"/>
    </row>
    <row r="55" spans="1:10" x14ac:dyDescent="0.25">
      <c r="A55" s="3" t="s">
        <v>77</v>
      </c>
      <c r="B55" s="1" t="s">
        <v>285</v>
      </c>
      <c r="C55" s="8"/>
      <c r="D55" s="8"/>
      <c r="E55" s="8"/>
      <c r="F55" s="8"/>
      <c r="G55" s="8"/>
      <c r="H55" s="8"/>
      <c r="I55" s="9"/>
      <c r="J55" s="9"/>
    </row>
    <row r="56" spans="1:10" x14ac:dyDescent="0.25">
      <c r="A56" s="3" t="s">
        <v>70</v>
      </c>
      <c r="B56" s="1" t="s">
        <v>79</v>
      </c>
      <c r="C56" s="8"/>
      <c r="D56" s="8"/>
      <c r="E56" s="8"/>
      <c r="F56" s="8"/>
      <c r="G56" s="8"/>
      <c r="H56" s="8"/>
      <c r="I56" s="9"/>
      <c r="J56" s="9"/>
    </row>
    <row r="57" spans="1:10" x14ac:dyDescent="0.25">
      <c r="A57" s="3" t="s">
        <v>71</v>
      </c>
      <c r="B57" s="1" t="s">
        <v>80</v>
      </c>
      <c r="C57" s="8"/>
      <c r="D57" s="8"/>
      <c r="E57" s="8"/>
      <c r="F57" s="8"/>
      <c r="G57" s="21"/>
      <c r="H57" s="8"/>
      <c r="I57" s="9"/>
      <c r="J57" s="9"/>
    </row>
    <row r="58" spans="1:10" x14ac:dyDescent="0.25">
      <c r="A58" s="3" t="s">
        <v>72</v>
      </c>
      <c r="B58" s="1" t="s">
        <v>81</v>
      </c>
      <c r="C58" s="8"/>
      <c r="D58" s="8"/>
      <c r="E58" s="8"/>
      <c r="F58" s="8"/>
      <c r="G58" s="21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3:10" x14ac:dyDescent="0.25">
      <c r="C65" s="8"/>
      <c r="D65" s="8"/>
      <c r="E65" s="8"/>
      <c r="F65" s="8"/>
      <c r="G65" s="8"/>
      <c r="H65" s="8"/>
      <c r="I65" s="9"/>
      <c r="J65" s="9"/>
    </row>
    <row r="66" spans="3:10" x14ac:dyDescent="0.25">
      <c r="C66" s="8"/>
      <c r="D66" s="8"/>
      <c r="E66" s="8"/>
      <c r="F66" s="8"/>
      <c r="G66" s="8"/>
      <c r="H66" s="8"/>
      <c r="I66" s="9"/>
      <c r="J66" s="9"/>
    </row>
    <row r="67" spans="3:10" x14ac:dyDescent="0.25">
      <c r="C67" s="8"/>
      <c r="D67" s="8"/>
      <c r="E67" s="8"/>
      <c r="F67" s="8"/>
      <c r="G67" s="8"/>
      <c r="H67" s="8"/>
      <c r="I67" s="9"/>
      <c r="J67" s="9"/>
    </row>
    <row r="68" spans="3:10" x14ac:dyDescent="0.25">
      <c r="C68" s="8"/>
      <c r="D68" s="8"/>
      <c r="E68" s="8"/>
      <c r="F68" s="8"/>
      <c r="G68" s="8"/>
      <c r="H68" s="8"/>
      <c r="I68" s="9"/>
      <c r="J68" s="9"/>
    </row>
    <row r="69" spans="3:10" x14ac:dyDescent="0.25">
      <c r="C69" s="8"/>
      <c r="D69" s="8"/>
      <c r="E69" s="8"/>
      <c r="F69" s="8"/>
      <c r="G69" s="8"/>
      <c r="H69" s="8"/>
      <c r="I69" s="9"/>
      <c r="J69" s="9"/>
    </row>
    <row r="70" spans="3:10" x14ac:dyDescent="0.25">
      <c r="C70" s="8"/>
      <c r="D70" s="8"/>
      <c r="E70" s="8"/>
      <c r="F70" s="8"/>
      <c r="G70" s="8"/>
      <c r="H70" s="8"/>
      <c r="I70" s="9"/>
      <c r="J70" s="9"/>
    </row>
  </sheetData>
  <mergeCells count="19">
    <mergeCell ref="A49:B49"/>
    <mergeCell ref="A50:B50"/>
    <mergeCell ref="A51:B51"/>
    <mergeCell ref="A54:B54"/>
    <mergeCell ref="I42:I43"/>
    <mergeCell ref="J42:J43"/>
    <mergeCell ref="A43:B43"/>
    <mergeCell ref="A47:B47"/>
    <mergeCell ref="A48:B48"/>
    <mergeCell ref="A35:B35"/>
    <mergeCell ref="A36:B36"/>
    <mergeCell ref="A41:B41"/>
    <mergeCell ref="A42:B42"/>
    <mergeCell ref="H42:H43"/>
    <mergeCell ref="C7:G7"/>
    <mergeCell ref="A27:B27"/>
    <mergeCell ref="A28:B28"/>
    <mergeCell ref="A33:B33"/>
    <mergeCell ref="A34:B34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2:J70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3.57031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286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373</v>
      </c>
    </row>
    <row r="7" spans="1:10" x14ac:dyDescent="0.25">
      <c r="C7" s="28" t="s">
        <v>5</v>
      </c>
      <c r="D7" s="29"/>
      <c r="E7" s="29"/>
      <c r="F7" s="29"/>
      <c r="G7" s="29"/>
    </row>
    <row r="8" spans="1:10" x14ac:dyDescent="0.25">
      <c r="A8" s="25" t="s">
        <v>6</v>
      </c>
      <c r="B8" s="25" t="s">
        <v>7</v>
      </c>
      <c r="C8" s="27" t="s">
        <v>8</v>
      </c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8</v>
      </c>
      <c r="F9" s="10"/>
      <c r="G9" s="10">
        <f t="shared" ref="G9:G38" si="0">SUM(C9:F9)</f>
        <v>8</v>
      </c>
      <c r="H9" s="16">
        <f t="shared" ref="H9:H38" si="1">ROUND(G9/373,2)</f>
        <v>0.02</v>
      </c>
      <c r="I9" s="15">
        <f t="shared" ref="I9:I38" si="2">ROUND(G9/$G$39,3)</f>
        <v>0</v>
      </c>
      <c r="J9" s="15"/>
    </row>
    <row r="10" spans="1:10" x14ac:dyDescent="0.25">
      <c r="A10" s="1" t="s">
        <v>16</v>
      </c>
      <c r="B10" s="1" t="s">
        <v>19</v>
      </c>
      <c r="C10" s="10">
        <v>23790</v>
      </c>
      <c r="D10" s="10"/>
      <c r="E10" s="10">
        <v>1073</v>
      </c>
      <c r="F10" s="10"/>
      <c r="G10" s="10">
        <f t="shared" si="0"/>
        <v>24863</v>
      </c>
      <c r="H10" s="16">
        <f t="shared" si="1"/>
        <v>66.66</v>
      </c>
      <c r="I10" s="15">
        <f t="shared" si="2"/>
        <v>0.108</v>
      </c>
      <c r="J10" s="15">
        <f>ROUND(G10/17346.93-1,2)</f>
        <v>0.43</v>
      </c>
    </row>
    <row r="11" spans="1:10" x14ac:dyDescent="0.25">
      <c r="A11" s="1" t="s">
        <v>16</v>
      </c>
      <c r="B11" s="1" t="s">
        <v>20</v>
      </c>
      <c r="C11" s="10">
        <v>24270</v>
      </c>
      <c r="D11" s="10"/>
      <c r="E11" s="10"/>
      <c r="F11" s="10"/>
      <c r="G11" s="10">
        <f t="shared" si="0"/>
        <v>24270</v>
      </c>
      <c r="H11" s="16">
        <f t="shared" si="1"/>
        <v>65.069999999999993</v>
      </c>
      <c r="I11" s="15">
        <f t="shared" si="2"/>
        <v>0.106</v>
      </c>
      <c r="J11" s="15">
        <f>ROUND(G11/31115-1,2)</f>
        <v>-0.22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40</v>
      </c>
      <c r="F12" s="10"/>
      <c r="G12" s="10">
        <f t="shared" si="0"/>
        <v>40</v>
      </c>
      <c r="H12" s="16">
        <f t="shared" si="1"/>
        <v>0.11</v>
      </c>
      <c r="I12" s="15">
        <f t="shared" si="2"/>
        <v>0</v>
      </c>
      <c r="J12" s="15"/>
    </row>
    <row r="13" spans="1:10" x14ac:dyDescent="0.25">
      <c r="A13" s="1" t="s">
        <v>16</v>
      </c>
      <c r="B13" s="1" t="s">
        <v>22</v>
      </c>
      <c r="C13" s="10"/>
      <c r="D13" s="10"/>
      <c r="E13" s="10">
        <v>456</v>
      </c>
      <c r="F13" s="10"/>
      <c r="G13" s="10">
        <f t="shared" si="0"/>
        <v>456</v>
      </c>
      <c r="H13" s="16">
        <f t="shared" si="1"/>
        <v>1.22</v>
      </c>
      <c r="I13" s="15">
        <f t="shared" si="2"/>
        <v>2E-3</v>
      </c>
      <c r="J13" s="15"/>
    </row>
    <row r="14" spans="1:10" x14ac:dyDescent="0.25">
      <c r="A14" s="1" t="s">
        <v>16</v>
      </c>
      <c r="B14" s="1" t="s">
        <v>23</v>
      </c>
      <c r="C14" s="10"/>
      <c r="D14" s="10"/>
      <c r="E14" s="10">
        <v>22235</v>
      </c>
      <c r="F14" s="10"/>
      <c r="G14" s="10">
        <f t="shared" si="0"/>
        <v>22235</v>
      </c>
      <c r="H14" s="16">
        <f t="shared" si="1"/>
        <v>59.61</v>
      </c>
      <c r="I14" s="15">
        <f t="shared" si="2"/>
        <v>9.7000000000000003E-2</v>
      </c>
      <c r="J14" s="15">
        <f>ROUND(G14/8485.7-1,2)</f>
        <v>1.62</v>
      </c>
    </row>
    <row r="15" spans="1:10" x14ac:dyDescent="0.25">
      <c r="A15" s="1" t="s">
        <v>16</v>
      </c>
      <c r="B15" s="1" t="s">
        <v>24</v>
      </c>
      <c r="C15" s="10">
        <v>26560</v>
      </c>
      <c r="D15" s="10"/>
      <c r="E15" s="10">
        <v>3542</v>
      </c>
      <c r="F15" s="10"/>
      <c r="G15" s="10">
        <f t="shared" si="0"/>
        <v>30102</v>
      </c>
      <c r="H15" s="16">
        <f t="shared" si="1"/>
        <v>80.7</v>
      </c>
      <c r="I15" s="15">
        <f t="shared" si="2"/>
        <v>0.13100000000000001</v>
      </c>
      <c r="J15" s="15">
        <f>ROUND(G15/22402.61-1,2)</f>
        <v>0.34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670</v>
      </c>
      <c r="F16" s="10"/>
      <c r="G16" s="10">
        <f t="shared" si="0"/>
        <v>670</v>
      </c>
      <c r="H16" s="16">
        <f t="shared" si="1"/>
        <v>1.8</v>
      </c>
      <c r="I16" s="15">
        <f t="shared" si="2"/>
        <v>3.0000000000000001E-3</v>
      </c>
      <c r="J16" s="15"/>
    </row>
    <row r="17" spans="1:10" x14ac:dyDescent="0.25">
      <c r="A17" s="1" t="s">
        <v>16</v>
      </c>
      <c r="B17" s="1" t="s">
        <v>26</v>
      </c>
      <c r="C17" s="10">
        <v>26020</v>
      </c>
      <c r="D17" s="10"/>
      <c r="E17" s="10"/>
      <c r="F17" s="10"/>
      <c r="G17" s="10">
        <f t="shared" si="0"/>
        <v>26020</v>
      </c>
      <c r="H17" s="16">
        <f t="shared" si="1"/>
        <v>69.760000000000005</v>
      </c>
      <c r="I17" s="15">
        <f t="shared" si="2"/>
        <v>0.113</v>
      </c>
      <c r="J17" s="15">
        <f>ROUND(G17/22670-1,2)</f>
        <v>0.15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214</v>
      </c>
      <c r="F18" s="10"/>
      <c r="G18" s="10">
        <f t="shared" si="0"/>
        <v>214</v>
      </c>
      <c r="H18" s="16">
        <f t="shared" si="1"/>
        <v>0.56999999999999995</v>
      </c>
      <c r="I18" s="15">
        <f t="shared" si="2"/>
        <v>1E-3</v>
      </c>
      <c r="J18" s="15"/>
    </row>
    <row r="19" spans="1:10" x14ac:dyDescent="0.25">
      <c r="A19" s="1" t="s">
        <v>16</v>
      </c>
      <c r="B19" s="1" t="s">
        <v>28</v>
      </c>
      <c r="C19" s="10"/>
      <c r="D19" s="10"/>
      <c r="E19" s="10">
        <v>115</v>
      </c>
      <c r="F19" s="10"/>
      <c r="G19" s="10">
        <f t="shared" si="0"/>
        <v>115</v>
      </c>
      <c r="H19" s="16">
        <f t="shared" si="1"/>
        <v>0.31</v>
      </c>
      <c r="I19" s="15">
        <f t="shared" si="2"/>
        <v>1E-3</v>
      </c>
      <c r="J19" s="15"/>
    </row>
    <row r="20" spans="1:10" x14ac:dyDescent="0.25">
      <c r="A20" s="1" t="s">
        <v>16</v>
      </c>
      <c r="B20" s="1" t="s">
        <v>29</v>
      </c>
      <c r="C20" s="10"/>
      <c r="D20" s="10"/>
      <c r="E20" s="10">
        <v>386</v>
      </c>
      <c r="F20" s="10"/>
      <c r="G20" s="10">
        <f t="shared" si="0"/>
        <v>386</v>
      </c>
      <c r="H20" s="16">
        <f t="shared" si="1"/>
        <v>1.03</v>
      </c>
      <c r="I20" s="15">
        <f t="shared" si="2"/>
        <v>2E-3</v>
      </c>
      <c r="J20" s="15">
        <f>ROUND(G20/411.39-1,2)</f>
        <v>-0.06</v>
      </c>
    </row>
    <row r="21" spans="1:10" x14ac:dyDescent="0.25">
      <c r="A21" s="1" t="s">
        <v>16</v>
      </c>
      <c r="B21" s="1" t="s">
        <v>30</v>
      </c>
      <c r="C21" s="10"/>
      <c r="D21" s="10"/>
      <c r="E21" s="10">
        <v>115</v>
      </c>
      <c r="F21" s="10"/>
      <c r="G21" s="10">
        <f t="shared" si="0"/>
        <v>115</v>
      </c>
      <c r="H21" s="16">
        <f t="shared" si="1"/>
        <v>0.31</v>
      </c>
      <c r="I21" s="15">
        <f t="shared" si="2"/>
        <v>1E-3</v>
      </c>
      <c r="J21" s="15">
        <f>ROUND(G21/21.01-1,2)</f>
        <v>4.47</v>
      </c>
    </row>
    <row r="22" spans="1:10" x14ac:dyDescent="0.25">
      <c r="A22" s="1" t="s">
        <v>16</v>
      </c>
      <c r="B22" s="1" t="s">
        <v>32</v>
      </c>
      <c r="C22" s="10"/>
      <c r="D22" s="10"/>
      <c r="E22" s="10">
        <v>408</v>
      </c>
      <c r="F22" s="10"/>
      <c r="G22" s="10">
        <f t="shared" si="0"/>
        <v>408</v>
      </c>
      <c r="H22" s="16">
        <f t="shared" si="1"/>
        <v>1.0900000000000001</v>
      </c>
      <c r="I22" s="15">
        <f t="shared" si="2"/>
        <v>2E-3</v>
      </c>
      <c r="J22" s="15"/>
    </row>
    <row r="23" spans="1:10" x14ac:dyDescent="0.25">
      <c r="A23" s="1" t="s">
        <v>16</v>
      </c>
      <c r="B23" s="1" t="s">
        <v>33</v>
      </c>
      <c r="C23" s="10"/>
      <c r="D23" s="10"/>
      <c r="E23" s="10">
        <v>50</v>
      </c>
      <c r="F23" s="10"/>
      <c r="G23" s="10">
        <f t="shared" si="0"/>
        <v>50</v>
      </c>
      <c r="H23" s="16">
        <f t="shared" si="1"/>
        <v>0.13</v>
      </c>
      <c r="I23" s="15">
        <f t="shared" si="2"/>
        <v>0</v>
      </c>
      <c r="J23" s="15"/>
    </row>
    <row r="24" spans="1:10" x14ac:dyDescent="0.25">
      <c r="A24" s="1" t="s">
        <v>16</v>
      </c>
      <c r="B24" s="1" t="s">
        <v>34</v>
      </c>
      <c r="C24" s="10"/>
      <c r="D24" s="10"/>
      <c r="E24" s="10">
        <v>54</v>
      </c>
      <c r="F24" s="10"/>
      <c r="G24" s="10">
        <f t="shared" si="0"/>
        <v>54</v>
      </c>
      <c r="H24" s="16">
        <f t="shared" si="1"/>
        <v>0.14000000000000001</v>
      </c>
      <c r="I24" s="15">
        <f t="shared" si="2"/>
        <v>0</v>
      </c>
      <c r="J24" s="15"/>
    </row>
    <row r="25" spans="1:10" x14ac:dyDescent="0.25">
      <c r="A25" s="1" t="s">
        <v>16</v>
      </c>
      <c r="B25" s="1" t="s">
        <v>43</v>
      </c>
      <c r="C25" s="10"/>
      <c r="D25" s="10"/>
      <c r="E25" s="10">
        <v>493</v>
      </c>
      <c r="F25" s="10"/>
      <c r="G25" s="10">
        <f t="shared" si="0"/>
        <v>493</v>
      </c>
      <c r="H25" s="16">
        <f t="shared" si="1"/>
        <v>1.32</v>
      </c>
      <c r="I25" s="15">
        <f t="shared" si="2"/>
        <v>2E-3</v>
      </c>
      <c r="J25" s="15"/>
    </row>
    <row r="26" spans="1:10" x14ac:dyDescent="0.25">
      <c r="A26" s="1" t="s">
        <v>16</v>
      </c>
      <c r="B26" s="1" t="s">
        <v>37</v>
      </c>
      <c r="C26" s="10"/>
      <c r="D26" s="10"/>
      <c r="E26" s="10">
        <v>591</v>
      </c>
      <c r="F26" s="10"/>
      <c r="G26" s="10">
        <f t="shared" si="0"/>
        <v>591</v>
      </c>
      <c r="H26" s="16">
        <f t="shared" si="1"/>
        <v>1.58</v>
      </c>
      <c r="I26" s="15">
        <f t="shared" si="2"/>
        <v>3.0000000000000001E-3</v>
      </c>
      <c r="J26" s="15">
        <f>ROUND(G26/141.94-1,2)</f>
        <v>3.16</v>
      </c>
    </row>
    <row r="27" spans="1:10" x14ac:dyDescent="0.25">
      <c r="A27" s="1" t="s">
        <v>16</v>
      </c>
      <c r="B27" s="1" t="s">
        <v>38</v>
      </c>
      <c r="C27" s="10"/>
      <c r="D27" s="10"/>
      <c r="E27" s="10">
        <v>13416</v>
      </c>
      <c r="F27" s="10"/>
      <c r="G27" s="10">
        <f t="shared" si="0"/>
        <v>13416</v>
      </c>
      <c r="H27" s="16">
        <f t="shared" si="1"/>
        <v>35.97</v>
      </c>
      <c r="I27" s="15">
        <f t="shared" si="2"/>
        <v>5.8000000000000003E-2</v>
      </c>
      <c r="J27" s="15">
        <f>ROUND(G27/5385.3-1,2)</f>
        <v>1.49</v>
      </c>
    </row>
    <row r="28" spans="1:10" x14ac:dyDescent="0.25">
      <c r="A28" s="1" t="s">
        <v>16</v>
      </c>
      <c r="B28" s="1" t="s">
        <v>40</v>
      </c>
      <c r="C28" s="10"/>
      <c r="D28" s="10"/>
      <c r="E28" s="10">
        <v>4949</v>
      </c>
      <c r="F28" s="10"/>
      <c r="G28" s="10">
        <f t="shared" si="0"/>
        <v>4949</v>
      </c>
      <c r="H28" s="16">
        <f t="shared" si="1"/>
        <v>13.27</v>
      </c>
      <c r="I28" s="15">
        <f t="shared" si="2"/>
        <v>2.1999999999999999E-2</v>
      </c>
      <c r="J28" s="15">
        <f>ROUND(G28/2787.58-1,2)</f>
        <v>0.78</v>
      </c>
    </row>
    <row r="29" spans="1:10" x14ac:dyDescent="0.25">
      <c r="A29" s="1" t="s">
        <v>16</v>
      </c>
      <c r="B29" s="1" t="s">
        <v>41</v>
      </c>
      <c r="C29" s="10"/>
      <c r="D29" s="10"/>
      <c r="E29" s="10">
        <v>2158</v>
      </c>
      <c r="F29" s="10"/>
      <c r="G29" s="10">
        <f t="shared" si="0"/>
        <v>2158</v>
      </c>
      <c r="H29" s="16">
        <f t="shared" si="1"/>
        <v>5.79</v>
      </c>
      <c r="I29" s="15">
        <f t="shared" si="2"/>
        <v>8.9999999999999993E-3</v>
      </c>
      <c r="J29" s="15">
        <f>ROUND(G29/608.06-1,2)</f>
        <v>2.5499999999999998</v>
      </c>
    </row>
    <row r="30" spans="1:10" x14ac:dyDescent="0.25">
      <c r="A30" s="1" t="s">
        <v>16</v>
      </c>
      <c r="B30" s="1" t="s">
        <v>36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>
        <f>ROUND(G30/105.14-1,2)</f>
        <v>-1</v>
      </c>
    </row>
    <row r="31" spans="1:10" x14ac:dyDescent="0.25">
      <c r="A31" s="1" t="s">
        <v>16</v>
      </c>
      <c r="B31" s="1" t="s">
        <v>35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>
        <f>ROUND(G31/37.67-1,2)</f>
        <v>-1</v>
      </c>
    </row>
    <row r="32" spans="1:10" x14ac:dyDescent="0.25">
      <c r="A32" s="1" t="s">
        <v>16</v>
      </c>
      <c r="B32" s="1" t="s">
        <v>42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/>
    </row>
    <row r="33" spans="1:10" x14ac:dyDescent="0.25">
      <c r="A33" s="1" t="s">
        <v>16</v>
      </c>
      <c r="B33" s="1" t="s">
        <v>31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/>
    </row>
    <row r="34" spans="1:10" x14ac:dyDescent="0.25">
      <c r="A34" s="1" t="s">
        <v>16</v>
      </c>
      <c r="B34" s="1" t="s">
        <v>39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/>
    </row>
    <row r="35" spans="1:10" x14ac:dyDescent="0.25">
      <c r="A35" s="1" t="s">
        <v>44</v>
      </c>
      <c r="B35" s="1" t="s">
        <v>45</v>
      </c>
      <c r="C35" s="10">
        <v>70910</v>
      </c>
      <c r="D35" s="10"/>
      <c r="E35" s="10"/>
      <c r="F35" s="10"/>
      <c r="G35" s="10">
        <f t="shared" si="0"/>
        <v>70910</v>
      </c>
      <c r="H35" s="16">
        <f t="shared" si="1"/>
        <v>190.11</v>
      </c>
      <c r="I35" s="15">
        <f t="shared" si="2"/>
        <v>0.308</v>
      </c>
      <c r="J35" s="15">
        <f>ROUND(G35/64190-1,2)</f>
        <v>0.1</v>
      </c>
    </row>
    <row r="36" spans="1:10" x14ac:dyDescent="0.25">
      <c r="A36" s="1" t="s">
        <v>44</v>
      </c>
      <c r="B36" s="1" t="s">
        <v>46</v>
      </c>
      <c r="C36" s="10"/>
      <c r="D36" s="10"/>
      <c r="E36" s="10">
        <v>7360</v>
      </c>
      <c r="F36" s="10"/>
      <c r="G36" s="10">
        <f t="shared" si="0"/>
        <v>7360</v>
      </c>
      <c r="H36" s="16">
        <f t="shared" si="1"/>
        <v>19.73</v>
      </c>
      <c r="I36" s="15">
        <f t="shared" si="2"/>
        <v>3.2000000000000001E-2</v>
      </c>
      <c r="J36" s="15">
        <f>ROUND(G36/3685.01-1,2)</f>
        <v>1</v>
      </c>
    </row>
    <row r="37" spans="1:10" x14ac:dyDescent="0.25">
      <c r="A37" s="1" t="s">
        <v>44</v>
      </c>
      <c r="B37" s="1" t="s">
        <v>47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>
        <f>ROUND(G37/22965-1,2)</f>
        <v>-1</v>
      </c>
    </row>
    <row r="38" spans="1:10" x14ac:dyDescent="0.25">
      <c r="A38" s="1" t="s">
        <v>48</v>
      </c>
      <c r="B38" s="1" t="s">
        <v>51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30" t="s">
        <v>12</v>
      </c>
      <c r="B39" s="30"/>
      <c r="C39" s="11">
        <f t="shared" ref="C39:H39" si="3">SUM(C8:C38)</f>
        <v>171550</v>
      </c>
      <c r="D39" s="11">
        <f t="shared" si="3"/>
        <v>0</v>
      </c>
      <c r="E39" s="11">
        <f t="shared" si="3"/>
        <v>58333</v>
      </c>
      <c r="F39" s="11">
        <f t="shared" si="3"/>
        <v>0</v>
      </c>
      <c r="G39" s="11">
        <f t="shared" si="3"/>
        <v>229883</v>
      </c>
      <c r="H39" s="14">
        <f t="shared" si="3"/>
        <v>616.29999999999995</v>
      </c>
      <c r="I39" s="17"/>
      <c r="J39" s="17"/>
    </row>
    <row r="40" spans="1:10" x14ac:dyDescent="0.25">
      <c r="A40" s="30" t="s">
        <v>14</v>
      </c>
      <c r="B40" s="30"/>
      <c r="C40" s="12">
        <f>ROUND(C39/G39,2)</f>
        <v>0.75</v>
      </c>
      <c r="D40" s="12">
        <f>ROUND(D39/G39,2)</f>
        <v>0</v>
      </c>
      <c r="E40" s="12">
        <f>ROUND(E39/G39,2)</f>
        <v>0.25</v>
      </c>
      <c r="F40" s="12">
        <f>ROUND(F39/G39,2)</f>
        <v>0</v>
      </c>
      <c r="G40" s="13"/>
      <c r="H40" s="13"/>
      <c r="I40" s="17"/>
      <c r="J40" s="17"/>
    </row>
    <row r="41" spans="1:10" x14ac:dyDescent="0.25">
      <c r="A41" s="2" t="s">
        <v>52</v>
      </c>
      <c r="B41" s="2"/>
      <c r="C41" s="13"/>
      <c r="D41" s="13"/>
      <c r="E41" s="13"/>
      <c r="F41" s="13"/>
      <c r="G41" s="13"/>
      <c r="H41" s="13"/>
      <c r="I41" s="17"/>
      <c r="J41" s="17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A45" s="30" t="s">
        <v>53</v>
      </c>
      <c r="B45" s="30"/>
      <c r="C45" s="11" t="s">
        <v>8</v>
      </c>
      <c r="D45" s="11" t="s">
        <v>9</v>
      </c>
      <c r="E45" s="11" t="s">
        <v>10</v>
      </c>
      <c r="F45" s="11" t="s">
        <v>11</v>
      </c>
      <c r="G45" s="11" t="s">
        <v>12</v>
      </c>
      <c r="H45" s="14" t="s">
        <v>13</v>
      </c>
      <c r="I45" s="17"/>
      <c r="J45" s="17"/>
    </row>
    <row r="46" spans="1:10" x14ac:dyDescent="0.25">
      <c r="A46" s="29" t="s">
        <v>54</v>
      </c>
      <c r="B46" s="29"/>
      <c r="C46" s="10">
        <v>100640</v>
      </c>
      <c r="D46" s="10">
        <v>0</v>
      </c>
      <c r="E46" s="10">
        <v>50973</v>
      </c>
      <c r="F46" s="10">
        <v>0</v>
      </c>
      <c r="G46" s="10">
        <f>SUM(C46:F46)</f>
        <v>151613</v>
      </c>
      <c r="H46" s="16">
        <f>ROUND(G46/373,2)</f>
        <v>406.47</v>
      </c>
      <c r="I46" s="9"/>
      <c r="J46" s="9"/>
    </row>
    <row r="47" spans="1:10" x14ac:dyDescent="0.25">
      <c r="A47" s="29" t="s">
        <v>55</v>
      </c>
      <c r="B47" s="29"/>
      <c r="C47" s="10">
        <v>70910</v>
      </c>
      <c r="D47" s="10">
        <v>0</v>
      </c>
      <c r="E47" s="10">
        <v>7360</v>
      </c>
      <c r="F47" s="10">
        <v>0</v>
      </c>
      <c r="G47" s="10">
        <f>SUM(C47:F47)</f>
        <v>78270</v>
      </c>
      <c r="H47" s="16">
        <f>ROUND(G47/373,2)</f>
        <v>209.84</v>
      </c>
      <c r="I47" s="9"/>
      <c r="J47" s="9"/>
    </row>
    <row r="48" spans="1:10" x14ac:dyDescent="0.25">
      <c r="A48" s="29" t="s">
        <v>56</v>
      </c>
      <c r="B48" s="29"/>
      <c r="C48" s="10">
        <v>0</v>
      </c>
      <c r="D48" s="10">
        <v>0</v>
      </c>
      <c r="E48" s="10">
        <v>0</v>
      </c>
      <c r="F48" s="10">
        <v>0</v>
      </c>
      <c r="G48" s="10">
        <f>SUM(C48:F48)</f>
        <v>0</v>
      </c>
      <c r="H48" s="16">
        <f>ROUND(G48/373,2)</f>
        <v>0</v>
      </c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A53" s="30" t="s">
        <v>57</v>
      </c>
      <c r="B53" s="30"/>
      <c r="C53" s="14" t="s">
        <v>2</v>
      </c>
      <c r="D53" s="14">
        <v>2023</v>
      </c>
      <c r="E53" s="14" t="s">
        <v>59</v>
      </c>
      <c r="F53" s="13"/>
      <c r="G53" s="14" t="s">
        <v>60</v>
      </c>
      <c r="H53" s="14" t="s">
        <v>2</v>
      </c>
      <c r="I53" s="12" t="s">
        <v>61</v>
      </c>
      <c r="J53" s="12" t="s">
        <v>59</v>
      </c>
    </row>
    <row r="54" spans="1:10" x14ac:dyDescent="0.25">
      <c r="A54" s="29" t="s">
        <v>58</v>
      </c>
      <c r="B54" s="29"/>
      <c r="C54" s="15">
        <f>ROUND(0.657, 4)</f>
        <v>0.65700000000000003</v>
      </c>
      <c r="D54" s="15">
        <f>ROUND(0.6501, 4)</f>
        <v>0.65010000000000001</v>
      </c>
      <c r="E54" s="15">
        <f>ROUND(0.777, 4)</f>
        <v>0.77700000000000002</v>
      </c>
      <c r="F54" s="8"/>
      <c r="G54" s="14" t="s">
        <v>62</v>
      </c>
      <c r="H54" s="33" t="s">
        <v>63</v>
      </c>
      <c r="I54" s="31" t="s">
        <v>64</v>
      </c>
      <c r="J54" s="31" t="s">
        <v>65</v>
      </c>
    </row>
    <row r="55" spans="1:10" x14ac:dyDescent="0.25">
      <c r="A55" s="29" t="s">
        <v>66</v>
      </c>
      <c r="B55" s="29"/>
      <c r="C55" s="15">
        <f>ROUND(0.6124, 4)</f>
        <v>0.61240000000000006</v>
      </c>
      <c r="D55" s="15">
        <f>ROUND(0.6167, 4)</f>
        <v>0.61670000000000003</v>
      </c>
      <c r="E55" s="15">
        <f>ROUND(0.7608, 4)</f>
        <v>0.76080000000000003</v>
      </c>
      <c r="F55" s="8"/>
      <c r="G55" s="14" t="s">
        <v>67</v>
      </c>
      <c r="H55" s="34"/>
      <c r="I55" s="32"/>
      <c r="J55" s="32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21"/>
      <c r="H57" s="8"/>
      <c r="I57" s="9"/>
      <c r="J57" s="9"/>
    </row>
    <row r="58" spans="1:10" x14ac:dyDescent="0.25">
      <c r="C58" s="8"/>
      <c r="D58" s="8"/>
      <c r="E58" s="8"/>
      <c r="F58" s="8"/>
      <c r="G58" s="21"/>
      <c r="H58" s="8"/>
      <c r="I58" s="9"/>
      <c r="J58" s="9"/>
    </row>
    <row r="59" spans="1:10" x14ac:dyDescent="0.25">
      <c r="A59" s="30" t="s">
        <v>68</v>
      </c>
      <c r="B59" s="30"/>
      <c r="C59" s="14" t="s">
        <v>2</v>
      </c>
      <c r="D59" s="14" t="s">
        <v>287</v>
      </c>
      <c r="E59" s="14" t="s">
        <v>70</v>
      </c>
      <c r="F59" s="14" t="s">
        <v>71</v>
      </c>
      <c r="G59" s="14" t="s">
        <v>72</v>
      </c>
      <c r="H59" s="13"/>
      <c r="I59" s="17"/>
      <c r="J59" s="17"/>
    </row>
    <row r="60" spans="1:10" x14ac:dyDescent="0.25">
      <c r="A60" s="29" t="s">
        <v>73</v>
      </c>
      <c r="B60" s="29"/>
      <c r="C60" s="16">
        <v>190.11</v>
      </c>
      <c r="D60" s="16">
        <v>136.91</v>
      </c>
      <c r="E60" s="16">
        <v>93.87</v>
      </c>
      <c r="F60" s="16">
        <v>57.16</v>
      </c>
      <c r="G60" s="16">
        <f>12/12*C60</f>
        <v>190.11</v>
      </c>
      <c r="H60" s="8"/>
      <c r="I60" s="9"/>
      <c r="J60" s="9"/>
    </row>
    <row r="61" spans="1:10" x14ac:dyDescent="0.25">
      <c r="A61" s="29" t="s">
        <v>74</v>
      </c>
      <c r="B61" s="29"/>
      <c r="C61" s="16">
        <v>69.760000000000005</v>
      </c>
      <c r="D61" s="16">
        <v>57.65</v>
      </c>
      <c r="E61" s="16">
        <v>62.84</v>
      </c>
      <c r="F61" s="16">
        <v>65.39</v>
      </c>
      <c r="G61" s="16">
        <f>12/12*C61</f>
        <v>69.760000000000005</v>
      </c>
      <c r="H61" s="8"/>
      <c r="I61" s="9"/>
      <c r="J61" s="9"/>
    </row>
    <row r="62" spans="1:10" x14ac:dyDescent="0.25">
      <c r="A62" s="29" t="s">
        <v>75</v>
      </c>
      <c r="B62" s="29"/>
      <c r="C62" s="16">
        <v>406.47</v>
      </c>
      <c r="D62" s="16">
        <v>336.9</v>
      </c>
      <c r="E62" s="16">
        <v>295.08999999999997</v>
      </c>
      <c r="F62" s="16">
        <v>289.06</v>
      </c>
      <c r="G62" s="16">
        <f>12/12*C62</f>
        <v>406.47</v>
      </c>
      <c r="H62" s="8"/>
      <c r="I62" s="9"/>
      <c r="J62" s="9"/>
    </row>
    <row r="63" spans="1:10" x14ac:dyDescent="0.25">
      <c r="A63" s="29" t="s">
        <v>76</v>
      </c>
      <c r="B63" s="29"/>
      <c r="C63" s="16">
        <v>209.84</v>
      </c>
      <c r="D63" s="16">
        <v>190.24</v>
      </c>
      <c r="E63" s="16">
        <v>118.05</v>
      </c>
      <c r="F63" s="16">
        <v>81.41</v>
      </c>
      <c r="G63" s="16">
        <f>12/12*C63</f>
        <v>209.84</v>
      </c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28" t="s">
        <v>60</v>
      </c>
      <c r="B66" s="35"/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77</v>
      </c>
      <c r="B67" s="1" t="s">
        <v>288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70</v>
      </c>
      <c r="B68" s="1" t="s">
        <v>79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71</v>
      </c>
      <c r="B69" s="1" t="s">
        <v>80</v>
      </c>
    </row>
    <row r="70" spans="1:10" x14ac:dyDescent="0.25">
      <c r="A70" s="3" t="s">
        <v>72</v>
      </c>
      <c r="B70" s="1" t="s">
        <v>81</v>
      </c>
    </row>
  </sheetData>
  <mergeCells count="19">
    <mergeCell ref="A61:B61"/>
    <mergeCell ref="A62:B62"/>
    <mergeCell ref="A63:B63"/>
    <mergeCell ref="A66:B66"/>
    <mergeCell ref="I54:I55"/>
    <mergeCell ref="J54:J55"/>
    <mergeCell ref="A55:B55"/>
    <mergeCell ref="A59:B59"/>
    <mergeCell ref="A60:B60"/>
    <mergeCell ref="A47:B47"/>
    <mergeCell ref="A48:B48"/>
    <mergeCell ref="A53:B53"/>
    <mergeCell ref="A54:B54"/>
    <mergeCell ref="H54:H55"/>
    <mergeCell ref="C7:G7"/>
    <mergeCell ref="A39:B39"/>
    <mergeCell ref="A40:B40"/>
    <mergeCell ref="A45:B45"/>
    <mergeCell ref="A46:B46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2:J75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8.57031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289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2367</v>
      </c>
    </row>
    <row r="7" spans="1:10" x14ac:dyDescent="0.25">
      <c r="C7" s="28" t="s">
        <v>5</v>
      </c>
      <c r="D7" s="29"/>
      <c r="E7" s="29"/>
      <c r="F7" s="29"/>
      <c r="G7" s="29"/>
    </row>
    <row r="8" spans="1:10" x14ac:dyDescent="0.25">
      <c r="A8" s="25" t="s">
        <v>6</v>
      </c>
      <c r="B8" s="25" t="s">
        <v>7</v>
      </c>
      <c r="C8" s="27" t="s">
        <v>8</v>
      </c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60</v>
      </c>
      <c r="F9" s="10"/>
      <c r="G9" s="10">
        <f t="shared" ref="G9:G36" si="0">SUM(C9:F9)</f>
        <v>60</v>
      </c>
      <c r="H9" s="16">
        <f t="shared" ref="H9:H36" si="1">ROUND(G9/2367,2)</f>
        <v>0.03</v>
      </c>
      <c r="I9" s="15">
        <f t="shared" ref="I9:I36" si="2">ROUND(G9/$G$37,3)</f>
        <v>0</v>
      </c>
      <c r="J9" s="15">
        <f>ROUND(G9/15-1,2)</f>
        <v>3</v>
      </c>
    </row>
    <row r="10" spans="1:10" x14ac:dyDescent="0.25">
      <c r="A10" s="1" t="s">
        <v>16</v>
      </c>
      <c r="B10" s="1" t="s">
        <v>19</v>
      </c>
      <c r="C10" s="10">
        <v>73460</v>
      </c>
      <c r="D10" s="10"/>
      <c r="E10" s="10"/>
      <c r="F10" s="10"/>
      <c r="G10" s="10">
        <f t="shared" si="0"/>
        <v>73460</v>
      </c>
      <c r="H10" s="16">
        <f t="shared" si="1"/>
        <v>31.04</v>
      </c>
      <c r="I10" s="15">
        <f t="shared" si="2"/>
        <v>8.8999999999999996E-2</v>
      </c>
      <c r="J10" s="15">
        <f>ROUND(G10/71760-1,2)</f>
        <v>0.02</v>
      </c>
    </row>
    <row r="11" spans="1:10" x14ac:dyDescent="0.25">
      <c r="A11" s="1" t="s">
        <v>16</v>
      </c>
      <c r="B11" s="1" t="s">
        <v>20</v>
      </c>
      <c r="C11" s="10">
        <v>88280</v>
      </c>
      <c r="D11" s="10"/>
      <c r="E11" s="10"/>
      <c r="F11" s="10"/>
      <c r="G11" s="10">
        <f t="shared" si="0"/>
        <v>88280</v>
      </c>
      <c r="H11" s="16">
        <f t="shared" si="1"/>
        <v>37.299999999999997</v>
      </c>
      <c r="I11" s="15">
        <f t="shared" si="2"/>
        <v>0.108</v>
      </c>
      <c r="J11" s="15">
        <f>ROUND(G11/93890-1,2)</f>
        <v>-0.06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75</v>
      </c>
      <c r="F12" s="10"/>
      <c r="G12" s="10">
        <f t="shared" si="0"/>
        <v>75</v>
      </c>
      <c r="H12" s="16">
        <f t="shared" si="1"/>
        <v>0.03</v>
      </c>
      <c r="I12" s="15">
        <f t="shared" si="2"/>
        <v>0</v>
      </c>
      <c r="J12" s="15">
        <f>ROUND(G12/86-1,2)</f>
        <v>-0.13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262</v>
      </c>
      <c r="F13" s="10"/>
      <c r="G13" s="10">
        <f t="shared" si="0"/>
        <v>262</v>
      </c>
      <c r="H13" s="16">
        <f t="shared" si="1"/>
        <v>0.11</v>
      </c>
      <c r="I13" s="15">
        <f t="shared" si="2"/>
        <v>0</v>
      </c>
      <c r="J13" s="15">
        <f>ROUND(G13/303-1,2)</f>
        <v>-0.14000000000000001</v>
      </c>
    </row>
    <row r="14" spans="1:10" x14ac:dyDescent="0.25">
      <c r="A14" s="1" t="s">
        <v>16</v>
      </c>
      <c r="B14" s="1" t="s">
        <v>23</v>
      </c>
      <c r="C14" s="10"/>
      <c r="D14" s="10"/>
      <c r="E14" s="10">
        <v>43000</v>
      </c>
      <c r="F14" s="10"/>
      <c r="G14" s="10">
        <f t="shared" si="0"/>
        <v>43000</v>
      </c>
      <c r="H14" s="16">
        <f t="shared" si="1"/>
        <v>18.170000000000002</v>
      </c>
      <c r="I14" s="15">
        <f t="shared" si="2"/>
        <v>5.1999999999999998E-2</v>
      </c>
      <c r="J14" s="15">
        <f>ROUND(G14/29160-1,2)</f>
        <v>0.47</v>
      </c>
    </row>
    <row r="15" spans="1:10" x14ac:dyDescent="0.25">
      <c r="A15" s="1" t="s">
        <v>16</v>
      </c>
      <c r="B15" s="1" t="s">
        <v>24</v>
      </c>
      <c r="C15" s="10">
        <v>106130</v>
      </c>
      <c r="D15" s="10"/>
      <c r="E15" s="10"/>
      <c r="F15" s="10"/>
      <c r="G15" s="10">
        <f t="shared" si="0"/>
        <v>106130</v>
      </c>
      <c r="H15" s="16">
        <f t="shared" si="1"/>
        <v>44.84</v>
      </c>
      <c r="I15" s="15">
        <f t="shared" si="2"/>
        <v>0.129</v>
      </c>
      <c r="J15" s="15">
        <f>ROUND(G15/99540-1,2)</f>
        <v>7.0000000000000007E-2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1745</v>
      </c>
      <c r="F16" s="10"/>
      <c r="G16" s="10">
        <f t="shared" si="0"/>
        <v>1745</v>
      </c>
      <c r="H16" s="16">
        <f t="shared" si="1"/>
        <v>0.74</v>
      </c>
      <c r="I16" s="15">
        <f t="shared" si="2"/>
        <v>2E-3</v>
      </c>
      <c r="J16" s="15">
        <f>ROUND(G16/3455-1,2)</f>
        <v>-0.49</v>
      </c>
    </row>
    <row r="17" spans="1:10" x14ac:dyDescent="0.25">
      <c r="A17" s="1" t="s">
        <v>16</v>
      </c>
      <c r="B17" s="1" t="s">
        <v>26</v>
      </c>
      <c r="C17" s="10">
        <v>156900</v>
      </c>
      <c r="D17" s="10"/>
      <c r="E17" s="10"/>
      <c r="F17" s="10"/>
      <c r="G17" s="10">
        <f t="shared" si="0"/>
        <v>156900</v>
      </c>
      <c r="H17" s="16">
        <f t="shared" si="1"/>
        <v>66.290000000000006</v>
      </c>
      <c r="I17" s="15">
        <f t="shared" si="2"/>
        <v>0.191</v>
      </c>
      <c r="J17" s="15">
        <f>ROUND(G17/152040-1,2)</f>
        <v>0.03</v>
      </c>
    </row>
    <row r="18" spans="1:10" x14ac:dyDescent="0.25">
      <c r="A18" s="1" t="s">
        <v>16</v>
      </c>
      <c r="B18" s="1" t="s">
        <v>29</v>
      </c>
      <c r="C18" s="10"/>
      <c r="D18" s="10"/>
      <c r="E18" s="10">
        <v>1560</v>
      </c>
      <c r="F18" s="10"/>
      <c r="G18" s="10">
        <f t="shared" si="0"/>
        <v>1560</v>
      </c>
      <c r="H18" s="16">
        <f t="shared" si="1"/>
        <v>0.66</v>
      </c>
      <c r="I18" s="15">
        <f t="shared" si="2"/>
        <v>2E-3</v>
      </c>
      <c r="J18" s="15">
        <f>ROUND(G18/3155-1,2)</f>
        <v>-0.51</v>
      </c>
    </row>
    <row r="19" spans="1:10" x14ac:dyDescent="0.25">
      <c r="A19" s="1" t="s">
        <v>16</v>
      </c>
      <c r="B19" s="1" t="s">
        <v>30</v>
      </c>
      <c r="C19" s="10"/>
      <c r="D19" s="10"/>
      <c r="E19" s="10">
        <v>770</v>
      </c>
      <c r="F19" s="10"/>
      <c r="G19" s="10">
        <f t="shared" si="0"/>
        <v>770</v>
      </c>
      <c r="H19" s="16">
        <f t="shared" si="1"/>
        <v>0.33</v>
      </c>
      <c r="I19" s="15">
        <f t="shared" si="2"/>
        <v>1E-3</v>
      </c>
      <c r="J19" s="15">
        <f>ROUND(G19/340-1,2)</f>
        <v>1.26</v>
      </c>
    </row>
    <row r="20" spans="1:10" x14ac:dyDescent="0.25">
      <c r="A20" s="1" t="s">
        <v>16</v>
      </c>
      <c r="B20" s="1" t="s">
        <v>32</v>
      </c>
      <c r="C20" s="10"/>
      <c r="D20" s="10"/>
      <c r="E20" s="10">
        <v>1470</v>
      </c>
      <c r="F20" s="10"/>
      <c r="G20" s="10">
        <f t="shared" si="0"/>
        <v>1470</v>
      </c>
      <c r="H20" s="16">
        <f t="shared" si="1"/>
        <v>0.62</v>
      </c>
      <c r="I20" s="15">
        <f t="shared" si="2"/>
        <v>2E-3</v>
      </c>
      <c r="J20" s="15">
        <f>ROUND(G20/820-1,2)</f>
        <v>0.79</v>
      </c>
    </row>
    <row r="21" spans="1:10" x14ac:dyDescent="0.25">
      <c r="A21" s="1" t="s">
        <v>16</v>
      </c>
      <c r="B21" s="1" t="s">
        <v>33</v>
      </c>
      <c r="C21" s="10"/>
      <c r="D21" s="10">
        <v>235</v>
      </c>
      <c r="E21" s="10">
        <v>86</v>
      </c>
      <c r="F21" s="10"/>
      <c r="G21" s="10">
        <f t="shared" si="0"/>
        <v>321</v>
      </c>
      <c r="H21" s="16">
        <f t="shared" si="1"/>
        <v>0.14000000000000001</v>
      </c>
      <c r="I21" s="15">
        <f t="shared" si="2"/>
        <v>0</v>
      </c>
      <c r="J21" s="15">
        <f>ROUND(G21/248-1,2)</f>
        <v>0.28999999999999998</v>
      </c>
    </row>
    <row r="22" spans="1:10" x14ac:dyDescent="0.25">
      <c r="A22" s="1" t="s">
        <v>16</v>
      </c>
      <c r="B22" s="1" t="s">
        <v>34</v>
      </c>
      <c r="C22" s="10"/>
      <c r="D22" s="10"/>
      <c r="E22" s="10">
        <v>390</v>
      </c>
      <c r="F22" s="10"/>
      <c r="G22" s="10">
        <f t="shared" si="0"/>
        <v>390</v>
      </c>
      <c r="H22" s="16">
        <f t="shared" si="1"/>
        <v>0.16</v>
      </c>
      <c r="I22" s="15">
        <f t="shared" si="2"/>
        <v>0</v>
      </c>
      <c r="J22" s="15">
        <f>ROUND(G22/670-1,2)</f>
        <v>-0.42</v>
      </c>
    </row>
    <row r="23" spans="1:10" x14ac:dyDescent="0.25">
      <c r="A23" s="1" t="s">
        <v>16</v>
      </c>
      <c r="B23" s="1" t="s">
        <v>35</v>
      </c>
      <c r="C23" s="10"/>
      <c r="D23" s="10">
        <v>80</v>
      </c>
      <c r="E23" s="10"/>
      <c r="F23" s="10"/>
      <c r="G23" s="10">
        <f t="shared" si="0"/>
        <v>80</v>
      </c>
      <c r="H23" s="16">
        <f t="shared" si="1"/>
        <v>0.03</v>
      </c>
      <c r="I23" s="15">
        <f t="shared" si="2"/>
        <v>0</v>
      </c>
      <c r="J23" s="15">
        <f>ROUND(G23/503-1,2)</f>
        <v>-0.84</v>
      </c>
    </row>
    <row r="24" spans="1:10" x14ac:dyDescent="0.25">
      <c r="A24" s="1" t="s">
        <v>16</v>
      </c>
      <c r="B24" s="1" t="s">
        <v>36</v>
      </c>
      <c r="C24" s="10"/>
      <c r="D24" s="10"/>
      <c r="E24" s="10">
        <v>1430</v>
      </c>
      <c r="F24" s="10"/>
      <c r="G24" s="10">
        <f t="shared" si="0"/>
        <v>1430</v>
      </c>
      <c r="H24" s="16">
        <f t="shared" si="1"/>
        <v>0.6</v>
      </c>
      <c r="I24" s="15">
        <f t="shared" si="2"/>
        <v>2E-3</v>
      </c>
      <c r="J24" s="15">
        <f>ROUND(G24/2167-1,2)</f>
        <v>-0.34</v>
      </c>
    </row>
    <row r="25" spans="1:10" x14ac:dyDescent="0.25">
      <c r="A25" s="1" t="s">
        <v>16</v>
      </c>
      <c r="B25" s="1" t="s">
        <v>43</v>
      </c>
      <c r="C25" s="10"/>
      <c r="D25" s="10"/>
      <c r="E25" s="10">
        <v>1845</v>
      </c>
      <c r="F25" s="10"/>
      <c r="G25" s="10">
        <f t="shared" si="0"/>
        <v>1845</v>
      </c>
      <c r="H25" s="16">
        <f t="shared" si="1"/>
        <v>0.78</v>
      </c>
      <c r="I25" s="15">
        <f t="shared" si="2"/>
        <v>2E-3</v>
      </c>
      <c r="J25" s="15">
        <f>ROUND(G25/2856-1,2)</f>
        <v>-0.35</v>
      </c>
    </row>
    <row r="26" spans="1:10" x14ac:dyDescent="0.25">
      <c r="A26" s="1" t="s">
        <v>16</v>
      </c>
      <c r="B26" s="1" t="s">
        <v>37</v>
      </c>
      <c r="C26" s="10"/>
      <c r="D26" s="10"/>
      <c r="E26" s="10">
        <v>3800</v>
      </c>
      <c r="F26" s="10"/>
      <c r="G26" s="10">
        <f t="shared" si="0"/>
        <v>3800</v>
      </c>
      <c r="H26" s="16">
        <f t="shared" si="1"/>
        <v>1.61</v>
      </c>
      <c r="I26" s="15">
        <f t="shared" si="2"/>
        <v>5.0000000000000001E-3</v>
      </c>
      <c r="J26" s="15">
        <f>ROUND(G26/4714-1,2)</f>
        <v>-0.19</v>
      </c>
    </row>
    <row r="27" spans="1:10" x14ac:dyDescent="0.25">
      <c r="A27" s="1" t="s">
        <v>16</v>
      </c>
      <c r="B27" s="1" t="s">
        <v>38</v>
      </c>
      <c r="C27" s="10"/>
      <c r="D27" s="10"/>
      <c r="E27" s="10">
        <v>48060</v>
      </c>
      <c r="F27" s="10"/>
      <c r="G27" s="10">
        <f t="shared" si="0"/>
        <v>48060</v>
      </c>
      <c r="H27" s="16">
        <f t="shared" si="1"/>
        <v>20.3</v>
      </c>
      <c r="I27" s="15">
        <f t="shared" si="2"/>
        <v>5.8999999999999997E-2</v>
      </c>
      <c r="J27" s="15">
        <f>ROUND(G27/46465-1,2)</f>
        <v>0.03</v>
      </c>
    </row>
    <row r="28" spans="1:10" x14ac:dyDescent="0.25">
      <c r="A28" s="1" t="s">
        <v>16</v>
      </c>
      <c r="B28" s="1" t="s">
        <v>40</v>
      </c>
      <c r="C28" s="10"/>
      <c r="D28" s="10"/>
      <c r="E28" s="10">
        <v>17550</v>
      </c>
      <c r="F28" s="10"/>
      <c r="G28" s="10">
        <f t="shared" si="0"/>
        <v>17550</v>
      </c>
      <c r="H28" s="16">
        <f t="shared" si="1"/>
        <v>7.41</v>
      </c>
      <c r="I28" s="15">
        <f t="shared" si="2"/>
        <v>2.1000000000000001E-2</v>
      </c>
      <c r="J28" s="15">
        <f>ROUND(G28/15460-1,2)</f>
        <v>0.14000000000000001</v>
      </c>
    </row>
    <row r="29" spans="1:10" x14ac:dyDescent="0.25">
      <c r="A29" s="1" t="s">
        <v>16</v>
      </c>
      <c r="B29" s="1" t="s">
        <v>41</v>
      </c>
      <c r="C29" s="10"/>
      <c r="D29" s="10"/>
      <c r="E29" s="10">
        <v>71570</v>
      </c>
      <c r="F29" s="10"/>
      <c r="G29" s="10">
        <f t="shared" si="0"/>
        <v>71570</v>
      </c>
      <c r="H29" s="16">
        <f t="shared" si="1"/>
        <v>30.24</v>
      </c>
      <c r="I29" s="15">
        <f t="shared" si="2"/>
        <v>8.6999999999999994E-2</v>
      </c>
      <c r="J29" s="15">
        <f>ROUND(G29/67940-1,2)</f>
        <v>0.05</v>
      </c>
    </row>
    <row r="30" spans="1:10" x14ac:dyDescent="0.25">
      <c r="A30" s="1" t="s">
        <v>16</v>
      </c>
      <c r="B30" s="1" t="s">
        <v>42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>
        <f>ROUND(G30/168-1,2)</f>
        <v>-1</v>
      </c>
    </row>
    <row r="31" spans="1:10" x14ac:dyDescent="0.25">
      <c r="A31" s="1" t="s">
        <v>16</v>
      </c>
      <c r="B31" s="1" t="s">
        <v>22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/>
    </row>
    <row r="32" spans="1:10" x14ac:dyDescent="0.25">
      <c r="A32" s="1" t="s">
        <v>16</v>
      </c>
      <c r="B32" s="1" t="s">
        <v>98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>
        <f>ROUND(G32/62-1,2)</f>
        <v>-1</v>
      </c>
    </row>
    <row r="33" spans="1:10" x14ac:dyDescent="0.25">
      <c r="A33" s="1" t="s">
        <v>44</v>
      </c>
      <c r="B33" s="1" t="s">
        <v>45</v>
      </c>
      <c r="C33" s="10">
        <v>160190</v>
      </c>
      <c r="D33" s="10"/>
      <c r="E33" s="10"/>
      <c r="F33" s="10"/>
      <c r="G33" s="10">
        <f t="shared" si="0"/>
        <v>160190</v>
      </c>
      <c r="H33" s="16">
        <f t="shared" si="1"/>
        <v>67.680000000000007</v>
      </c>
      <c r="I33" s="15">
        <f t="shared" si="2"/>
        <v>0.19500000000000001</v>
      </c>
      <c r="J33" s="15">
        <f>ROUND(G33/154980-1,2)</f>
        <v>0.03</v>
      </c>
    </row>
    <row r="34" spans="1:10" x14ac:dyDescent="0.25">
      <c r="A34" s="1" t="s">
        <v>44</v>
      </c>
      <c r="B34" s="1" t="s">
        <v>46</v>
      </c>
      <c r="C34" s="10"/>
      <c r="D34" s="10"/>
      <c r="E34" s="10">
        <v>42080</v>
      </c>
      <c r="F34" s="10"/>
      <c r="G34" s="10">
        <f t="shared" si="0"/>
        <v>42080</v>
      </c>
      <c r="H34" s="16">
        <f t="shared" si="1"/>
        <v>17.78</v>
      </c>
      <c r="I34" s="15">
        <f t="shared" si="2"/>
        <v>5.0999999999999997E-2</v>
      </c>
      <c r="J34" s="15">
        <f>ROUND(G34/33420-1,2)</f>
        <v>0.26</v>
      </c>
    </row>
    <row r="35" spans="1:10" x14ac:dyDescent="0.25">
      <c r="A35" s="1" t="s">
        <v>44</v>
      </c>
      <c r="B35" s="1" t="s">
        <v>47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48</v>
      </c>
      <c r="B36" s="1" t="s">
        <v>51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/>
    </row>
    <row r="37" spans="1:10" x14ac:dyDescent="0.25">
      <c r="A37" s="30" t="s">
        <v>12</v>
      </c>
      <c r="B37" s="30"/>
      <c r="C37" s="11">
        <f t="shared" ref="C37:H37" si="3">SUM(C8:C36)</f>
        <v>584960</v>
      </c>
      <c r="D37" s="11">
        <f t="shared" si="3"/>
        <v>315</v>
      </c>
      <c r="E37" s="11">
        <f t="shared" si="3"/>
        <v>235753</v>
      </c>
      <c r="F37" s="11">
        <f t="shared" si="3"/>
        <v>0</v>
      </c>
      <c r="G37" s="11">
        <f t="shared" si="3"/>
        <v>821028</v>
      </c>
      <c r="H37" s="14">
        <f t="shared" si="3"/>
        <v>346.89</v>
      </c>
      <c r="I37" s="17"/>
      <c r="J37" s="17"/>
    </row>
    <row r="38" spans="1:10" x14ac:dyDescent="0.25">
      <c r="A38" s="30" t="s">
        <v>14</v>
      </c>
      <c r="B38" s="30"/>
      <c r="C38" s="12">
        <f>ROUND(C37/G37,2)</f>
        <v>0.71</v>
      </c>
      <c r="D38" s="12">
        <f>ROUND(D37/G37,2)</f>
        <v>0</v>
      </c>
      <c r="E38" s="12">
        <f>ROUND(E37/G37,2)</f>
        <v>0.28999999999999998</v>
      </c>
      <c r="F38" s="12">
        <f>ROUND(F37/G37,2)</f>
        <v>0</v>
      </c>
      <c r="G38" s="13"/>
      <c r="H38" s="13"/>
      <c r="I38" s="17"/>
      <c r="J38" s="17"/>
    </row>
    <row r="39" spans="1:10" x14ac:dyDescent="0.25">
      <c r="A39" s="2" t="s">
        <v>52</v>
      </c>
      <c r="B39" s="2"/>
      <c r="C39" s="13"/>
      <c r="D39" s="13"/>
      <c r="E39" s="13"/>
      <c r="F39" s="13"/>
      <c r="G39" s="13"/>
      <c r="H39" s="13"/>
      <c r="I39" s="17"/>
      <c r="J39" s="17"/>
    </row>
    <row r="40" spans="1:10" x14ac:dyDescent="0.25">
      <c r="C40" s="8"/>
      <c r="D40" s="8"/>
      <c r="E40" s="8"/>
      <c r="F40" s="8"/>
      <c r="G40" s="8"/>
      <c r="H40" s="8"/>
      <c r="I40" s="9"/>
      <c r="J40" s="9"/>
    </row>
    <row r="41" spans="1:10" x14ac:dyDescent="0.25">
      <c r="C41" s="8"/>
      <c r="D41" s="8"/>
      <c r="E41" s="8"/>
      <c r="F41" s="8"/>
      <c r="G41" s="8"/>
      <c r="H41" s="8"/>
      <c r="I41" s="9"/>
      <c r="J41" s="9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A43" s="30" t="s">
        <v>53</v>
      </c>
      <c r="B43" s="30"/>
      <c r="C43" s="11" t="s">
        <v>8</v>
      </c>
      <c r="D43" s="11" t="s">
        <v>9</v>
      </c>
      <c r="E43" s="11" t="s">
        <v>10</v>
      </c>
      <c r="F43" s="11" t="s">
        <v>11</v>
      </c>
      <c r="G43" s="11" t="s">
        <v>12</v>
      </c>
      <c r="H43" s="14" t="s">
        <v>13</v>
      </c>
      <c r="I43" s="17"/>
      <c r="J43" s="17"/>
    </row>
    <row r="44" spans="1:10" x14ac:dyDescent="0.25">
      <c r="A44" s="29" t="s">
        <v>54</v>
      </c>
      <c r="B44" s="29"/>
      <c r="C44" s="10">
        <v>424770</v>
      </c>
      <c r="D44" s="10">
        <v>315</v>
      </c>
      <c r="E44" s="10">
        <v>193673</v>
      </c>
      <c r="F44" s="10">
        <v>0</v>
      </c>
      <c r="G44" s="10">
        <f>SUM(C44:F44)</f>
        <v>618758</v>
      </c>
      <c r="H44" s="16">
        <f>ROUND(G44/2367,2)</f>
        <v>261.41000000000003</v>
      </c>
      <c r="I44" s="9"/>
      <c r="J44" s="9"/>
    </row>
    <row r="45" spans="1:10" x14ac:dyDescent="0.25">
      <c r="A45" s="29" t="s">
        <v>55</v>
      </c>
      <c r="B45" s="29"/>
      <c r="C45" s="10">
        <v>160190</v>
      </c>
      <c r="D45" s="10">
        <v>0</v>
      </c>
      <c r="E45" s="10">
        <v>42080</v>
      </c>
      <c r="F45" s="10">
        <v>0</v>
      </c>
      <c r="G45" s="10">
        <f>SUM(C45:F45)</f>
        <v>202270</v>
      </c>
      <c r="H45" s="16">
        <f>ROUND(G45/2367,2)</f>
        <v>85.45</v>
      </c>
      <c r="I45" s="9"/>
      <c r="J45" s="9"/>
    </row>
    <row r="46" spans="1:10" x14ac:dyDescent="0.25">
      <c r="A46" s="29" t="s">
        <v>56</v>
      </c>
      <c r="B46" s="29"/>
      <c r="C46" s="10">
        <v>0</v>
      </c>
      <c r="D46" s="10">
        <v>0</v>
      </c>
      <c r="E46" s="10">
        <v>0</v>
      </c>
      <c r="F46" s="10">
        <v>0</v>
      </c>
      <c r="G46" s="10">
        <f>SUM(C46:F46)</f>
        <v>0</v>
      </c>
      <c r="H46" s="16">
        <f>ROUND(G46/2367,2)</f>
        <v>0</v>
      </c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A51" s="30" t="s">
        <v>57</v>
      </c>
      <c r="B51" s="30"/>
      <c r="C51" s="14" t="s">
        <v>2</v>
      </c>
      <c r="D51" s="14">
        <v>2023</v>
      </c>
      <c r="E51" s="14" t="s">
        <v>59</v>
      </c>
      <c r="F51" s="13"/>
      <c r="G51" s="14" t="s">
        <v>60</v>
      </c>
      <c r="H51" s="14" t="s">
        <v>2</v>
      </c>
      <c r="I51" s="12" t="s">
        <v>61</v>
      </c>
      <c r="J51" s="12" t="s">
        <v>59</v>
      </c>
    </row>
    <row r="52" spans="1:10" x14ac:dyDescent="0.25">
      <c r="A52" s="29" t="s">
        <v>58</v>
      </c>
      <c r="B52" s="29"/>
      <c r="C52" s="15">
        <f>ROUND(0.7934, 4)</f>
        <v>0.79339999999999999</v>
      </c>
      <c r="D52" s="15">
        <f>ROUND(0.79, 4)</f>
        <v>0.79</v>
      </c>
      <c r="E52" s="15">
        <f>ROUND(0.777, 4)</f>
        <v>0.77700000000000002</v>
      </c>
      <c r="F52" s="8"/>
      <c r="G52" s="14" t="s">
        <v>62</v>
      </c>
      <c r="H52" s="33" t="s">
        <v>63</v>
      </c>
      <c r="I52" s="31" t="s">
        <v>64</v>
      </c>
      <c r="J52" s="31" t="s">
        <v>65</v>
      </c>
    </row>
    <row r="53" spans="1:10" x14ac:dyDescent="0.25">
      <c r="A53" s="29" t="s">
        <v>66</v>
      </c>
      <c r="B53" s="29"/>
      <c r="C53" s="15">
        <f>ROUND(0.7813, 4)</f>
        <v>0.78129999999999999</v>
      </c>
      <c r="D53" s="15">
        <f>ROUND(0.7777, 4)</f>
        <v>0.77769999999999995</v>
      </c>
      <c r="E53" s="15">
        <f>ROUND(0.7608, 4)</f>
        <v>0.76080000000000003</v>
      </c>
      <c r="F53" s="8"/>
      <c r="G53" s="14" t="s">
        <v>67</v>
      </c>
      <c r="H53" s="34"/>
      <c r="I53" s="32"/>
      <c r="J53" s="32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A57" s="30" t="s">
        <v>68</v>
      </c>
      <c r="B57" s="30"/>
      <c r="C57" s="14" t="s">
        <v>2</v>
      </c>
      <c r="D57" s="14" t="s">
        <v>290</v>
      </c>
      <c r="E57" s="14" t="s">
        <v>70</v>
      </c>
      <c r="F57" s="14" t="s">
        <v>71</v>
      </c>
      <c r="G57" s="20" t="s">
        <v>72</v>
      </c>
      <c r="H57" s="13"/>
      <c r="I57" s="17"/>
      <c r="J57" s="17"/>
    </row>
    <row r="58" spans="1:10" x14ac:dyDescent="0.25">
      <c r="A58" s="29" t="s">
        <v>73</v>
      </c>
      <c r="B58" s="29"/>
      <c r="C58" s="16">
        <v>67.680000000000007</v>
      </c>
      <c r="D58" s="16">
        <v>66.900000000000006</v>
      </c>
      <c r="E58" s="16">
        <v>93.87</v>
      </c>
      <c r="F58" s="16">
        <v>57.16</v>
      </c>
      <c r="G58" s="22">
        <f>12/12*C58</f>
        <v>67.680000000000007</v>
      </c>
      <c r="H58" s="8"/>
      <c r="I58" s="9"/>
      <c r="J58" s="9"/>
    </row>
    <row r="59" spans="1:10" x14ac:dyDescent="0.25">
      <c r="A59" s="29" t="s">
        <v>74</v>
      </c>
      <c r="B59" s="29"/>
      <c r="C59" s="16">
        <v>66.290000000000006</v>
      </c>
      <c r="D59" s="16">
        <v>63.32</v>
      </c>
      <c r="E59" s="16">
        <v>62.84</v>
      </c>
      <c r="F59" s="16">
        <v>65.39</v>
      </c>
      <c r="G59" s="16">
        <f>12/12*C59</f>
        <v>66.290000000000006</v>
      </c>
      <c r="H59" s="8"/>
      <c r="I59" s="9"/>
      <c r="J59" s="9"/>
    </row>
    <row r="60" spans="1:10" x14ac:dyDescent="0.25">
      <c r="A60" s="29" t="s">
        <v>75</v>
      </c>
      <c r="B60" s="29"/>
      <c r="C60" s="16">
        <v>261.41000000000003</v>
      </c>
      <c r="D60" s="16">
        <v>260.02999999999997</v>
      </c>
      <c r="E60" s="16">
        <v>295.08999999999997</v>
      </c>
      <c r="F60" s="16">
        <v>289.06</v>
      </c>
      <c r="G60" s="16">
        <f>12/12*C60</f>
        <v>261.41000000000003</v>
      </c>
      <c r="H60" s="8"/>
      <c r="I60" s="9"/>
      <c r="J60" s="9"/>
    </row>
    <row r="61" spans="1:10" x14ac:dyDescent="0.25">
      <c r="A61" s="29" t="s">
        <v>76</v>
      </c>
      <c r="B61" s="29"/>
      <c r="C61" s="16">
        <v>85.45</v>
      </c>
      <c r="D61" s="16">
        <v>84.45</v>
      </c>
      <c r="E61" s="16">
        <v>118.05</v>
      </c>
      <c r="F61" s="16">
        <v>81.41</v>
      </c>
      <c r="G61" s="16">
        <f>12/12*C61</f>
        <v>85.45</v>
      </c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A64" s="28" t="s">
        <v>60</v>
      </c>
      <c r="B64" s="35"/>
      <c r="C64" s="8"/>
      <c r="D64" s="8"/>
      <c r="E64" s="8"/>
      <c r="F64" s="8"/>
      <c r="G64" s="8"/>
      <c r="H64" s="8"/>
      <c r="I64" s="9"/>
      <c r="J64" s="9"/>
    </row>
    <row r="65" spans="1:10" x14ac:dyDescent="0.25">
      <c r="A65" s="3" t="s">
        <v>77</v>
      </c>
      <c r="B65" s="1" t="s">
        <v>291</v>
      </c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3" t="s">
        <v>70</v>
      </c>
      <c r="B66" s="1" t="s">
        <v>79</v>
      </c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71</v>
      </c>
      <c r="B67" s="1" t="s">
        <v>80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72</v>
      </c>
      <c r="B68" s="1" t="s">
        <v>81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  <row r="71" spans="1:10" x14ac:dyDescent="0.25"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</sheetData>
  <mergeCells count="19">
    <mergeCell ref="A59:B59"/>
    <mergeCell ref="A60:B60"/>
    <mergeCell ref="A61:B61"/>
    <mergeCell ref="A64:B64"/>
    <mergeCell ref="I52:I53"/>
    <mergeCell ref="J52:J53"/>
    <mergeCell ref="A53:B53"/>
    <mergeCell ref="A57:B57"/>
    <mergeCell ref="A58:B58"/>
    <mergeCell ref="A45:B45"/>
    <mergeCell ref="A46:B46"/>
    <mergeCell ref="A51:B51"/>
    <mergeCell ref="A52:B52"/>
    <mergeCell ref="H52:H53"/>
    <mergeCell ref="C7:G7"/>
    <mergeCell ref="A37:B37"/>
    <mergeCell ref="A38:B38"/>
    <mergeCell ref="A43:B43"/>
    <mergeCell ref="A44:B44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2:J75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30.285156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292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6251</v>
      </c>
    </row>
    <row r="7" spans="1:10" x14ac:dyDescent="0.25">
      <c r="C7" s="28" t="s">
        <v>5</v>
      </c>
      <c r="D7" s="29"/>
      <c r="E7" s="29"/>
      <c r="F7" s="29"/>
      <c r="G7" s="29"/>
    </row>
    <row r="8" spans="1:10" x14ac:dyDescent="0.25">
      <c r="A8" s="25" t="s">
        <v>6</v>
      </c>
      <c r="B8" s="25" t="s">
        <v>7</v>
      </c>
      <c r="C8" s="27" t="s">
        <v>8</v>
      </c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225</v>
      </c>
      <c r="F9" s="10"/>
      <c r="G9" s="10">
        <f t="shared" ref="G9:G43" si="0">SUM(C9:F9)</f>
        <v>225</v>
      </c>
      <c r="H9" s="16">
        <f t="shared" ref="H9:H43" si="1">ROUND(G9/6251,2)</f>
        <v>0.04</v>
      </c>
      <c r="I9" s="15">
        <f t="shared" ref="I9:I43" si="2">ROUND(G9/$G$44,3)</f>
        <v>0</v>
      </c>
      <c r="J9" s="15">
        <f>ROUND(G9/321-1,2)</f>
        <v>-0.3</v>
      </c>
    </row>
    <row r="10" spans="1:10" x14ac:dyDescent="0.25">
      <c r="A10" s="1" t="s">
        <v>16</v>
      </c>
      <c r="B10" s="1" t="s">
        <v>19</v>
      </c>
      <c r="C10" s="10">
        <v>141110</v>
      </c>
      <c r="D10" s="10"/>
      <c r="E10" s="10"/>
      <c r="F10" s="10"/>
      <c r="G10" s="10">
        <f t="shared" si="0"/>
        <v>141110</v>
      </c>
      <c r="H10" s="16">
        <f t="shared" si="1"/>
        <v>22.57</v>
      </c>
      <c r="I10" s="15">
        <f t="shared" si="2"/>
        <v>5.1999999999999998E-2</v>
      </c>
      <c r="J10" s="15">
        <f>ROUND(G10/133150-1,2)</f>
        <v>0.06</v>
      </c>
    </row>
    <row r="11" spans="1:10" x14ac:dyDescent="0.25">
      <c r="A11" s="1" t="s">
        <v>16</v>
      </c>
      <c r="B11" s="1" t="s">
        <v>20</v>
      </c>
      <c r="C11" s="10">
        <v>188520</v>
      </c>
      <c r="D11" s="10"/>
      <c r="E11" s="10"/>
      <c r="F11" s="10"/>
      <c r="G11" s="10">
        <f t="shared" si="0"/>
        <v>188520</v>
      </c>
      <c r="H11" s="16">
        <f t="shared" si="1"/>
        <v>30.16</v>
      </c>
      <c r="I11" s="15">
        <f t="shared" si="2"/>
        <v>6.9000000000000006E-2</v>
      </c>
      <c r="J11" s="15">
        <f>ROUND(G11/192830-1,2)</f>
        <v>-0.02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408</v>
      </c>
      <c r="F12" s="10"/>
      <c r="G12" s="10">
        <f t="shared" si="0"/>
        <v>408</v>
      </c>
      <c r="H12" s="16">
        <f t="shared" si="1"/>
        <v>7.0000000000000007E-2</v>
      </c>
      <c r="I12" s="15">
        <f t="shared" si="2"/>
        <v>0</v>
      </c>
      <c r="J12" s="15">
        <f>ROUND(G12/293-1,2)</f>
        <v>0.39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497</v>
      </c>
      <c r="F13" s="10"/>
      <c r="G13" s="10">
        <f t="shared" si="0"/>
        <v>497</v>
      </c>
      <c r="H13" s="16">
        <f t="shared" si="1"/>
        <v>0.08</v>
      </c>
      <c r="I13" s="15">
        <f t="shared" si="2"/>
        <v>0</v>
      </c>
      <c r="J13" s="15">
        <f>ROUND(G13/377-1,2)</f>
        <v>0.32</v>
      </c>
    </row>
    <row r="14" spans="1:10" x14ac:dyDescent="0.25">
      <c r="A14" s="1" t="s">
        <v>16</v>
      </c>
      <c r="B14" s="1" t="s">
        <v>22</v>
      </c>
      <c r="C14" s="10"/>
      <c r="D14" s="10"/>
      <c r="E14" s="10">
        <v>3100</v>
      </c>
      <c r="F14" s="10"/>
      <c r="G14" s="10">
        <f t="shared" si="0"/>
        <v>3100</v>
      </c>
      <c r="H14" s="16">
        <f t="shared" si="1"/>
        <v>0.5</v>
      </c>
      <c r="I14" s="15">
        <f t="shared" si="2"/>
        <v>1E-3</v>
      </c>
      <c r="J14" s="15">
        <f>ROUND(G14/4100-1,2)</f>
        <v>-0.24</v>
      </c>
    </row>
    <row r="15" spans="1:10" x14ac:dyDescent="0.25">
      <c r="A15" s="1" t="s">
        <v>16</v>
      </c>
      <c r="B15" s="1" t="s">
        <v>223</v>
      </c>
      <c r="C15" s="10"/>
      <c r="D15" s="10"/>
      <c r="E15" s="10"/>
      <c r="F15" s="10"/>
      <c r="G15" s="10">
        <f t="shared" si="0"/>
        <v>0</v>
      </c>
      <c r="H15" s="16">
        <f t="shared" si="1"/>
        <v>0</v>
      </c>
      <c r="I15" s="15">
        <f t="shared" si="2"/>
        <v>0</v>
      </c>
      <c r="J15" s="15"/>
    </row>
    <row r="16" spans="1:10" x14ac:dyDescent="0.25">
      <c r="A16" s="1" t="s">
        <v>16</v>
      </c>
      <c r="B16" s="1" t="s">
        <v>23</v>
      </c>
      <c r="C16" s="10"/>
      <c r="D16" s="10"/>
      <c r="E16" s="10">
        <v>287480</v>
      </c>
      <c r="F16" s="10"/>
      <c r="G16" s="10">
        <f t="shared" si="0"/>
        <v>287480</v>
      </c>
      <c r="H16" s="16">
        <f t="shared" si="1"/>
        <v>45.99</v>
      </c>
      <c r="I16" s="15">
        <f t="shared" si="2"/>
        <v>0.106</v>
      </c>
      <c r="J16" s="15">
        <f>ROUND(G16/157660-1,2)</f>
        <v>0.82</v>
      </c>
    </row>
    <row r="17" spans="1:10" x14ac:dyDescent="0.25">
      <c r="A17" s="1" t="s">
        <v>16</v>
      </c>
      <c r="B17" s="1" t="s">
        <v>24</v>
      </c>
      <c r="C17" s="10">
        <v>229390</v>
      </c>
      <c r="D17" s="10"/>
      <c r="E17" s="10">
        <v>9700</v>
      </c>
      <c r="F17" s="10"/>
      <c r="G17" s="10">
        <f t="shared" si="0"/>
        <v>239090</v>
      </c>
      <c r="H17" s="16">
        <f t="shared" si="1"/>
        <v>38.25</v>
      </c>
      <c r="I17" s="15">
        <f t="shared" si="2"/>
        <v>8.7999999999999995E-2</v>
      </c>
      <c r="J17" s="15">
        <f>ROUND(G17/213850-1,2)</f>
        <v>0.12</v>
      </c>
    </row>
    <row r="18" spans="1:10" x14ac:dyDescent="0.25">
      <c r="A18" s="1" t="s">
        <v>16</v>
      </c>
      <c r="B18" s="1" t="s">
        <v>25</v>
      </c>
      <c r="C18" s="10"/>
      <c r="D18" s="10"/>
      <c r="E18" s="10">
        <v>12435</v>
      </c>
      <c r="F18" s="10"/>
      <c r="G18" s="10">
        <f t="shared" si="0"/>
        <v>12435</v>
      </c>
      <c r="H18" s="16">
        <f t="shared" si="1"/>
        <v>1.99</v>
      </c>
      <c r="I18" s="15">
        <f t="shared" si="2"/>
        <v>5.0000000000000001E-3</v>
      </c>
      <c r="J18" s="15">
        <f>ROUND(G18/15545-1,2)</f>
        <v>-0.2</v>
      </c>
    </row>
    <row r="19" spans="1:10" x14ac:dyDescent="0.25">
      <c r="A19" s="1" t="s">
        <v>16</v>
      </c>
      <c r="B19" s="1" t="s">
        <v>26</v>
      </c>
      <c r="C19" s="10">
        <v>304290</v>
      </c>
      <c r="D19" s="10"/>
      <c r="E19" s="10"/>
      <c r="F19" s="10">
        <v>1290</v>
      </c>
      <c r="G19" s="10">
        <f t="shared" si="0"/>
        <v>305580</v>
      </c>
      <c r="H19" s="16">
        <f t="shared" si="1"/>
        <v>48.88</v>
      </c>
      <c r="I19" s="15">
        <f t="shared" si="2"/>
        <v>0.112</v>
      </c>
      <c r="J19" s="15">
        <f>ROUND(G19/290920-1,2)</f>
        <v>0.05</v>
      </c>
    </row>
    <row r="20" spans="1:10" x14ac:dyDescent="0.25">
      <c r="A20" s="1" t="s">
        <v>16</v>
      </c>
      <c r="B20" s="1" t="s">
        <v>27</v>
      </c>
      <c r="C20" s="10"/>
      <c r="D20" s="10"/>
      <c r="E20" s="10">
        <v>805</v>
      </c>
      <c r="F20" s="10"/>
      <c r="G20" s="10">
        <f t="shared" si="0"/>
        <v>805</v>
      </c>
      <c r="H20" s="16">
        <f t="shared" si="1"/>
        <v>0.13</v>
      </c>
      <c r="I20" s="15">
        <f t="shared" si="2"/>
        <v>0</v>
      </c>
      <c r="J20" s="15">
        <f>ROUND(G20/711-1,2)</f>
        <v>0.13</v>
      </c>
    </row>
    <row r="21" spans="1:10" x14ac:dyDescent="0.25">
      <c r="A21" s="1" t="s">
        <v>16</v>
      </c>
      <c r="B21" s="1" t="s">
        <v>28</v>
      </c>
      <c r="C21" s="10"/>
      <c r="D21" s="10"/>
      <c r="E21" s="10">
        <v>351</v>
      </c>
      <c r="F21" s="10"/>
      <c r="G21" s="10">
        <f t="shared" si="0"/>
        <v>351</v>
      </c>
      <c r="H21" s="16">
        <f t="shared" si="1"/>
        <v>0.06</v>
      </c>
      <c r="I21" s="15">
        <f t="shared" si="2"/>
        <v>0</v>
      </c>
      <c r="J21" s="15">
        <f>ROUND(G21/357-1,2)</f>
        <v>-0.02</v>
      </c>
    </row>
    <row r="22" spans="1:10" x14ac:dyDescent="0.25">
      <c r="A22" s="1" t="s">
        <v>16</v>
      </c>
      <c r="B22" s="1" t="s">
        <v>29</v>
      </c>
      <c r="C22" s="10"/>
      <c r="D22" s="10"/>
      <c r="E22" s="10">
        <v>8090</v>
      </c>
      <c r="F22" s="10"/>
      <c r="G22" s="10">
        <f t="shared" si="0"/>
        <v>8090</v>
      </c>
      <c r="H22" s="16">
        <f t="shared" si="1"/>
        <v>1.29</v>
      </c>
      <c r="I22" s="15">
        <f t="shared" si="2"/>
        <v>3.0000000000000001E-3</v>
      </c>
      <c r="J22" s="15">
        <f>ROUND(G22/14650-1,2)</f>
        <v>-0.45</v>
      </c>
    </row>
    <row r="23" spans="1:10" x14ac:dyDescent="0.25">
      <c r="A23" s="1" t="s">
        <v>16</v>
      </c>
      <c r="B23" s="1" t="s">
        <v>30</v>
      </c>
      <c r="C23" s="10"/>
      <c r="D23" s="10"/>
      <c r="E23" s="10">
        <v>2760</v>
      </c>
      <c r="F23" s="10"/>
      <c r="G23" s="10">
        <f t="shared" si="0"/>
        <v>2760</v>
      </c>
      <c r="H23" s="16">
        <f t="shared" si="1"/>
        <v>0.44</v>
      </c>
      <c r="I23" s="15">
        <f t="shared" si="2"/>
        <v>1E-3</v>
      </c>
      <c r="J23" s="15">
        <f>ROUND(G23/3160-1,2)</f>
        <v>-0.13</v>
      </c>
    </row>
    <row r="24" spans="1:10" x14ac:dyDescent="0.25">
      <c r="A24" s="1" t="s">
        <v>16</v>
      </c>
      <c r="B24" s="1" t="s">
        <v>31</v>
      </c>
      <c r="C24" s="10"/>
      <c r="D24" s="10"/>
      <c r="E24" s="10">
        <v>1370</v>
      </c>
      <c r="F24" s="10"/>
      <c r="G24" s="10">
        <f t="shared" si="0"/>
        <v>1370</v>
      </c>
      <c r="H24" s="16">
        <f t="shared" si="1"/>
        <v>0.22</v>
      </c>
      <c r="I24" s="15">
        <f t="shared" si="2"/>
        <v>1E-3</v>
      </c>
      <c r="J24" s="15">
        <f>ROUND(G24/1300-1,2)</f>
        <v>0.05</v>
      </c>
    </row>
    <row r="25" spans="1:10" x14ac:dyDescent="0.25">
      <c r="A25" s="1" t="s">
        <v>16</v>
      </c>
      <c r="B25" s="1" t="s">
        <v>32</v>
      </c>
      <c r="C25" s="10"/>
      <c r="D25" s="10"/>
      <c r="E25" s="10">
        <v>6250</v>
      </c>
      <c r="F25" s="10"/>
      <c r="G25" s="10">
        <f t="shared" si="0"/>
        <v>6250</v>
      </c>
      <c r="H25" s="16">
        <f t="shared" si="1"/>
        <v>1</v>
      </c>
      <c r="I25" s="15">
        <f t="shared" si="2"/>
        <v>2E-3</v>
      </c>
      <c r="J25" s="15">
        <f>ROUND(G25/4745-1,2)</f>
        <v>0.32</v>
      </c>
    </row>
    <row r="26" spans="1:10" x14ac:dyDescent="0.25">
      <c r="A26" s="1" t="s">
        <v>16</v>
      </c>
      <c r="B26" s="1" t="s">
        <v>33</v>
      </c>
      <c r="C26" s="10"/>
      <c r="D26" s="10">
        <v>128</v>
      </c>
      <c r="E26" s="10">
        <v>172</v>
      </c>
      <c r="F26" s="10"/>
      <c r="G26" s="10">
        <f t="shared" si="0"/>
        <v>300</v>
      </c>
      <c r="H26" s="16">
        <f t="shared" si="1"/>
        <v>0.05</v>
      </c>
      <c r="I26" s="15">
        <f t="shared" si="2"/>
        <v>0</v>
      </c>
      <c r="J26" s="15">
        <f>ROUND(G26/137-1,2)</f>
        <v>1.19</v>
      </c>
    </row>
    <row r="27" spans="1:10" x14ac:dyDescent="0.25">
      <c r="A27" s="1" t="s">
        <v>16</v>
      </c>
      <c r="B27" s="1" t="s">
        <v>35</v>
      </c>
      <c r="C27" s="10"/>
      <c r="D27" s="10"/>
      <c r="E27" s="10">
        <v>210</v>
      </c>
      <c r="F27" s="10"/>
      <c r="G27" s="10">
        <f t="shared" si="0"/>
        <v>210</v>
      </c>
      <c r="H27" s="16">
        <f t="shared" si="1"/>
        <v>0.03</v>
      </c>
      <c r="I27" s="15">
        <f t="shared" si="2"/>
        <v>0</v>
      </c>
      <c r="J27" s="15">
        <f>ROUND(G27/1086-1,2)</f>
        <v>-0.81</v>
      </c>
    </row>
    <row r="28" spans="1:10" x14ac:dyDescent="0.25">
      <c r="A28" s="1" t="s">
        <v>16</v>
      </c>
      <c r="B28" s="1" t="s">
        <v>34</v>
      </c>
      <c r="C28" s="10"/>
      <c r="D28" s="10"/>
      <c r="E28" s="10">
        <v>620</v>
      </c>
      <c r="F28" s="10"/>
      <c r="G28" s="10">
        <f t="shared" si="0"/>
        <v>620</v>
      </c>
      <c r="H28" s="16">
        <f t="shared" si="1"/>
        <v>0.1</v>
      </c>
      <c r="I28" s="15">
        <f t="shared" si="2"/>
        <v>0</v>
      </c>
      <c r="J28" s="15">
        <f>ROUND(G28/2900-1,2)</f>
        <v>-0.79</v>
      </c>
    </row>
    <row r="29" spans="1:10" x14ac:dyDescent="0.25">
      <c r="A29" s="1" t="s">
        <v>16</v>
      </c>
      <c r="B29" s="1" t="s">
        <v>37</v>
      </c>
      <c r="C29" s="10"/>
      <c r="D29" s="10"/>
      <c r="E29" s="10">
        <v>12130</v>
      </c>
      <c r="F29" s="10"/>
      <c r="G29" s="10">
        <f t="shared" si="0"/>
        <v>12130</v>
      </c>
      <c r="H29" s="16">
        <f t="shared" si="1"/>
        <v>1.94</v>
      </c>
      <c r="I29" s="15">
        <f t="shared" si="2"/>
        <v>4.0000000000000001E-3</v>
      </c>
      <c r="J29" s="15">
        <f>ROUND(G29/19660-1,2)</f>
        <v>-0.38</v>
      </c>
    </row>
    <row r="30" spans="1:10" x14ac:dyDescent="0.25">
      <c r="A30" s="1" t="s">
        <v>16</v>
      </c>
      <c r="B30" s="1" t="s">
        <v>43</v>
      </c>
      <c r="C30" s="10"/>
      <c r="D30" s="10"/>
      <c r="E30" s="10">
        <v>7914</v>
      </c>
      <c r="F30" s="10"/>
      <c r="G30" s="10">
        <f t="shared" si="0"/>
        <v>7914</v>
      </c>
      <c r="H30" s="16">
        <f t="shared" si="1"/>
        <v>1.27</v>
      </c>
      <c r="I30" s="15">
        <f t="shared" si="2"/>
        <v>3.0000000000000001E-3</v>
      </c>
      <c r="J30" s="15">
        <f>ROUND(G30/16236-1,2)</f>
        <v>-0.51</v>
      </c>
    </row>
    <row r="31" spans="1:10" x14ac:dyDescent="0.25">
      <c r="A31" s="1" t="s">
        <v>16</v>
      </c>
      <c r="B31" s="1" t="s">
        <v>38</v>
      </c>
      <c r="C31" s="10"/>
      <c r="D31" s="10"/>
      <c r="E31" s="10">
        <v>207815</v>
      </c>
      <c r="F31" s="10"/>
      <c r="G31" s="10">
        <f t="shared" si="0"/>
        <v>207815</v>
      </c>
      <c r="H31" s="16">
        <f t="shared" si="1"/>
        <v>33.25</v>
      </c>
      <c r="I31" s="15">
        <f t="shared" si="2"/>
        <v>7.5999999999999998E-2</v>
      </c>
      <c r="J31" s="15">
        <f>ROUND(G31/153050-1,2)</f>
        <v>0.36</v>
      </c>
    </row>
    <row r="32" spans="1:10" x14ac:dyDescent="0.25">
      <c r="A32" s="1" t="s">
        <v>16</v>
      </c>
      <c r="B32" s="1" t="s">
        <v>39</v>
      </c>
      <c r="C32" s="10"/>
      <c r="D32" s="10"/>
      <c r="E32" s="10">
        <v>31920</v>
      </c>
      <c r="F32" s="10"/>
      <c r="G32" s="10">
        <f t="shared" si="0"/>
        <v>31920</v>
      </c>
      <c r="H32" s="16">
        <f t="shared" si="1"/>
        <v>5.1100000000000003</v>
      </c>
      <c r="I32" s="15">
        <f t="shared" si="2"/>
        <v>1.2E-2</v>
      </c>
      <c r="J32" s="15">
        <f>ROUND(G32/29650-1,2)</f>
        <v>0.08</v>
      </c>
    </row>
    <row r="33" spans="1:10" x14ac:dyDescent="0.25">
      <c r="A33" s="1" t="s">
        <v>16</v>
      </c>
      <c r="B33" s="1" t="s">
        <v>40</v>
      </c>
      <c r="C33" s="10"/>
      <c r="D33" s="10"/>
      <c r="E33" s="10">
        <v>51970</v>
      </c>
      <c r="F33" s="10"/>
      <c r="G33" s="10">
        <f t="shared" si="0"/>
        <v>51970</v>
      </c>
      <c r="H33" s="16">
        <f t="shared" si="1"/>
        <v>8.31</v>
      </c>
      <c r="I33" s="15">
        <f t="shared" si="2"/>
        <v>1.9E-2</v>
      </c>
      <c r="J33" s="15">
        <f>ROUND(G33/38550-1,2)</f>
        <v>0.35</v>
      </c>
    </row>
    <row r="34" spans="1:10" x14ac:dyDescent="0.25">
      <c r="A34" s="1" t="s">
        <v>16</v>
      </c>
      <c r="B34" s="1" t="s">
        <v>41</v>
      </c>
      <c r="C34" s="10"/>
      <c r="D34" s="10">
        <v>53960</v>
      </c>
      <c r="E34" s="10">
        <v>523820</v>
      </c>
      <c r="F34" s="10"/>
      <c r="G34" s="10">
        <f t="shared" si="0"/>
        <v>577780</v>
      </c>
      <c r="H34" s="16">
        <f t="shared" si="1"/>
        <v>92.43</v>
      </c>
      <c r="I34" s="15">
        <f t="shared" si="2"/>
        <v>0.21299999999999999</v>
      </c>
      <c r="J34" s="15">
        <f>ROUND(G34/615780-1,2)</f>
        <v>-0.06</v>
      </c>
    </row>
    <row r="35" spans="1:10" x14ac:dyDescent="0.25">
      <c r="A35" s="1" t="s">
        <v>16</v>
      </c>
      <c r="B35" s="1" t="s">
        <v>42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>
        <f>ROUND(G35/242-1,2)</f>
        <v>-1</v>
      </c>
    </row>
    <row r="36" spans="1:10" x14ac:dyDescent="0.25">
      <c r="A36" s="1" t="s">
        <v>16</v>
      </c>
      <c r="B36" s="1" t="s">
        <v>36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>
        <f>ROUND(G36/6120-1,2)</f>
        <v>-1</v>
      </c>
    </row>
    <row r="37" spans="1:10" x14ac:dyDescent="0.25">
      <c r="A37" s="1" t="s">
        <v>16</v>
      </c>
      <c r="B37" s="1" t="s">
        <v>227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1" t="s">
        <v>44</v>
      </c>
      <c r="B38" s="1" t="s">
        <v>45</v>
      </c>
      <c r="C38" s="10">
        <v>417070</v>
      </c>
      <c r="D38" s="10"/>
      <c r="E38" s="10"/>
      <c r="F38" s="10">
        <v>8020</v>
      </c>
      <c r="G38" s="10">
        <f t="shared" si="0"/>
        <v>425090</v>
      </c>
      <c r="H38" s="16">
        <f t="shared" si="1"/>
        <v>68</v>
      </c>
      <c r="I38" s="15">
        <f t="shared" si="2"/>
        <v>0.156</v>
      </c>
      <c r="J38" s="15">
        <f>ROUND(G38/418260-1,2)</f>
        <v>0.02</v>
      </c>
    </row>
    <row r="39" spans="1:10" x14ac:dyDescent="0.25">
      <c r="A39" s="1" t="s">
        <v>44</v>
      </c>
      <c r="B39" s="1" t="s">
        <v>47</v>
      </c>
      <c r="C39" s="10"/>
      <c r="D39" s="10"/>
      <c r="E39" s="10"/>
      <c r="F39" s="10">
        <v>70625</v>
      </c>
      <c r="G39" s="10">
        <f t="shared" si="0"/>
        <v>70625</v>
      </c>
      <c r="H39" s="16">
        <f t="shared" si="1"/>
        <v>11.3</v>
      </c>
      <c r="I39" s="15">
        <f t="shared" si="2"/>
        <v>2.5999999999999999E-2</v>
      </c>
      <c r="J39" s="15">
        <f>ROUND(G39/83290-1,2)</f>
        <v>-0.15</v>
      </c>
    </row>
    <row r="40" spans="1:10" x14ac:dyDescent="0.25">
      <c r="A40" s="1" t="s">
        <v>44</v>
      </c>
      <c r="B40" s="1" t="s">
        <v>46</v>
      </c>
      <c r="C40" s="10"/>
      <c r="D40" s="10"/>
      <c r="E40" s="10">
        <v>132530</v>
      </c>
      <c r="F40" s="10"/>
      <c r="G40" s="10">
        <f t="shared" si="0"/>
        <v>132530</v>
      </c>
      <c r="H40" s="16">
        <f t="shared" si="1"/>
        <v>21.2</v>
      </c>
      <c r="I40" s="15">
        <f t="shared" si="2"/>
        <v>4.9000000000000002E-2</v>
      </c>
      <c r="J40" s="15">
        <f>ROUND(G40/114380-1,2)</f>
        <v>0.16</v>
      </c>
    </row>
    <row r="41" spans="1:10" x14ac:dyDescent="0.25">
      <c r="A41" s="1" t="s">
        <v>48</v>
      </c>
      <c r="B41" s="1" t="s">
        <v>51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/>
    </row>
    <row r="42" spans="1:10" x14ac:dyDescent="0.25">
      <c r="A42" s="1" t="s">
        <v>48</v>
      </c>
      <c r="B42" s="1" t="s">
        <v>49</v>
      </c>
      <c r="C42" s="10"/>
      <c r="D42" s="10"/>
      <c r="E42" s="10"/>
      <c r="F42" s="10"/>
      <c r="G42" s="10">
        <f t="shared" si="0"/>
        <v>0</v>
      </c>
      <c r="H42" s="16">
        <f t="shared" si="1"/>
        <v>0</v>
      </c>
      <c r="I42" s="15">
        <f t="shared" si="2"/>
        <v>0</v>
      </c>
      <c r="J42" s="15"/>
    </row>
    <row r="43" spans="1:10" x14ac:dyDescent="0.25">
      <c r="A43" s="1" t="s">
        <v>48</v>
      </c>
      <c r="B43" s="1" t="s">
        <v>86</v>
      </c>
      <c r="C43" s="10"/>
      <c r="D43" s="10"/>
      <c r="E43" s="10"/>
      <c r="F43" s="10"/>
      <c r="G43" s="10">
        <f t="shared" si="0"/>
        <v>0</v>
      </c>
      <c r="H43" s="16">
        <f t="shared" si="1"/>
        <v>0</v>
      </c>
      <c r="I43" s="15">
        <f t="shared" si="2"/>
        <v>0</v>
      </c>
      <c r="J43" s="15"/>
    </row>
    <row r="44" spans="1:10" x14ac:dyDescent="0.25">
      <c r="A44" s="30" t="s">
        <v>12</v>
      </c>
      <c r="B44" s="30"/>
      <c r="C44" s="11">
        <f t="shared" ref="C44:H44" si="3">SUM(C8:C43)</f>
        <v>1280380</v>
      </c>
      <c r="D44" s="11">
        <f t="shared" si="3"/>
        <v>54088</v>
      </c>
      <c r="E44" s="11">
        <f t="shared" si="3"/>
        <v>1302572</v>
      </c>
      <c r="F44" s="11">
        <f t="shared" si="3"/>
        <v>79935</v>
      </c>
      <c r="G44" s="11">
        <f t="shared" si="3"/>
        <v>2716975</v>
      </c>
      <c r="H44" s="14">
        <f t="shared" si="3"/>
        <v>434.66</v>
      </c>
      <c r="I44" s="17"/>
      <c r="J44" s="17"/>
    </row>
    <row r="45" spans="1:10" x14ac:dyDescent="0.25">
      <c r="A45" s="30" t="s">
        <v>14</v>
      </c>
      <c r="B45" s="30"/>
      <c r="C45" s="12">
        <f>ROUND(C44/G44,2)</f>
        <v>0.47</v>
      </c>
      <c r="D45" s="12">
        <f>ROUND(D44/G44,2)</f>
        <v>0.02</v>
      </c>
      <c r="E45" s="12">
        <f>ROUND(E44/G44,2)</f>
        <v>0.48</v>
      </c>
      <c r="F45" s="12">
        <f>ROUND(F44/G44,2)</f>
        <v>0.03</v>
      </c>
      <c r="G45" s="13"/>
      <c r="H45" s="13"/>
      <c r="I45" s="17"/>
      <c r="J45" s="17"/>
    </row>
    <row r="46" spans="1:10" x14ac:dyDescent="0.25">
      <c r="A46" s="2" t="s">
        <v>52</v>
      </c>
      <c r="B46" s="2"/>
      <c r="C46" s="13"/>
      <c r="D46" s="13"/>
      <c r="E46" s="13"/>
      <c r="F46" s="13"/>
      <c r="G46" s="13"/>
      <c r="H46" s="13"/>
      <c r="I46" s="17"/>
      <c r="J46" s="17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A50" s="30" t="s">
        <v>53</v>
      </c>
      <c r="B50" s="30"/>
      <c r="C50" s="11" t="s">
        <v>8</v>
      </c>
      <c r="D50" s="11" t="s">
        <v>9</v>
      </c>
      <c r="E50" s="11" t="s">
        <v>10</v>
      </c>
      <c r="F50" s="11" t="s">
        <v>11</v>
      </c>
      <c r="G50" s="11" t="s">
        <v>12</v>
      </c>
      <c r="H50" s="14" t="s">
        <v>13</v>
      </c>
      <c r="I50" s="17"/>
      <c r="J50" s="17"/>
    </row>
    <row r="51" spans="1:10" x14ac:dyDescent="0.25">
      <c r="A51" s="29" t="s">
        <v>54</v>
      </c>
      <c r="B51" s="29"/>
      <c r="C51" s="10">
        <v>863310</v>
      </c>
      <c r="D51" s="10">
        <v>54088</v>
      </c>
      <c r="E51" s="10">
        <v>1170042</v>
      </c>
      <c r="F51" s="10">
        <v>1290</v>
      </c>
      <c r="G51" s="10">
        <f>SUM(C51:F51)</f>
        <v>2088730</v>
      </c>
      <c r="H51" s="16">
        <f>ROUND(G51/6251,2)</f>
        <v>334.14</v>
      </c>
      <c r="I51" s="9"/>
      <c r="J51" s="9"/>
    </row>
    <row r="52" spans="1:10" x14ac:dyDescent="0.25">
      <c r="A52" s="29" t="s">
        <v>55</v>
      </c>
      <c r="B52" s="29"/>
      <c r="C52" s="10">
        <v>417070</v>
      </c>
      <c r="D52" s="10">
        <v>0</v>
      </c>
      <c r="E52" s="10">
        <v>132530</v>
      </c>
      <c r="F52" s="10">
        <v>78645</v>
      </c>
      <c r="G52" s="10">
        <f>SUM(C52:F52)</f>
        <v>628245</v>
      </c>
      <c r="H52" s="16">
        <f>ROUND(G52/6251,2)</f>
        <v>100.5</v>
      </c>
      <c r="I52" s="9"/>
      <c r="J52" s="9"/>
    </row>
    <row r="53" spans="1:10" x14ac:dyDescent="0.25">
      <c r="A53" s="29" t="s">
        <v>56</v>
      </c>
      <c r="B53" s="29"/>
      <c r="C53" s="10">
        <v>0</v>
      </c>
      <c r="D53" s="10">
        <v>0</v>
      </c>
      <c r="E53" s="10">
        <v>0</v>
      </c>
      <c r="F53" s="10">
        <v>0</v>
      </c>
      <c r="G53" s="10">
        <f>SUM(C53:F53)</f>
        <v>0</v>
      </c>
      <c r="H53" s="16">
        <f>ROUND(G53/6251,2)</f>
        <v>0</v>
      </c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21"/>
      <c r="H57" s="8"/>
      <c r="I57" s="9"/>
      <c r="J57" s="9"/>
    </row>
    <row r="58" spans="1:10" x14ac:dyDescent="0.25">
      <c r="A58" s="30" t="s">
        <v>57</v>
      </c>
      <c r="B58" s="30"/>
      <c r="C58" s="14" t="s">
        <v>2</v>
      </c>
      <c r="D58" s="14">
        <v>2023</v>
      </c>
      <c r="E58" s="14" t="s">
        <v>59</v>
      </c>
      <c r="F58" s="13"/>
      <c r="G58" s="20" t="s">
        <v>60</v>
      </c>
      <c r="H58" s="14" t="s">
        <v>2</v>
      </c>
      <c r="I58" s="12" t="s">
        <v>61</v>
      </c>
      <c r="J58" s="12" t="s">
        <v>59</v>
      </c>
    </row>
    <row r="59" spans="1:10" x14ac:dyDescent="0.25">
      <c r="A59" s="29" t="s">
        <v>58</v>
      </c>
      <c r="B59" s="29"/>
      <c r="C59" s="15">
        <f>ROUND(0.8219, 4)</f>
        <v>0.82189999999999996</v>
      </c>
      <c r="D59" s="15">
        <f>ROUND(0.8136, 4)</f>
        <v>0.81359999999999999</v>
      </c>
      <c r="E59" s="15">
        <f>ROUND(0.777, 4)</f>
        <v>0.77700000000000002</v>
      </c>
      <c r="F59" s="8"/>
      <c r="G59" s="14" t="s">
        <v>62</v>
      </c>
      <c r="H59" s="33" t="s">
        <v>63</v>
      </c>
      <c r="I59" s="31" t="s">
        <v>64</v>
      </c>
      <c r="J59" s="31" t="s">
        <v>65</v>
      </c>
    </row>
    <row r="60" spans="1:10" x14ac:dyDescent="0.25">
      <c r="A60" s="29" t="s">
        <v>66</v>
      </c>
      <c r="B60" s="29"/>
      <c r="C60" s="15">
        <f>ROUND(0.8145, 4)</f>
        <v>0.8145</v>
      </c>
      <c r="D60" s="15">
        <f>ROUND(0.8063, 4)</f>
        <v>0.80630000000000002</v>
      </c>
      <c r="E60" s="15">
        <f>ROUND(0.7608, 4)</f>
        <v>0.76080000000000003</v>
      </c>
      <c r="F60" s="8"/>
      <c r="G60" s="14" t="s">
        <v>67</v>
      </c>
      <c r="H60" s="34"/>
      <c r="I60" s="32"/>
      <c r="J60" s="32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A64" s="30" t="s">
        <v>68</v>
      </c>
      <c r="B64" s="30"/>
      <c r="C64" s="14" t="s">
        <v>2</v>
      </c>
      <c r="D64" s="14" t="s">
        <v>293</v>
      </c>
      <c r="E64" s="14" t="s">
        <v>70</v>
      </c>
      <c r="F64" s="14" t="s">
        <v>71</v>
      </c>
      <c r="G64" s="14" t="s">
        <v>72</v>
      </c>
      <c r="H64" s="13"/>
      <c r="I64" s="17"/>
      <c r="J64" s="17"/>
    </row>
    <row r="65" spans="1:10" x14ac:dyDescent="0.25">
      <c r="A65" s="29" t="s">
        <v>73</v>
      </c>
      <c r="B65" s="29"/>
      <c r="C65" s="16">
        <v>68</v>
      </c>
      <c r="D65" s="16">
        <v>78.08</v>
      </c>
      <c r="E65" s="16">
        <v>93.87</v>
      </c>
      <c r="F65" s="16">
        <v>57.16</v>
      </c>
      <c r="G65" s="16">
        <f>12/12*C65</f>
        <v>68</v>
      </c>
      <c r="H65" s="8"/>
      <c r="I65" s="9"/>
      <c r="J65" s="9"/>
    </row>
    <row r="66" spans="1:10" x14ac:dyDescent="0.25">
      <c r="A66" s="29" t="s">
        <v>74</v>
      </c>
      <c r="B66" s="29"/>
      <c r="C66" s="16">
        <v>48.88</v>
      </c>
      <c r="D66" s="16">
        <v>59.19</v>
      </c>
      <c r="E66" s="16">
        <v>62.84</v>
      </c>
      <c r="F66" s="16">
        <v>65.39</v>
      </c>
      <c r="G66" s="16">
        <f>12/12*C66</f>
        <v>48.88</v>
      </c>
      <c r="H66" s="8"/>
      <c r="I66" s="9"/>
      <c r="J66" s="9"/>
    </row>
    <row r="67" spans="1:10" x14ac:dyDescent="0.25">
      <c r="A67" s="29" t="s">
        <v>75</v>
      </c>
      <c r="B67" s="29"/>
      <c r="C67" s="16">
        <v>337.75</v>
      </c>
      <c r="D67" s="16">
        <v>384.22</v>
      </c>
      <c r="E67" s="16">
        <v>295.08999999999997</v>
      </c>
      <c r="F67" s="16">
        <v>289.06</v>
      </c>
      <c r="G67" s="16">
        <f>12/12*C67</f>
        <v>337.75</v>
      </c>
      <c r="H67" s="8"/>
      <c r="I67" s="9"/>
      <c r="J67" s="9"/>
    </row>
    <row r="68" spans="1:10" x14ac:dyDescent="0.25">
      <c r="A68" s="29" t="s">
        <v>76</v>
      </c>
      <c r="B68" s="29"/>
      <c r="C68" s="16">
        <v>100.5</v>
      </c>
      <c r="D68" s="16">
        <v>117.56</v>
      </c>
      <c r="E68" s="16">
        <v>118.05</v>
      </c>
      <c r="F68" s="16">
        <v>81.41</v>
      </c>
      <c r="G68" s="16">
        <f>12/12*C68</f>
        <v>100.5</v>
      </c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28" t="s">
        <v>60</v>
      </c>
      <c r="B71" s="35"/>
      <c r="C71" s="8"/>
      <c r="D71" s="8"/>
      <c r="E71" s="8"/>
      <c r="F71" s="8"/>
      <c r="G71" s="8"/>
      <c r="H71" s="8"/>
      <c r="I71" s="9"/>
      <c r="J71" s="9"/>
    </row>
    <row r="72" spans="1:10" x14ac:dyDescent="0.25">
      <c r="A72" s="3" t="s">
        <v>77</v>
      </c>
      <c r="B72" s="1" t="s">
        <v>294</v>
      </c>
      <c r="C72" s="8"/>
      <c r="D72" s="8"/>
      <c r="E72" s="8"/>
      <c r="F72" s="8"/>
      <c r="G72" s="8"/>
      <c r="H72" s="8"/>
      <c r="I72" s="9"/>
      <c r="J72" s="9"/>
    </row>
    <row r="73" spans="1:10" x14ac:dyDescent="0.25">
      <c r="A73" s="3" t="s">
        <v>70</v>
      </c>
      <c r="B73" s="1" t="s">
        <v>79</v>
      </c>
    </row>
    <row r="74" spans="1:10" x14ac:dyDescent="0.25">
      <c r="A74" s="3" t="s">
        <v>71</v>
      </c>
      <c r="B74" s="1" t="s">
        <v>80</v>
      </c>
    </row>
    <row r="75" spans="1:10" x14ac:dyDescent="0.25">
      <c r="A75" s="3" t="s">
        <v>72</v>
      </c>
      <c r="B75" s="1" t="s">
        <v>81</v>
      </c>
    </row>
  </sheetData>
  <mergeCells count="19">
    <mergeCell ref="A66:B66"/>
    <mergeCell ref="A67:B67"/>
    <mergeCell ref="A68:B68"/>
    <mergeCell ref="A71:B71"/>
    <mergeCell ref="I59:I60"/>
    <mergeCell ref="J59:J60"/>
    <mergeCell ref="A60:B60"/>
    <mergeCell ref="A64:B64"/>
    <mergeCell ref="A65:B65"/>
    <mergeCell ref="A52:B52"/>
    <mergeCell ref="A53:B53"/>
    <mergeCell ref="A58:B58"/>
    <mergeCell ref="A59:B59"/>
    <mergeCell ref="H59:H60"/>
    <mergeCell ref="C7:G7"/>
    <mergeCell ref="A44:B44"/>
    <mergeCell ref="A45:B45"/>
    <mergeCell ref="A50:B50"/>
    <mergeCell ref="A51:B51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2:J80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36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295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7923</v>
      </c>
    </row>
    <row r="7" spans="1:10" x14ac:dyDescent="0.25">
      <c r="C7" s="28" t="s">
        <v>5</v>
      </c>
      <c r="D7" s="29"/>
      <c r="E7" s="29"/>
      <c r="F7" s="29"/>
      <c r="G7" s="29"/>
    </row>
    <row r="8" spans="1:10" x14ac:dyDescent="0.25">
      <c r="A8" s="25" t="s">
        <v>6</v>
      </c>
      <c r="B8" s="25" t="s">
        <v>7</v>
      </c>
      <c r="C8" s="27" t="s">
        <v>8</v>
      </c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183</v>
      </c>
      <c r="F9" s="10"/>
      <c r="G9" s="10">
        <f t="shared" ref="G9:G40" si="0">SUM(C9:F9)</f>
        <v>183</v>
      </c>
      <c r="H9" s="16">
        <f t="shared" ref="H9:H40" si="1">ROUND(G9/7923,2)</f>
        <v>0.02</v>
      </c>
      <c r="I9" s="15">
        <f t="shared" ref="I9:I40" si="2">ROUND(G9/$G$41,3)</f>
        <v>0</v>
      </c>
      <c r="J9" s="15">
        <f>ROUND(G9/250-1,2)</f>
        <v>-0.27</v>
      </c>
    </row>
    <row r="10" spans="1:10" x14ac:dyDescent="0.25">
      <c r="A10" s="1" t="s">
        <v>16</v>
      </c>
      <c r="B10" s="1" t="s">
        <v>19</v>
      </c>
      <c r="C10" s="10">
        <v>264390</v>
      </c>
      <c r="D10" s="10"/>
      <c r="E10" s="10">
        <v>8410</v>
      </c>
      <c r="F10" s="10"/>
      <c r="G10" s="10">
        <f t="shared" si="0"/>
        <v>272800</v>
      </c>
      <c r="H10" s="16">
        <f t="shared" si="1"/>
        <v>34.43</v>
      </c>
      <c r="I10" s="15">
        <f t="shared" si="2"/>
        <v>7.0000000000000007E-2</v>
      </c>
      <c r="J10" s="15">
        <f>ROUND(G10/273700-1,2)</f>
        <v>0</v>
      </c>
    </row>
    <row r="11" spans="1:10" x14ac:dyDescent="0.25">
      <c r="A11" s="1" t="s">
        <v>16</v>
      </c>
      <c r="B11" s="1" t="s">
        <v>20</v>
      </c>
      <c r="C11" s="10">
        <v>378550</v>
      </c>
      <c r="D11" s="10"/>
      <c r="E11" s="10"/>
      <c r="F11" s="10"/>
      <c r="G11" s="10">
        <f t="shared" si="0"/>
        <v>378550</v>
      </c>
      <c r="H11" s="16">
        <f t="shared" si="1"/>
        <v>47.78</v>
      </c>
      <c r="I11" s="15">
        <f t="shared" si="2"/>
        <v>9.8000000000000004E-2</v>
      </c>
      <c r="J11" s="15">
        <f>ROUND(G11/392340-1,2)</f>
        <v>-0.04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492</v>
      </c>
      <c r="F12" s="10"/>
      <c r="G12" s="10">
        <f t="shared" si="0"/>
        <v>492</v>
      </c>
      <c r="H12" s="16">
        <f t="shared" si="1"/>
        <v>0.06</v>
      </c>
      <c r="I12" s="15">
        <f t="shared" si="2"/>
        <v>0</v>
      </c>
      <c r="J12" s="15">
        <f>ROUND(G12/319-1,2)</f>
        <v>0.54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379</v>
      </c>
      <c r="F13" s="10"/>
      <c r="G13" s="10">
        <f t="shared" si="0"/>
        <v>379</v>
      </c>
      <c r="H13" s="16">
        <f t="shared" si="1"/>
        <v>0.05</v>
      </c>
      <c r="I13" s="15">
        <f t="shared" si="2"/>
        <v>0</v>
      </c>
      <c r="J13" s="15">
        <f>ROUND(G13/229-1,2)</f>
        <v>0.66</v>
      </c>
    </row>
    <row r="14" spans="1:10" x14ac:dyDescent="0.25">
      <c r="A14" s="1" t="s">
        <v>16</v>
      </c>
      <c r="B14" s="1" t="s">
        <v>22</v>
      </c>
      <c r="C14" s="10"/>
      <c r="D14" s="10"/>
      <c r="E14" s="10">
        <v>4500</v>
      </c>
      <c r="F14" s="10"/>
      <c r="G14" s="10">
        <f t="shared" si="0"/>
        <v>4500</v>
      </c>
      <c r="H14" s="16">
        <f t="shared" si="1"/>
        <v>0.56999999999999995</v>
      </c>
      <c r="I14" s="15">
        <f t="shared" si="2"/>
        <v>1E-3</v>
      </c>
      <c r="J14" s="15">
        <f>ROUND(G14/1000-1,2)</f>
        <v>3.5</v>
      </c>
    </row>
    <row r="15" spans="1:10" x14ac:dyDescent="0.25">
      <c r="A15" s="1" t="s">
        <v>16</v>
      </c>
      <c r="B15" s="1" t="s">
        <v>98</v>
      </c>
      <c r="C15" s="10"/>
      <c r="D15" s="10"/>
      <c r="E15" s="10"/>
      <c r="F15" s="10">
        <v>140</v>
      </c>
      <c r="G15" s="10">
        <f t="shared" si="0"/>
        <v>140</v>
      </c>
      <c r="H15" s="16">
        <f t="shared" si="1"/>
        <v>0.02</v>
      </c>
      <c r="I15" s="15">
        <f t="shared" si="2"/>
        <v>0</v>
      </c>
      <c r="J15" s="15"/>
    </row>
    <row r="16" spans="1:10" x14ac:dyDescent="0.25">
      <c r="A16" s="1" t="s">
        <v>16</v>
      </c>
      <c r="B16" s="1" t="s">
        <v>23</v>
      </c>
      <c r="C16" s="10"/>
      <c r="D16" s="10"/>
      <c r="E16" s="10">
        <v>142560</v>
      </c>
      <c r="F16" s="10"/>
      <c r="G16" s="10">
        <f t="shared" si="0"/>
        <v>142560</v>
      </c>
      <c r="H16" s="16">
        <f t="shared" si="1"/>
        <v>17.989999999999998</v>
      </c>
      <c r="I16" s="15">
        <f t="shared" si="2"/>
        <v>3.6999999999999998E-2</v>
      </c>
      <c r="J16" s="15">
        <f>ROUND(G16/203640-1,2)</f>
        <v>-0.3</v>
      </c>
    </row>
    <row r="17" spans="1:10" x14ac:dyDescent="0.25">
      <c r="A17" s="1" t="s">
        <v>16</v>
      </c>
      <c r="B17" s="1" t="s">
        <v>24</v>
      </c>
      <c r="C17" s="10">
        <v>413480</v>
      </c>
      <c r="D17" s="10"/>
      <c r="E17" s="10">
        <v>42240</v>
      </c>
      <c r="F17" s="10"/>
      <c r="G17" s="10">
        <f t="shared" si="0"/>
        <v>455720</v>
      </c>
      <c r="H17" s="16">
        <f t="shared" si="1"/>
        <v>57.52</v>
      </c>
      <c r="I17" s="15">
        <f t="shared" si="2"/>
        <v>0.11799999999999999</v>
      </c>
      <c r="J17" s="15">
        <f>ROUND(G17/447600-1,2)</f>
        <v>0.02</v>
      </c>
    </row>
    <row r="18" spans="1:10" x14ac:dyDescent="0.25">
      <c r="A18" s="1" t="s">
        <v>16</v>
      </c>
      <c r="B18" s="1" t="s">
        <v>25</v>
      </c>
      <c r="C18" s="10"/>
      <c r="D18" s="10"/>
      <c r="E18" s="10">
        <v>12755</v>
      </c>
      <c r="F18" s="10"/>
      <c r="G18" s="10">
        <f t="shared" si="0"/>
        <v>12755</v>
      </c>
      <c r="H18" s="16">
        <f t="shared" si="1"/>
        <v>1.61</v>
      </c>
      <c r="I18" s="15">
        <f t="shared" si="2"/>
        <v>3.0000000000000001E-3</v>
      </c>
      <c r="J18" s="15">
        <f>ROUND(G18/6465-1,2)</f>
        <v>0.97</v>
      </c>
    </row>
    <row r="19" spans="1:10" x14ac:dyDescent="0.25">
      <c r="A19" s="1" t="s">
        <v>16</v>
      </c>
      <c r="B19" s="1" t="s">
        <v>26</v>
      </c>
      <c r="C19" s="10">
        <v>682240</v>
      </c>
      <c r="D19" s="10"/>
      <c r="E19" s="10"/>
      <c r="F19" s="10">
        <v>1500</v>
      </c>
      <c r="G19" s="10">
        <f t="shared" si="0"/>
        <v>683740</v>
      </c>
      <c r="H19" s="16">
        <f t="shared" si="1"/>
        <v>86.3</v>
      </c>
      <c r="I19" s="15">
        <f t="shared" si="2"/>
        <v>0.17699999999999999</v>
      </c>
      <c r="J19" s="15">
        <f>ROUND(G19/678930-1,2)</f>
        <v>0.01</v>
      </c>
    </row>
    <row r="20" spans="1:10" x14ac:dyDescent="0.25">
      <c r="A20" s="1" t="s">
        <v>16</v>
      </c>
      <c r="B20" s="1" t="s">
        <v>27</v>
      </c>
      <c r="C20" s="10"/>
      <c r="D20" s="10"/>
      <c r="E20" s="10">
        <v>1288</v>
      </c>
      <c r="F20" s="10"/>
      <c r="G20" s="10">
        <f t="shared" si="0"/>
        <v>1288</v>
      </c>
      <c r="H20" s="16">
        <f t="shared" si="1"/>
        <v>0.16</v>
      </c>
      <c r="I20" s="15">
        <f t="shared" si="2"/>
        <v>0</v>
      </c>
      <c r="J20" s="15">
        <f>ROUND(G20/2088-1,2)</f>
        <v>-0.38</v>
      </c>
    </row>
    <row r="21" spans="1:10" x14ac:dyDescent="0.25">
      <c r="A21" s="1" t="s">
        <v>16</v>
      </c>
      <c r="B21" s="1" t="s">
        <v>28</v>
      </c>
      <c r="C21" s="10"/>
      <c r="D21" s="10"/>
      <c r="E21" s="10">
        <v>1005</v>
      </c>
      <c r="F21" s="10"/>
      <c r="G21" s="10">
        <f t="shared" si="0"/>
        <v>1005</v>
      </c>
      <c r="H21" s="16">
        <f t="shared" si="1"/>
        <v>0.13</v>
      </c>
      <c r="I21" s="15">
        <f t="shared" si="2"/>
        <v>0</v>
      </c>
      <c r="J21" s="15">
        <f>ROUND(G21/871-1,2)</f>
        <v>0.15</v>
      </c>
    </row>
    <row r="22" spans="1:10" x14ac:dyDescent="0.25">
      <c r="A22" s="1" t="s">
        <v>16</v>
      </c>
      <c r="B22" s="1" t="s">
        <v>29</v>
      </c>
      <c r="C22" s="10"/>
      <c r="D22" s="10"/>
      <c r="E22" s="10">
        <v>5860</v>
      </c>
      <c r="F22" s="10"/>
      <c r="G22" s="10">
        <f t="shared" si="0"/>
        <v>5860</v>
      </c>
      <c r="H22" s="16">
        <f t="shared" si="1"/>
        <v>0.74</v>
      </c>
      <c r="I22" s="15">
        <f t="shared" si="2"/>
        <v>2E-3</v>
      </c>
      <c r="J22" s="15">
        <f>ROUND(G22/9840-1,2)</f>
        <v>-0.4</v>
      </c>
    </row>
    <row r="23" spans="1:10" x14ac:dyDescent="0.25">
      <c r="A23" s="1" t="s">
        <v>16</v>
      </c>
      <c r="B23" s="1" t="s">
        <v>30</v>
      </c>
      <c r="C23" s="10"/>
      <c r="D23" s="10"/>
      <c r="E23" s="10">
        <v>2530</v>
      </c>
      <c r="F23" s="10"/>
      <c r="G23" s="10">
        <f t="shared" si="0"/>
        <v>2530</v>
      </c>
      <c r="H23" s="16">
        <f t="shared" si="1"/>
        <v>0.32</v>
      </c>
      <c r="I23" s="15">
        <f t="shared" si="2"/>
        <v>1E-3</v>
      </c>
      <c r="J23" s="15">
        <f>ROUND(G23/2490-1,2)</f>
        <v>0.02</v>
      </c>
    </row>
    <row r="24" spans="1:10" x14ac:dyDescent="0.25">
      <c r="A24" s="1" t="s">
        <v>16</v>
      </c>
      <c r="B24" s="1" t="s">
        <v>31</v>
      </c>
      <c r="C24" s="10"/>
      <c r="D24" s="10"/>
      <c r="E24" s="10">
        <v>1150</v>
      </c>
      <c r="F24" s="10"/>
      <c r="G24" s="10">
        <f t="shared" si="0"/>
        <v>1150</v>
      </c>
      <c r="H24" s="16">
        <f t="shared" si="1"/>
        <v>0.15</v>
      </c>
      <c r="I24" s="15">
        <f t="shared" si="2"/>
        <v>0</v>
      </c>
      <c r="J24" s="15">
        <f>ROUND(G24/1360-1,2)</f>
        <v>-0.15</v>
      </c>
    </row>
    <row r="25" spans="1:10" x14ac:dyDescent="0.25">
      <c r="A25" s="1" t="s">
        <v>16</v>
      </c>
      <c r="B25" s="1" t="s">
        <v>32</v>
      </c>
      <c r="C25" s="10"/>
      <c r="D25" s="10"/>
      <c r="E25" s="10">
        <v>6205</v>
      </c>
      <c r="F25" s="10"/>
      <c r="G25" s="10">
        <f t="shared" si="0"/>
        <v>6205</v>
      </c>
      <c r="H25" s="16">
        <f t="shared" si="1"/>
        <v>0.78</v>
      </c>
      <c r="I25" s="15">
        <f t="shared" si="2"/>
        <v>2E-3</v>
      </c>
      <c r="J25" s="15">
        <f>ROUND(G25/4105-1,2)</f>
        <v>0.51</v>
      </c>
    </row>
    <row r="26" spans="1:10" x14ac:dyDescent="0.25">
      <c r="A26" s="1" t="s">
        <v>16</v>
      </c>
      <c r="B26" s="1" t="s">
        <v>33</v>
      </c>
      <c r="C26" s="10"/>
      <c r="D26" s="10">
        <v>493</v>
      </c>
      <c r="E26" s="10">
        <v>311</v>
      </c>
      <c r="F26" s="10"/>
      <c r="G26" s="10">
        <f t="shared" si="0"/>
        <v>804</v>
      </c>
      <c r="H26" s="16">
        <f t="shared" si="1"/>
        <v>0.1</v>
      </c>
      <c r="I26" s="15">
        <f t="shared" si="2"/>
        <v>0</v>
      </c>
      <c r="J26" s="15">
        <f>ROUND(G26/807-1,2)</f>
        <v>0</v>
      </c>
    </row>
    <row r="27" spans="1:10" x14ac:dyDescent="0.25">
      <c r="A27" s="1" t="s">
        <v>16</v>
      </c>
      <c r="B27" s="1" t="s">
        <v>35</v>
      </c>
      <c r="C27" s="10"/>
      <c r="D27" s="10">
        <v>250</v>
      </c>
      <c r="E27" s="10">
        <v>210</v>
      </c>
      <c r="F27" s="10"/>
      <c r="G27" s="10">
        <f t="shared" si="0"/>
        <v>460</v>
      </c>
      <c r="H27" s="16">
        <f t="shared" si="1"/>
        <v>0.06</v>
      </c>
      <c r="I27" s="15">
        <f t="shared" si="2"/>
        <v>0</v>
      </c>
      <c r="J27" s="15">
        <f>ROUND(G27/1565-1,2)</f>
        <v>-0.71</v>
      </c>
    </row>
    <row r="28" spans="1:10" x14ac:dyDescent="0.25">
      <c r="A28" s="1" t="s">
        <v>16</v>
      </c>
      <c r="B28" s="1" t="s">
        <v>34</v>
      </c>
      <c r="C28" s="10"/>
      <c r="D28" s="10"/>
      <c r="E28" s="10">
        <v>2220</v>
      </c>
      <c r="F28" s="10"/>
      <c r="G28" s="10">
        <f t="shared" si="0"/>
        <v>2220</v>
      </c>
      <c r="H28" s="16">
        <f t="shared" si="1"/>
        <v>0.28000000000000003</v>
      </c>
      <c r="I28" s="15">
        <f t="shared" si="2"/>
        <v>1E-3</v>
      </c>
      <c r="J28" s="15">
        <f>ROUND(G28/380-1,2)</f>
        <v>4.84</v>
      </c>
    </row>
    <row r="29" spans="1:10" x14ac:dyDescent="0.25">
      <c r="A29" s="1" t="s">
        <v>16</v>
      </c>
      <c r="B29" s="1" t="s">
        <v>37</v>
      </c>
      <c r="C29" s="10"/>
      <c r="D29" s="10"/>
      <c r="E29" s="10">
        <v>5621</v>
      </c>
      <c r="F29" s="10"/>
      <c r="G29" s="10">
        <f t="shared" si="0"/>
        <v>5621</v>
      </c>
      <c r="H29" s="16">
        <f t="shared" si="1"/>
        <v>0.71</v>
      </c>
      <c r="I29" s="15">
        <f t="shared" si="2"/>
        <v>1E-3</v>
      </c>
      <c r="J29" s="15">
        <f>ROUND(G29/20632-1,2)</f>
        <v>-0.73</v>
      </c>
    </row>
    <row r="30" spans="1:10" x14ac:dyDescent="0.25">
      <c r="A30" s="1" t="s">
        <v>16</v>
      </c>
      <c r="B30" s="1" t="s">
        <v>43</v>
      </c>
      <c r="C30" s="10"/>
      <c r="D30" s="10"/>
      <c r="E30" s="10">
        <v>11680</v>
      </c>
      <c r="F30" s="10"/>
      <c r="G30" s="10">
        <f t="shared" si="0"/>
        <v>11680</v>
      </c>
      <c r="H30" s="16">
        <f t="shared" si="1"/>
        <v>1.47</v>
      </c>
      <c r="I30" s="15">
        <f t="shared" si="2"/>
        <v>3.0000000000000001E-3</v>
      </c>
      <c r="J30" s="15">
        <f>ROUND(G30/13450-1,2)</f>
        <v>-0.13</v>
      </c>
    </row>
    <row r="31" spans="1:10" x14ac:dyDescent="0.25">
      <c r="A31" s="1" t="s">
        <v>16</v>
      </c>
      <c r="B31" s="1" t="s">
        <v>38</v>
      </c>
      <c r="C31" s="10"/>
      <c r="D31" s="10"/>
      <c r="E31" s="10">
        <v>210780</v>
      </c>
      <c r="F31" s="10"/>
      <c r="G31" s="10">
        <f t="shared" si="0"/>
        <v>210780</v>
      </c>
      <c r="H31" s="16">
        <f t="shared" si="1"/>
        <v>26.6</v>
      </c>
      <c r="I31" s="15">
        <f t="shared" si="2"/>
        <v>5.3999999999999999E-2</v>
      </c>
      <c r="J31" s="15">
        <f>ROUND(G31/167285-1,2)</f>
        <v>0.26</v>
      </c>
    </row>
    <row r="32" spans="1:10" x14ac:dyDescent="0.25">
      <c r="A32" s="1" t="s">
        <v>16</v>
      </c>
      <c r="B32" s="1" t="s">
        <v>40</v>
      </c>
      <c r="C32" s="10"/>
      <c r="D32" s="10"/>
      <c r="E32" s="10">
        <v>60130</v>
      </c>
      <c r="F32" s="10"/>
      <c r="G32" s="10">
        <f t="shared" si="0"/>
        <v>60130</v>
      </c>
      <c r="H32" s="16">
        <f t="shared" si="1"/>
        <v>7.59</v>
      </c>
      <c r="I32" s="15">
        <f t="shared" si="2"/>
        <v>1.6E-2</v>
      </c>
      <c r="J32" s="15">
        <f>ROUND(G32/51940-1,2)</f>
        <v>0.16</v>
      </c>
    </row>
    <row r="33" spans="1:10" x14ac:dyDescent="0.25">
      <c r="A33" s="1" t="s">
        <v>16</v>
      </c>
      <c r="B33" s="1" t="s">
        <v>41</v>
      </c>
      <c r="C33" s="10"/>
      <c r="D33" s="10"/>
      <c r="E33" s="10">
        <v>437830</v>
      </c>
      <c r="F33" s="10"/>
      <c r="G33" s="10">
        <f t="shared" si="0"/>
        <v>437830</v>
      </c>
      <c r="H33" s="16">
        <f t="shared" si="1"/>
        <v>55.26</v>
      </c>
      <c r="I33" s="15">
        <f t="shared" si="2"/>
        <v>0.113</v>
      </c>
      <c r="J33" s="15">
        <f>ROUND(G33/378800-1,2)</f>
        <v>0.16</v>
      </c>
    </row>
    <row r="34" spans="1:10" x14ac:dyDescent="0.25">
      <c r="A34" s="1" t="s">
        <v>16</v>
      </c>
      <c r="B34" s="1" t="s">
        <v>36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ROUND(G34/7813-1,2)</f>
        <v>-1</v>
      </c>
    </row>
    <row r="35" spans="1:10" x14ac:dyDescent="0.25">
      <c r="A35" s="1" t="s">
        <v>16</v>
      </c>
      <c r="B35" s="1" t="s">
        <v>42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>
        <f>ROUND(G35/473-1,2)</f>
        <v>-1</v>
      </c>
    </row>
    <row r="36" spans="1:10" x14ac:dyDescent="0.25">
      <c r="A36" s="1" t="s">
        <v>44</v>
      </c>
      <c r="B36" s="1" t="s">
        <v>45</v>
      </c>
      <c r="C36" s="10">
        <v>908680</v>
      </c>
      <c r="D36" s="10"/>
      <c r="E36" s="10"/>
      <c r="F36" s="10"/>
      <c r="G36" s="10">
        <f t="shared" si="0"/>
        <v>908680</v>
      </c>
      <c r="H36" s="16">
        <f t="shared" si="1"/>
        <v>114.69</v>
      </c>
      <c r="I36" s="15">
        <f t="shared" si="2"/>
        <v>0.23499999999999999</v>
      </c>
      <c r="J36" s="15">
        <f>ROUND(G36/877700-1,2)</f>
        <v>0.04</v>
      </c>
    </row>
    <row r="37" spans="1:10" x14ac:dyDescent="0.25">
      <c r="A37" s="1" t="s">
        <v>44</v>
      </c>
      <c r="B37" s="1" t="s">
        <v>47</v>
      </c>
      <c r="C37" s="10"/>
      <c r="D37" s="10"/>
      <c r="E37" s="10"/>
      <c r="F37" s="10">
        <v>119290</v>
      </c>
      <c r="G37" s="10">
        <f t="shared" si="0"/>
        <v>119290</v>
      </c>
      <c r="H37" s="16">
        <f t="shared" si="1"/>
        <v>15.06</v>
      </c>
      <c r="I37" s="15">
        <f t="shared" si="2"/>
        <v>3.1E-2</v>
      </c>
      <c r="J37" s="15">
        <f>ROUND(G37/94420-1,2)</f>
        <v>0.26</v>
      </c>
    </row>
    <row r="38" spans="1:10" x14ac:dyDescent="0.25">
      <c r="A38" s="1" t="s">
        <v>44</v>
      </c>
      <c r="B38" s="1" t="s">
        <v>46</v>
      </c>
      <c r="C38" s="10"/>
      <c r="D38" s="10"/>
      <c r="E38" s="10">
        <v>142720</v>
      </c>
      <c r="F38" s="10"/>
      <c r="G38" s="10">
        <f t="shared" si="0"/>
        <v>142720</v>
      </c>
      <c r="H38" s="16">
        <f t="shared" si="1"/>
        <v>18.010000000000002</v>
      </c>
      <c r="I38" s="15">
        <f t="shared" si="2"/>
        <v>3.6999999999999998E-2</v>
      </c>
      <c r="J38" s="15">
        <f>ROUND(G38/150660-1,2)</f>
        <v>-0.05</v>
      </c>
    </row>
    <row r="39" spans="1:10" x14ac:dyDescent="0.25">
      <c r="A39" s="1" t="s">
        <v>48</v>
      </c>
      <c r="B39" s="1" t="s">
        <v>51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1" t="s">
        <v>48</v>
      </c>
      <c r="B40" s="1" t="s">
        <v>49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>
        <f>ROUND(G40/125-1,2)</f>
        <v>-1</v>
      </c>
    </row>
    <row r="41" spans="1:10" x14ac:dyDescent="0.25">
      <c r="A41" s="30" t="s">
        <v>12</v>
      </c>
      <c r="B41" s="30"/>
      <c r="C41" s="11">
        <f t="shared" ref="C41:H41" si="3">SUM(C8:C40)</f>
        <v>2647340</v>
      </c>
      <c r="D41" s="11">
        <f t="shared" si="3"/>
        <v>743</v>
      </c>
      <c r="E41" s="11">
        <f t="shared" si="3"/>
        <v>1101059</v>
      </c>
      <c r="F41" s="11">
        <f t="shared" si="3"/>
        <v>120930</v>
      </c>
      <c r="G41" s="11">
        <f t="shared" si="3"/>
        <v>3870072</v>
      </c>
      <c r="H41" s="14">
        <f t="shared" si="3"/>
        <v>488.46</v>
      </c>
      <c r="I41" s="17"/>
      <c r="J41" s="17"/>
    </row>
    <row r="42" spans="1:10" x14ac:dyDescent="0.25">
      <c r="A42" s="30" t="s">
        <v>14</v>
      </c>
      <c r="B42" s="30"/>
      <c r="C42" s="12">
        <f>ROUND(C41/G41,2)</f>
        <v>0.68</v>
      </c>
      <c r="D42" s="12">
        <f>ROUND(D41/G41,2)</f>
        <v>0</v>
      </c>
      <c r="E42" s="12">
        <f>ROUND(E41/G41,2)</f>
        <v>0.28000000000000003</v>
      </c>
      <c r="F42" s="12">
        <f>ROUND(F41/G41,2)</f>
        <v>0.03</v>
      </c>
      <c r="G42" s="13"/>
      <c r="H42" s="13"/>
      <c r="I42" s="17"/>
      <c r="J42" s="17"/>
    </row>
    <row r="43" spans="1:10" x14ac:dyDescent="0.25">
      <c r="A43" s="2" t="s">
        <v>52</v>
      </c>
      <c r="B43" s="2"/>
      <c r="C43" s="13"/>
      <c r="D43" s="13"/>
      <c r="E43" s="13"/>
      <c r="F43" s="13"/>
      <c r="G43" s="13"/>
      <c r="H43" s="13"/>
      <c r="I43" s="17"/>
      <c r="J43" s="17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A47" s="30" t="s">
        <v>53</v>
      </c>
      <c r="B47" s="30"/>
      <c r="C47" s="11" t="s">
        <v>8</v>
      </c>
      <c r="D47" s="11" t="s">
        <v>9</v>
      </c>
      <c r="E47" s="11" t="s">
        <v>10</v>
      </c>
      <c r="F47" s="11" t="s">
        <v>11</v>
      </c>
      <c r="G47" s="11" t="s">
        <v>12</v>
      </c>
      <c r="H47" s="14" t="s">
        <v>13</v>
      </c>
      <c r="I47" s="17"/>
      <c r="J47" s="17"/>
    </row>
    <row r="48" spans="1:10" x14ac:dyDescent="0.25">
      <c r="A48" s="29" t="s">
        <v>54</v>
      </c>
      <c r="B48" s="29"/>
      <c r="C48" s="10">
        <v>1738660</v>
      </c>
      <c r="D48" s="10">
        <v>743</v>
      </c>
      <c r="E48" s="10">
        <v>958339</v>
      </c>
      <c r="F48" s="10">
        <v>1640</v>
      </c>
      <c r="G48" s="10">
        <f>SUM(C48:F48)</f>
        <v>2699382</v>
      </c>
      <c r="H48" s="16">
        <f>ROUND(G48/7923,2)</f>
        <v>340.7</v>
      </c>
      <c r="I48" s="9"/>
      <c r="J48" s="9"/>
    </row>
    <row r="49" spans="1:10" x14ac:dyDescent="0.25">
      <c r="A49" s="29" t="s">
        <v>55</v>
      </c>
      <c r="B49" s="29"/>
      <c r="C49" s="10">
        <v>908680</v>
      </c>
      <c r="D49" s="10">
        <v>0</v>
      </c>
      <c r="E49" s="10">
        <v>142720</v>
      </c>
      <c r="F49" s="10">
        <v>119290</v>
      </c>
      <c r="G49" s="10">
        <f>SUM(C49:F49)</f>
        <v>1170690</v>
      </c>
      <c r="H49" s="16">
        <f>ROUND(G49/7923,2)</f>
        <v>147.76</v>
      </c>
      <c r="I49" s="9"/>
      <c r="J49" s="9"/>
    </row>
    <row r="50" spans="1:10" x14ac:dyDescent="0.25">
      <c r="A50" s="29" t="s">
        <v>56</v>
      </c>
      <c r="B50" s="29"/>
      <c r="C50" s="10">
        <v>0</v>
      </c>
      <c r="D50" s="10">
        <v>0</v>
      </c>
      <c r="E50" s="10">
        <v>0</v>
      </c>
      <c r="F50" s="10">
        <v>0</v>
      </c>
      <c r="G50" s="10">
        <f>SUM(C50:F50)</f>
        <v>0</v>
      </c>
      <c r="H50" s="16">
        <f>ROUND(G50/7923,2)</f>
        <v>0</v>
      </c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A55" s="30" t="s">
        <v>57</v>
      </c>
      <c r="B55" s="30"/>
      <c r="C55" s="14" t="s">
        <v>2</v>
      </c>
      <c r="D55" s="14">
        <v>2023</v>
      </c>
      <c r="E55" s="14" t="s">
        <v>59</v>
      </c>
      <c r="F55" s="13"/>
      <c r="G55" s="14" t="s">
        <v>60</v>
      </c>
      <c r="H55" s="14" t="s">
        <v>2</v>
      </c>
      <c r="I55" s="12" t="s">
        <v>61</v>
      </c>
      <c r="J55" s="12" t="s">
        <v>59</v>
      </c>
    </row>
    <row r="56" spans="1:10" x14ac:dyDescent="0.25">
      <c r="A56" s="29" t="s">
        <v>58</v>
      </c>
      <c r="B56" s="29"/>
      <c r="C56" s="15">
        <f>ROUND(0.751, 4)</f>
        <v>0.751</v>
      </c>
      <c r="D56" s="15">
        <f>ROUND(0.7471, 4)</f>
        <v>0.74709999999999999</v>
      </c>
      <c r="E56" s="15">
        <f>ROUND(0.777, 4)</f>
        <v>0.77700000000000002</v>
      </c>
      <c r="F56" s="8"/>
      <c r="G56" s="14" t="s">
        <v>62</v>
      </c>
      <c r="H56" s="33" t="s">
        <v>63</v>
      </c>
      <c r="I56" s="31" t="s">
        <v>64</v>
      </c>
      <c r="J56" s="31" t="s">
        <v>65</v>
      </c>
    </row>
    <row r="57" spans="1:10" x14ac:dyDescent="0.25">
      <c r="A57" s="29" t="s">
        <v>66</v>
      </c>
      <c r="B57" s="29"/>
      <c r="C57" s="15">
        <f>ROUND(0.7416, 4)</f>
        <v>0.74160000000000004</v>
      </c>
      <c r="D57" s="15">
        <f>ROUND(0.7373, 4)</f>
        <v>0.73729999999999996</v>
      </c>
      <c r="E57" s="15">
        <f>ROUND(0.7608, 4)</f>
        <v>0.76080000000000003</v>
      </c>
      <c r="F57" s="8"/>
      <c r="G57" s="20" t="s">
        <v>67</v>
      </c>
      <c r="H57" s="34"/>
      <c r="I57" s="32"/>
      <c r="J57" s="32"/>
    </row>
    <row r="58" spans="1:10" x14ac:dyDescent="0.25">
      <c r="C58" s="8"/>
      <c r="D58" s="8"/>
      <c r="E58" s="8"/>
      <c r="F58" s="8"/>
      <c r="G58" s="21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A61" s="30" t="s">
        <v>68</v>
      </c>
      <c r="B61" s="30"/>
      <c r="C61" s="14" t="s">
        <v>2</v>
      </c>
      <c r="D61" s="14" t="s">
        <v>296</v>
      </c>
      <c r="E61" s="14" t="s">
        <v>70</v>
      </c>
      <c r="F61" s="14" t="s">
        <v>71</v>
      </c>
      <c r="G61" s="14" t="s">
        <v>72</v>
      </c>
      <c r="H61" s="13"/>
      <c r="I61" s="17"/>
      <c r="J61" s="17"/>
    </row>
    <row r="62" spans="1:10" x14ac:dyDescent="0.25">
      <c r="A62" s="29" t="s">
        <v>73</v>
      </c>
      <c r="B62" s="29"/>
      <c r="C62" s="16">
        <v>114.69</v>
      </c>
      <c r="D62" s="16">
        <v>106.58</v>
      </c>
      <c r="E62" s="16">
        <v>93.87</v>
      </c>
      <c r="F62" s="16">
        <v>57.16</v>
      </c>
      <c r="G62" s="16">
        <f>12/12*C62</f>
        <v>114.69</v>
      </c>
      <c r="H62" s="8"/>
      <c r="I62" s="9"/>
      <c r="J62" s="9"/>
    </row>
    <row r="63" spans="1:10" x14ac:dyDescent="0.25">
      <c r="A63" s="29" t="s">
        <v>74</v>
      </c>
      <c r="B63" s="29"/>
      <c r="C63" s="16">
        <v>86.3</v>
      </c>
      <c r="D63" s="16">
        <v>87.58</v>
      </c>
      <c r="E63" s="16">
        <v>62.84</v>
      </c>
      <c r="F63" s="16">
        <v>65.39</v>
      </c>
      <c r="G63" s="16">
        <f>12/12*C63</f>
        <v>86.3</v>
      </c>
      <c r="H63" s="8"/>
      <c r="I63" s="9"/>
      <c r="J63" s="9"/>
    </row>
    <row r="64" spans="1:10" x14ac:dyDescent="0.25">
      <c r="A64" s="29" t="s">
        <v>75</v>
      </c>
      <c r="B64" s="29"/>
      <c r="C64" s="16">
        <v>340.7</v>
      </c>
      <c r="D64" s="16">
        <v>336.11</v>
      </c>
      <c r="E64" s="16">
        <v>295.08999999999997</v>
      </c>
      <c r="F64" s="16">
        <v>289.06</v>
      </c>
      <c r="G64" s="16">
        <f>12/12*C64</f>
        <v>340.7</v>
      </c>
      <c r="H64" s="8"/>
      <c r="I64" s="9"/>
      <c r="J64" s="9"/>
    </row>
    <row r="65" spans="1:10" x14ac:dyDescent="0.25">
      <c r="A65" s="29" t="s">
        <v>76</v>
      </c>
      <c r="B65" s="29"/>
      <c r="C65" s="16">
        <v>147.76</v>
      </c>
      <c r="D65" s="16">
        <v>136.91</v>
      </c>
      <c r="E65" s="16">
        <v>118.05</v>
      </c>
      <c r="F65" s="16">
        <v>81.41</v>
      </c>
      <c r="G65" s="16">
        <f>12/12*C65</f>
        <v>147.76</v>
      </c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28" t="s">
        <v>60</v>
      </c>
      <c r="B68" s="35"/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77</v>
      </c>
      <c r="B69" s="1" t="s">
        <v>297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70</v>
      </c>
      <c r="B70" s="1" t="s">
        <v>79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3" t="s">
        <v>71</v>
      </c>
      <c r="B71" s="1" t="s">
        <v>80</v>
      </c>
      <c r="C71" s="8"/>
      <c r="D71" s="8"/>
      <c r="E71" s="8"/>
      <c r="F71" s="8"/>
      <c r="G71" s="8"/>
      <c r="H71" s="8"/>
      <c r="I71" s="9"/>
      <c r="J71" s="9"/>
    </row>
    <row r="72" spans="1:10" x14ac:dyDescent="0.25">
      <c r="A72" s="3" t="s">
        <v>72</v>
      </c>
      <c r="B72" s="1" t="s">
        <v>81</v>
      </c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  <row r="76" spans="1:10" x14ac:dyDescent="0.25">
      <c r="C76" s="8"/>
      <c r="D76" s="8"/>
      <c r="E76" s="8"/>
      <c r="F76" s="8"/>
      <c r="G76" s="8"/>
      <c r="H76" s="8"/>
      <c r="I76" s="9"/>
      <c r="J76" s="9"/>
    </row>
    <row r="77" spans="1:10" x14ac:dyDescent="0.25">
      <c r="C77" s="8"/>
      <c r="D77" s="8"/>
      <c r="E77" s="8"/>
      <c r="F77" s="8"/>
      <c r="G77" s="8"/>
      <c r="H77" s="8"/>
      <c r="I77" s="9"/>
      <c r="J77" s="9"/>
    </row>
    <row r="78" spans="1:10" x14ac:dyDescent="0.25">
      <c r="C78" s="8"/>
      <c r="D78" s="8"/>
      <c r="E78" s="8"/>
      <c r="F78" s="8"/>
      <c r="G78" s="8"/>
      <c r="H78" s="8"/>
      <c r="I78" s="9"/>
      <c r="J78" s="9"/>
    </row>
    <row r="79" spans="1:10" x14ac:dyDescent="0.25">
      <c r="C79" s="8"/>
      <c r="D79" s="8"/>
      <c r="E79" s="8"/>
      <c r="F79" s="8"/>
      <c r="G79" s="8"/>
      <c r="H79" s="8"/>
      <c r="I79" s="9"/>
      <c r="J79" s="9"/>
    </row>
    <row r="80" spans="1:10" x14ac:dyDescent="0.25">
      <c r="C80" s="8"/>
      <c r="D80" s="8"/>
      <c r="E80" s="8"/>
      <c r="F80" s="8"/>
      <c r="G80" s="8"/>
      <c r="H80" s="8"/>
      <c r="I80" s="9"/>
      <c r="J80" s="9"/>
    </row>
  </sheetData>
  <mergeCells count="19">
    <mergeCell ref="A63:B63"/>
    <mergeCell ref="A64:B64"/>
    <mergeCell ref="A65:B65"/>
    <mergeCell ref="A68:B68"/>
    <mergeCell ref="I56:I57"/>
    <mergeCell ref="J56:J57"/>
    <mergeCell ref="A57:B57"/>
    <mergeCell ref="A61:B61"/>
    <mergeCell ref="A62:B62"/>
    <mergeCell ref="A49:B49"/>
    <mergeCell ref="A50:B50"/>
    <mergeCell ref="A55:B55"/>
    <mergeCell ref="A56:B56"/>
    <mergeCell ref="H56:H57"/>
    <mergeCell ref="C7:G7"/>
    <mergeCell ref="A41:B41"/>
    <mergeCell ref="A42:B42"/>
    <mergeCell ref="A47:B47"/>
    <mergeCell ref="A48:B48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2:J80"/>
  <sheetViews>
    <sheetView workbookViewId="0"/>
  </sheetViews>
  <sheetFormatPr defaultRowHeight="15" x14ac:dyDescent="0.25"/>
  <cols>
    <col min="1" max="1" width="28.42578125" bestFit="1" customWidth="1"/>
    <col min="2" max="2" width="61.42578125" bestFit="1" customWidth="1"/>
    <col min="3" max="3" width="12.7109375" bestFit="1" customWidth="1"/>
    <col min="4" max="4" width="38.710937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298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5682</v>
      </c>
    </row>
    <row r="7" spans="1:10" x14ac:dyDescent="0.25">
      <c r="C7" s="28" t="s">
        <v>5</v>
      </c>
      <c r="D7" s="29"/>
      <c r="E7" s="29"/>
      <c r="F7" s="29"/>
      <c r="G7" s="29"/>
    </row>
    <row r="8" spans="1:10" x14ac:dyDescent="0.25">
      <c r="A8" s="25" t="s">
        <v>6</v>
      </c>
      <c r="B8" s="25" t="s">
        <v>7</v>
      </c>
      <c r="C8" s="27" t="s">
        <v>8</v>
      </c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231</v>
      </c>
      <c r="F9" s="10"/>
      <c r="G9" s="10">
        <f t="shared" ref="G9:G48" si="0">SUM(C9:F9)</f>
        <v>231</v>
      </c>
      <c r="H9" s="16">
        <f t="shared" ref="H9:H48" si="1">ROUND(G9/5682,2)</f>
        <v>0.04</v>
      </c>
      <c r="I9" s="15">
        <f t="shared" ref="I9:I48" si="2">ROUND(G9/$G$49,3)</f>
        <v>0</v>
      </c>
      <c r="J9" s="15">
        <f>ROUND(G9/163-1,2)</f>
        <v>0.42</v>
      </c>
    </row>
    <row r="10" spans="1:10" x14ac:dyDescent="0.25">
      <c r="A10" s="1" t="s">
        <v>16</v>
      </c>
      <c r="B10" s="1" t="s">
        <v>172</v>
      </c>
      <c r="C10" s="10"/>
      <c r="D10" s="10"/>
      <c r="E10" s="10">
        <v>200</v>
      </c>
      <c r="F10" s="10"/>
      <c r="G10" s="10">
        <f t="shared" si="0"/>
        <v>200</v>
      </c>
      <c r="H10" s="16">
        <f t="shared" si="1"/>
        <v>0.04</v>
      </c>
      <c r="I10" s="15">
        <f t="shared" si="2"/>
        <v>0</v>
      </c>
      <c r="J10" s="15"/>
    </row>
    <row r="11" spans="1:10" x14ac:dyDescent="0.25">
      <c r="A11" s="1" t="s">
        <v>16</v>
      </c>
      <c r="B11" s="1" t="s">
        <v>18</v>
      </c>
      <c r="C11" s="10">
        <v>49770</v>
      </c>
      <c r="D11" s="10"/>
      <c r="E11" s="10"/>
      <c r="F11" s="10"/>
      <c r="G11" s="10">
        <f t="shared" si="0"/>
        <v>49770</v>
      </c>
      <c r="H11" s="16">
        <f t="shared" si="1"/>
        <v>8.76</v>
      </c>
      <c r="I11" s="15">
        <f t="shared" si="2"/>
        <v>2.3E-2</v>
      </c>
      <c r="J11" s="15">
        <f>ROUND(G11/52450-1,2)</f>
        <v>-0.05</v>
      </c>
    </row>
    <row r="12" spans="1:10" x14ac:dyDescent="0.25">
      <c r="A12" s="1" t="s">
        <v>16</v>
      </c>
      <c r="B12" s="1" t="s">
        <v>90</v>
      </c>
      <c r="C12" s="10">
        <v>700</v>
      </c>
      <c r="D12" s="10"/>
      <c r="E12" s="10"/>
      <c r="F12" s="10"/>
      <c r="G12" s="10">
        <f t="shared" si="0"/>
        <v>700</v>
      </c>
      <c r="H12" s="16">
        <f t="shared" si="1"/>
        <v>0.12</v>
      </c>
      <c r="I12" s="15">
        <f t="shared" si="2"/>
        <v>0</v>
      </c>
      <c r="J12" s="15"/>
    </row>
    <row r="13" spans="1:10" x14ac:dyDescent="0.25">
      <c r="A13" s="1" t="s">
        <v>16</v>
      </c>
      <c r="B13" s="1" t="s">
        <v>19</v>
      </c>
      <c r="C13" s="10">
        <v>152170</v>
      </c>
      <c r="D13" s="10"/>
      <c r="E13" s="10"/>
      <c r="F13" s="10"/>
      <c r="G13" s="10">
        <f t="shared" si="0"/>
        <v>152170</v>
      </c>
      <c r="H13" s="16">
        <f t="shared" si="1"/>
        <v>26.78</v>
      </c>
      <c r="I13" s="15">
        <f t="shared" si="2"/>
        <v>7.0999999999999994E-2</v>
      </c>
      <c r="J13" s="15">
        <f>ROUND(G13/150420-1,2)</f>
        <v>0.01</v>
      </c>
    </row>
    <row r="14" spans="1:10" x14ac:dyDescent="0.25">
      <c r="A14" s="1" t="s">
        <v>16</v>
      </c>
      <c r="B14" s="1" t="s">
        <v>20</v>
      </c>
      <c r="C14" s="10">
        <v>159910</v>
      </c>
      <c r="D14" s="10"/>
      <c r="E14" s="10"/>
      <c r="F14" s="10"/>
      <c r="G14" s="10">
        <f t="shared" si="0"/>
        <v>159910</v>
      </c>
      <c r="H14" s="16">
        <f t="shared" si="1"/>
        <v>28.14</v>
      </c>
      <c r="I14" s="15">
        <f t="shared" si="2"/>
        <v>7.4999999999999997E-2</v>
      </c>
      <c r="J14" s="15">
        <f>ROUND(G14/169080-1,2)</f>
        <v>-0.05</v>
      </c>
    </row>
    <row r="15" spans="1:10" x14ac:dyDescent="0.25">
      <c r="A15" s="1" t="s">
        <v>16</v>
      </c>
      <c r="B15" s="1" t="s">
        <v>95</v>
      </c>
      <c r="C15" s="10"/>
      <c r="D15" s="10"/>
      <c r="E15" s="10">
        <v>322</v>
      </c>
      <c r="F15" s="10"/>
      <c r="G15" s="10">
        <f t="shared" si="0"/>
        <v>322</v>
      </c>
      <c r="H15" s="16">
        <f t="shared" si="1"/>
        <v>0.06</v>
      </c>
      <c r="I15" s="15">
        <f t="shared" si="2"/>
        <v>0</v>
      </c>
      <c r="J15" s="15">
        <f>ROUND(G15/264-1,2)</f>
        <v>0.22</v>
      </c>
    </row>
    <row r="16" spans="1:10" x14ac:dyDescent="0.25">
      <c r="A16" s="1" t="s">
        <v>16</v>
      </c>
      <c r="B16" s="1" t="s">
        <v>21</v>
      </c>
      <c r="C16" s="10"/>
      <c r="D16" s="10"/>
      <c r="E16" s="10">
        <v>455</v>
      </c>
      <c r="F16" s="10">
        <v>7</v>
      </c>
      <c r="G16" s="10">
        <f t="shared" si="0"/>
        <v>462</v>
      </c>
      <c r="H16" s="16">
        <f t="shared" si="1"/>
        <v>0.08</v>
      </c>
      <c r="I16" s="15">
        <f t="shared" si="2"/>
        <v>0</v>
      </c>
      <c r="J16" s="15">
        <f>ROUND(G16/471-1,2)</f>
        <v>-0.02</v>
      </c>
    </row>
    <row r="17" spans="1:10" x14ac:dyDescent="0.25">
      <c r="A17" s="1" t="s">
        <v>16</v>
      </c>
      <c r="B17" s="1" t="s">
        <v>22</v>
      </c>
      <c r="C17" s="10"/>
      <c r="D17" s="10"/>
      <c r="E17" s="10">
        <v>3580</v>
      </c>
      <c r="F17" s="10"/>
      <c r="G17" s="10">
        <f t="shared" si="0"/>
        <v>3580</v>
      </c>
      <c r="H17" s="16">
        <f t="shared" si="1"/>
        <v>0.63</v>
      </c>
      <c r="I17" s="15">
        <f t="shared" si="2"/>
        <v>2E-3</v>
      </c>
      <c r="J17" s="15">
        <f>ROUND(G17/2840-1,2)</f>
        <v>0.26</v>
      </c>
    </row>
    <row r="18" spans="1:10" x14ac:dyDescent="0.25">
      <c r="A18" s="1" t="s">
        <v>16</v>
      </c>
      <c r="B18" s="1" t="s">
        <v>98</v>
      </c>
      <c r="C18" s="10"/>
      <c r="D18" s="10"/>
      <c r="E18" s="10"/>
      <c r="F18" s="10">
        <v>1780</v>
      </c>
      <c r="G18" s="10">
        <f t="shared" si="0"/>
        <v>1780</v>
      </c>
      <c r="H18" s="16">
        <f t="shared" si="1"/>
        <v>0.31</v>
      </c>
      <c r="I18" s="15">
        <f t="shared" si="2"/>
        <v>1E-3</v>
      </c>
      <c r="J18" s="15"/>
    </row>
    <row r="19" spans="1:10" x14ac:dyDescent="0.25">
      <c r="A19" s="1" t="s">
        <v>16</v>
      </c>
      <c r="B19" s="1" t="s">
        <v>23</v>
      </c>
      <c r="C19" s="10"/>
      <c r="D19" s="10"/>
      <c r="E19" s="10">
        <v>80970</v>
      </c>
      <c r="F19" s="10"/>
      <c r="G19" s="10">
        <f t="shared" si="0"/>
        <v>80970</v>
      </c>
      <c r="H19" s="16">
        <f t="shared" si="1"/>
        <v>14.25</v>
      </c>
      <c r="I19" s="15">
        <f t="shared" si="2"/>
        <v>3.7999999999999999E-2</v>
      </c>
      <c r="J19" s="15">
        <f>ROUND(G19/100360-1,2)</f>
        <v>-0.19</v>
      </c>
    </row>
    <row r="20" spans="1:10" x14ac:dyDescent="0.25">
      <c r="A20" s="1" t="s">
        <v>16</v>
      </c>
      <c r="B20" s="1" t="s">
        <v>24</v>
      </c>
      <c r="C20" s="10">
        <v>235310</v>
      </c>
      <c r="D20" s="10"/>
      <c r="E20" s="10"/>
      <c r="F20" s="10"/>
      <c r="G20" s="10">
        <f t="shared" si="0"/>
        <v>235310</v>
      </c>
      <c r="H20" s="16">
        <f t="shared" si="1"/>
        <v>41.41</v>
      </c>
      <c r="I20" s="15">
        <f t="shared" si="2"/>
        <v>0.11</v>
      </c>
      <c r="J20" s="15">
        <f>ROUND(G20/225050-1,2)</f>
        <v>0.05</v>
      </c>
    </row>
    <row r="21" spans="1:10" x14ac:dyDescent="0.25">
      <c r="A21" s="1" t="s">
        <v>16</v>
      </c>
      <c r="B21" s="1" t="s">
        <v>25</v>
      </c>
      <c r="C21" s="10"/>
      <c r="D21" s="10"/>
      <c r="E21" s="10">
        <v>18555</v>
      </c>
      <c r="F21" s="10"/>
      <c r="G21" s="10">
        <f t="shared" si="0"/>
        <v>18555</v>
      </c>
      <c r="H21" s="16">
        <f t="shared" si="1"/>
        <v>3.27</v>
      </c>
      <c r="I21" s="15">
        <f t="shared" si="2"/>
        <v>8.9999999999999993E-3</v>
      </c>
      <c r="J21" s="15">
        <f>ROUND(G21/18325-1,2)</f>
        <v>0.01</v>
      </c>
    </row>
    <row r="22" spans="1:10" x14ac:dyDescent="0.25">
      <c r="A22" s="1" t="s">
        <v>16</v>
      </c>
      <c r="B22" s="1" t="s">
        <v>26</v>
      </c>
      <c r="C22" s="10">
        <v>249195</v>
      </c>
      <c r="D22" s="10"/>
      <c r="E22" s="10"/>
      <c r="F22" s="10">
        <v>7175</v>
      </c>
      <c r="G22" s="10">
        <f t="shared" si="0"/>
        <v>256370</v>
      </c>
      <c r="H22" s="16">
        <f t="shared" si="1"/>
        <v>45.12</v>
      </c>
      <c r="I22" s="15">
        <f t="shared" si="2"/>
        <v>0.12</v>
      </c>
      <c r="J22" s="15">
        <f>ROUND(G22/260780-1,2)</f>
        <v>-0.02</v>
      </c>
    </row>
    <row r="23" spans="1:10" x14ac:dyDescent="0.25">
      <c r="A23" s="1" t="s">
        <v>16</v>
      </c>
      <c r="B23" s="1" t="s">
        <v>27</v>
      </c>
      <c r="C23" s="10"/>
      <c r="D23" s="10"/>
      <c r="E23" s="10">
        <v>1931</v>
      </c>
      <c r="F23" s="10"/>
      <c r="G23" s="10">
        <f t="shared" si="0"/>
        <v>1931</v>
      </c>
      <c r="H23" s="16">
        <f t="shared" si="1"/>
        <v>0.34</v>
      </c>
      <c r="I23" s="15">
        <f t="shared" si="2"/>
        <v>1E-3</v>
      </c>
      <c r="J23" s="15">
        <f>ROUND(G23/1628-1,2)</f>
        <v>0.19</v>
      </c>
    </row>
    <row r="24" spans="1:10" x14ac:dyDescent="0.25">
      <c r="A24" s="1" t="s">
        <v>16</v>
      </c>
      <c r="B24" s="1" t="s">
        <v>28</v>
      </c>
      <c r="C24" s="10"/>
      <c r="D24" s="10"/>
      <c r="E24" s="10">
        <v>1140</v>
      </c>
      <c r="F24" s="10"/>
      <c r="G24" s="10">
        <f t="shared" si="0"/>
        <v>1140</v>
      </c>
      <c r="H24" s="16">
        <f t="shared" si="1"/>
        <v>0.2</v>
      </c>
      <c r="I24" s="15">
        <f t="shared" si="2"/>
        <v>1E-3</v>
      </c>
      <c r="J24" s="15">
        <f>ROUND(G24/1089-1,2)</f>
        <v>0.05</v>
      </c>
    </row>
    <row r="25" spans="1:10" x14ac:dyDescent="0.25">
      <c r="A25" s="1" t="s">
        <v>16</v>
      </c>
      <c r="B25" s="1" t="s">
        <v>42</v>
      </c>
      <c r="C25" s="10"/>
      <c r="D25" s="10"/>
      <c r="E25" s="10"/>
      <c r="F25" s="10">
        <v>2</v>
      </c>
      <c r="G25" s="10">
        <f t="shared" si="0"/>
        <v>2</v>
      </c>
      <c r="H25" s="16">
        <f t="shared" si="1"/>
        <v>0</v>
      </c>
      <c r="I25" s="15">
        <f t="shared" si="2"/>
        <v>0</v>
      </c>
      <c r="J25" s="15">
        <f>ROUND(G25/394-1,2)</f>
        <v>-0.99</v>
      </c>
    </row>
    <row r="26" spans="1:10" x14ac:dyDescent="0.25">
      <c r="A26" s="1" t="s">
        <v>16</v>
      </c>
      <c r="B26" s="1" t="s">
        <v>29</v>
      </c>
      <c r="C26" s="10"/>
      <c r="D26" s="10"/>
      <c r="E26" s="10">
        <v>5050</v>
      </c>
      <c r="F26" s="10"/>
      <c r="G26" s="10">
        <f t="shared" si="0"/>
        <v>5050</v>
      </c>
      <c r="H26" s="16">
        <f t="shared" si="1"/>
        <v>0.89</v>
      </c>
      <c r="I26" s="15">
        <f t="shared" si="2"/>
        <v>2E-3</v>
      </c>
      <c r="J26" s="15">
        <f>ROUND(G26/10300-1,2)</f>
        <v>-0.51</v>
      </c>
    </row>
    <row r="27" spans="1:10" x14ac:dyDescent="0.25">
      <c r="A27" s="1" t="s">
        <v>16</v>
      </c>
      <c r="B27" s="1" t="s">
        <v>30</v>
      </c>
      <c r="C27" s="10"/>
      <c r="D27" s="10"/>
      <c r="E27" s="10">
        <v>4370</v>
      </c>
      <c r="F27" s="10">
        <v>87</v>
      </c>
      <c r="G27" s="10">
        <f t="shared" si="0"/>
        <v>4457</v>
      </c>
      <c r="H27" s="16">
        <f t="shared" si="1"/>
        <v>0.78</v>
      </c>
      <c r="I27" s="15">
        <f t="shared" si="2"/>
        <v>2E-3</v>
      </c>
      <c r="J27" s="15">
        <f>ROUND(G27/4310-1,2)</f>
        <v>0.03</v>
      </c>
    </row>
    <row r="28" spans="1:10" x14ac:dyDescent="0.25">
      <c r="A28" s="1" t="s">
        <v>16</v>
      </c>
      <c r="B28" s="1" t="s">
        <v>31</v>
      </c>
      <c r="C28" s="10"/>
      <c r="D28" s="10"/>
      <c r="E28" s="10">
        <v>1900</v>
      </c>
      <c r="F28" s="10">
        <v>53</v>
      </c>
      <c r="G28" s="10">
        <f t="shared" si="0"/>
        <v>1953</v>
      </c>
      <c r="H28" s="16">
        <f t="shared" si="1"/>
        <v>0.34</v>
      </c>
      <c r="I28" s="15">
        <f t="shared" si="2"/>
        <v>1E-3</v>
      </c>
      <c r="J28" s="15">
        <f>ROUND(G28/1950-1,2)</f>
        <v>0</v>
      </c>
    </row>
    <row r="29" spans="1:10" x14ac:dyDescent="0.25">
      <c r="A29" s="1" t="s">
        <v>16</v>
      </c>
      <c r="B29" s="1" t="s">
        <v>32</v>
      </c>
      <c r="C29" s="10"/>
      <c r="D29" s="10"/>
      <c r="E29" s="10">
        <v>3275</v>
      </c>
      <c r="F29" s="10">
        <v>83</v>
      </c>
      <c r="G29" s="10">
        <f t="shared" si="0"/>
        <v>3358</v>
      </c>
      <c r="H29" s="16">
        <f t="shared" si="1"/>
        <v>0.59</v>
      </c>
      <c r="I29" s="15">
        <f t="shared" si="2"/>
        <v>2E-3</v>
      </c>
      <c r="J29" s="15">
        <f>ROUND(G29/3475-1,2)</f>
        <v>-0.03</v>
      </c>
    </row>
    <row r="30" spans="1:10" x14ac:dyDescent="0.25">
      <c r="A30" s="1" t="s">
        <v>16</v>
      </c>
      <c r="B30" s="1" t="s">
        <v>33</v>
      </c>
      <c r="C30" s="10"/>
      <c r="D30" s="10">
        <v>147</v>
      </c>
      <c r="E30" s="10">
        <v>107</v>
      </c>
      <c r="F30" s="10"/>
      <c r="G30" s="10">
        <f t="shared" si="0"/>
        <v>254</v>
      </c>
      <c r="H30" s="16">
        <f t="shared" si="1"/>
        <v>0.04</v>
      </c>
      <c r="I30" s="15">
        <f t="shared" si="2"/>
        <v>0</v>
      </c>
      <c r="J30" s="15">
        <f>ROUND(G30/214-1,2)</f>
        <v>0.19</v>
      </c>
    </row>
    <row r="31" spans="1:10" x14ac:dyDescent="0.25">
      <c r="A31" s="1" t="s">
        <v>16</v>
      </c>
      <c r="B31" s="1" t="s">
        <v>35</v>
      </c>
      <c r="C31" s="10"/>
      <c r="D31" s="10">
        <v>36</v>
      </c>
      <c r="E31" s="10">
        <v>600</v>
      </c>
      <c r="F31" s="10">
        <v>48</v>
      </c>
      <c r="G31" s="10">
        <f t="shared" si="0"/>
        <v>684</v>
      </c>
      <c r="H31" s="16">
        <f t="shared" si="1"/>
        <v>0.12</v>
      </c>
      <c r="I31" s="15">
        <f t="shared" si="2"/>
        <v>0</v>
      </c>
      <c r="J31" s="15">
        <f>ROUND(G31/320-1,2)</f>
        <v>1.1399999999999999</v>
      </c>
    </row>
    <row r="32" spans="1:10" x14ac:dyDescent="0.25">
      <c r="A32" s="1" t="s">
        <v>16</v>
      </c>
      <c r="B32" s="1" t="s">
        <v>34</v>
      </c>
      <c r="C32" s="10"/>
      <c r="D32" s="10"/>
      <c r="E32" s="10">
        <v>3550</v>
      </c>
      <c r="F32" s="10"/>
      <c r="G32" s="10">
        <f t="shared" si="0"/>
        <v>3550</v>
      </c>
      <c r="H32" s="16">
        <f t="shared" si="1"/>
        <v>0.62</v>
      </c>
      <c r="I32" s="15">
        <f t="shared" si="2"/>
        <v>2E-3</v>
      </c>
      <c r="J32" s="15">
        <f>ROUND(G32/3980-1,2)</f>
        <v>-0.11</v>
      </c>
    </row>
    <row r="33" spans="1:10" x14ac:dyDescent="0.25">
      <c r="A33" s="1" t="s">
        <v>16</v>
      </c>
      <c r="B33" s="1" t="s">
        <v>37</v>
      </c>
      <c r="C33" s="10"/>
      <c r="D33" s="10"/>
      <c r="E33" s="10">
        <v>7720</v>
      </c>
      <c r="F33" s="10"/>
      <c r="G33" s="10">
        <f t="shared" si="0"/>
        <v>7720</v>
      </c>
      <c r="H33" s="16">
        <f t="shared" si="1"/>
        <v>1.36</v>
      </c>
      <c r="I33" s="15">
        <f t="shared" si="2"/>
        <v>4.0000000000000001E-3</v>
      </c>
      <c r="J33" s="15">
        <f>ROUND(G33/11950-1,2)</f>
        <v>-0.35</v>
      </c>
    </row>
    <row r="34" spans="1:10" x14ac:dyDescent="0.25">
      <c r="A34" s="1" t="s">
        <v>16</v>
      </c>
      <c r="B34" s="1" t="s">
        <v>43</v>
      </c>
      <c r="C34" s="10"/>
      <c r="D34" s="10"/>
      <c r="E34" s="10">
        <v>11194</v>
      </c>
      <c r="F34" s="10"/>
      <c r="G34" s="10">
        <f t="shared" si="0"/>
        <v>11194</v>
      </c>
      <c r="H34" s="16">
        <f t="shared" si="1"/>
        <v>1.97</v>
      </c>
      <c r="I34" s="15">
        <f t="shared" si="2"/>
        <v>5.0000000000000001E-3</v>
      </c>
      <c r="J34" s="15">
        <f>ROUND(G34/15903-1,2)</f>
        <v>-0.3</v>
      </c>
    </row>
    <row r="35" spans="1:10" x14ac:dyDescent="0.25">
      <c r="A35" s="1" t="s">
        <v>16</v>
      </c>
      <c r="B35" s="1" t="s">
        <v>38</v>
      </c>
      <c r="C35" s="10"/>
      <c r="D35" s="10"/>
      <c r="E35" s="10">
        <v>176760</v>
      </c>
      <c r="F35" s="10">
        <v>5920</v>
      </c>
      <c r="G35" s="10">
        <f t="shared" si="0"/>
        <v>182680</v>
      </c>
      <c r="H35" s="16">
        <f t="shared" si="1"/>
        <v>32.15</v>
      </c>
      <c r="I35" s="15">
        <f t="shared" si="2"/>
        <v>8.5000000000000006E-2</v>
      </c>
      <c r="J35" s="15">
        <f>ROUND(G35/169685-1,2)</f>
        <v>0.08</v>
      </c>
    </row>
    <row r="36" spans="1:10" x14ac:dyDescent="0.25">
      <c r="A36" s="1" t="s">
        <v>16</v>
      </c>
      <c r="B36" s="1" t="s">
        <v>39</v>
      </c>
      <c r="C36" s="10"/>
      <c r="D36" s="10"/>
      <c r="E36" s="10">
        <v>13690</v>
      </c>
      <c r="F36" s="10"/>
      <c r="G36" s="10">
        <f t="shared" si="0"/>
        <v>13690</v>
      </c>
      <c r="H36" s="16">
        <f t="shared" si="1"/>
        <v>2.41</v>
      </c>
      <c r="I36" s="15">
        <f t="shared" si="2"/>
        <v>6.0000000000000001E-3</v>
      </c>
      <c r="J36" s="15">
        <f>ROUND(G36/11380-1,2)</f>
        <v>0.2</v>
      </c>
    </row>
    <row r="37" spans="1:10" x14ac:dyDescent="0.25">
      <c r="A37" s="1" t="s">
        <v>16</v>
      </c>
      <c r="B37" s="1" t="s">
        <v>40</v>
      </c>
      <c r="C37" s="10"/>
      <c r="D37" s="10"/>
      <c r="E37" s="10">
        <v>54630</v>
      </c>
      <c r="F37" s="10"/>
      <c r="G37" s="10">
        <f t="shared" si="0"/>
        <v>54630</v>
      </c>
      <c r="H37" s="16">
        <f t="shared" si="1"/>
        <v>9.61</v>
      </c>
      <c r="I37" s="15">
        <f t="shared" si="2"/>
        <v>2.5999999999999999E-2</v>
      </c>
      <c r="J37" s="15">
        <f>ROUND(G37/65700-1,2)</f>
        <v>-0.17</v>
      </c>
    </row>
    <row r="38" spans="1:10" x14ac:dyDescent="0.25">
      <c r="A38" s="1" t="s">
        <v>16</v>
      </c>
      <c r="B38" s="1" t="s">
        <v>41</v>
      </c>
      <c r="C38" s="10"/>
      <c r="D38" s="10"/>
      <c r="E38" s="10">
        <v>143440</v>
      </c>
      <c r="F38" s="10">
        <v>13200</v>
      </c>
      <c r="G38" s="10">
        <f t="shared" si="0"/>
        <v>156640</v>
      </c>
      <c r="H38" s="16">
        <f t="shared" si="1"/>
        <v>27.57</v>
      </c>
      <c r="I38" s="15">
        <f t="shared" si="2"/>
        <v>7.2999999999999995E-2</v>
      </c>
      <c r="J38" s="15">
        <f>ROUND(G38/85800-1,2)</f>
        <v>0.83</v>
      </c>
    </row>
    <row r="39" spans="1:10" x14ac:dyDescent="0.25">
      <c r="A39" s="1" t="s">
        <v>16</v>
      </c>
      <c r="B39" s="1" t="s">
        <v>36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>
        <f>ROUND(G39/3920-1,2)</f>
        <v>-1</v>
      </c>
    </row>
    <row r="40" spans="1:10" x14ac:dyDescent="0.25">
      <c r="A40" s="1" t="s">
        <v>16</v>
      </c>
      <c r="B40" s="1" t="s">
        <v>262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/>
    </row>
    <row r="41" spans="1:10" x14ac:dyDescent="0.25">
      <c r="A41" s="1" t="s">
        <v>16</v>
      </c>
      <c r="B41" s="1" t="s">
        <v>129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>
        <f>ROUND(G41/286-1,2)</f>
        <v>-1</v>
      </c>
    </row>
    <row r="42" spans="1:10" x14ac:dyDescent="0.25">
      <c r="A42" s="1" t="s">
        <v>44</v>
      </c>
      <c r="B42" s="1" t="s">
        <v>45</v>
      </c>
      <c r="C42" s="10">
        <v>578420</v>
      </c>
      <c r="D42" s="10">
        <v>19680</v>
      </c>
      <c r="E42" s="10"/>
      <c r="F42" s="10">
        <v>7440</v>
      </c>
      <c r="G42" s="10">
        <f t="shared" si="0"/>
        <v>605540</v>
      </c>
      <c r="H42" s="16">
        <f t="shared" si="1"/>
        <v>106.57</v>
      </c>
      <c r="I42" s="15">
        <f t="shared" si="2"/>
        <v>0.28299999999999997</v>
      </c>
      <c r="J42" s="15">
        <f>ROUND(G42/585100-1,2)</f>
        <v>0.03</v>
      </c>
    </row>
    <row r="43" spans="1:10" x14ac:dyDescent="0.25">
      <c r="A43" s="1" t="s">
        <v>44</v>
      </c>
      <c r="B43" s="1" t="s">
        <v>47</v>
      </c>
      <c r="C43" s="10"/>
      <c r="D43" s="10"/>
      <c r="E43" s="10"/>
      <c r="F43" s="10">
        <v>16140</v>
      </c>
      <c r="G43" s="10">
        <f t="shared" si="0"/>
        <v>16140</v>
      </c>
      <c r="H43" s="16">
        <f t="shared" si="1"/>
        <v>2.84</v>
      </c>
      <c r="I43" s="15">
        <f t="shared" si="2"/>
        <v>8.0000000000000002E-3</v>
      </c>
      <c r="J43" s="15">
        <f>ROUND(G43/9500-1,2)</f>
        <v>0.7</v>
      </c>
    </row>
    <row r="44" spans="1:10" x14ac:dyDescent="0.25">
      <c r="A44" s="1" t="s">
        <v>44</v>
      </c>
      <c r="B44" s="1" t="s">
        <v>46</v>
      </c>
      <c r="C44" s="10"/>
      <c r="D44" s="10"/>
      <c r="E44" s="10">
        <v>103640</v>
      </c>
      <c r="F44" s="10">
        <v>3450</v>
      </c>
      <c r="G44" s="10">
        <f t="shared" si="0"/>
        <v>107090</v>
      </c>
      <c r="H44" s="16">
        <f t="shared" si="1"/>
        <v>18.850000000000001</v>
      </c>
      <c r="I44" s="15">
        <f t="shared" si="2"/>
        <v>0.05</v>
      </c>
      <c r="J44" s="15">
        <f>ROUND(G44/89780-1,2)</f>
        <v>0.19</v>
      </c>
    </row>
    <row r="45" spans="1:10" x14ac:dyDescent="0.25">
      <c r="A45" s="1" t="s">
        <v>48</v>
      </c>
      <c r="B45" s="1" t="s">
        <v>51</v>
      </c>
      <c r="C45" s="10"/>
      <c r="D45" s="10"/>
      <c r="E45" s="10"/>
      <c r="F45" s="10"/>
      <c r="G45" s="10">
        <f t="shared" si="0"/>
        <v>0</v>
      </c>
      <c r="H45" s="16">
        <f t="shared" si="1"/>
        <v>0</v>
      </c>
      <c r="I45" s="15">
        <f t="shared" si="2"/>
        <v>0</v>
      </c>
      <c r="J45" s="15"/>
    </row>
    <row r="46" spans="1:10" x14ac:dyDescent="0.25">
      <c r="A46" s="1" t="s">
        <v>48</v>
      </c>
      <c r="B46" s="1" t="s">
        <v>86</v>
      </c>
      <c r="C46" s="10"/>
      <c r="D46" s="10"/>
      <c r="E46" s="10"/>
      <c r="F46" s="10"/>
      <c r="G46" s="10">
        <f t="shared" si="0"/>
        <v>0</v>
      </c>
      <c r="H46" s="16">
        <f t="shared" si="1"/>
        <v>0</v>
      </c>
      <c r="I46" s="15">
        <f t="shared" si="2"/>
        <v>0</v>
      </c>
      <c r="J46" s="15"/>
    </row>
    <row r="47" spans="1:10" x14ac:dyDescent="0.25">
      <c r="A47" s="1" t="s">
        <v>48</v>
      </c>
      <c r="B47" s="1" t="s">
        <v>50</v>
      </c>
      <c r="C47" s="10"/>
      <c r="D47" s="10"/>
      <c r="E47" s="10"/>
      <c r="F47" s="10"/>
      <c r="G47" s="10">
        <f t="shared" si="0"/>
        <v>0</v>
      </c>
      <c r="H47" s="16">
        <f t="shared" si="1"/>
        <v>0</v>
      </c>
      <c r="I47" s="15">
        <f t="shared" si="2"/>
        <v>0</v>
      </c>
      <c r="J47" s="15"/>
    </row>
    <row r="48" spans="1:10" x14ac:dyDescent="0.25">
      <c r="A48" s="1" t="s">
        <v>48</v>
      </c>
      <c r="B48" s="1" t="s">
        <v>49</v>
      </c>
      <c r="C48" s="10"/>
      <c r="D48" s="10"/>
      <c r="E48" s="10"/>
      <c r="F48" s="10"/>
      <c r="G48" s="10">
        <f t="shared" si="0"/>
        <v>0</v>
      </c>
      <c r="H48" s="16">
        <f t="shared" si="1"/>
        <v>0</v>
      </c>
      <c r="I48" s="15">
        <f t="shared" si="2"/>
        <v>0</v>
      </c>
      <c r="J48" s="15"/>
    </row>
    <row r="49" spans="1:10" x14ac:dyDescent="0.25">
      <c r="A49" s="30" t="s">
        <v>12</v>
      </c>
      <c r="B49" s="30"/>
      <c r="C49" s="11">
        <f t="shared" ref="C49:H49" si="3">SUM(C8:C48)</f>
        <v>1425475</v>
      </c>
      <c r="D49" s="11">
        <f t="shared" si="3"/>
        <v>19863</v>
      </c>
      <c r="E49" s="11">
        <f t="shared" si="3"/>
        <v>637310</v>
      </c>
      <c r="F49" s="11">
        <f t="shared" si="3"/>
        <v>55385</v>
      </c>
      <c r="G49" s="11">
        <f t="shared" si="3"/>
        <v>2138033</v>
      </c>
      <c r="H49" s="14">
        <f t="shared" si="3"/>
        <v>376.26</v>
      </c>
      <c r="I49" s="17"/>
      <c r="J49" s="17"/>
    </row>
    <row r="50" spans="1:10" x14ac:dyDescent="0.25">
      <c r="A50" s="30" t="s">
        <v>14</v>
      </c>
      <c r="B50" s="30"/>
      <c r="C50" s="12">
        <f>ROUND(C49/G49,2)</f>
        <v>0.67</v>
      </c>
      <c r="D50" s="12">
        <f>ROUND(D49/G49,2)</f>
        <v>0.01</v>
      </c>
      <c r="E50" s="12">
        <f>ROUND(E49/G49,2)</f>
        <v>0.3</v>
      </c>
      <c r="F50" s="12">
        <f>ROUND(F49/G49,2)</f>
        <v>0.03</v>
      </c>
      <c r="G50" s="13"/>
      <c r="H50" s="13"/>
      <c r="I50" s="17"/>
      <c r="J50" s="17"/>
    </row>
    <row r="51" spans="1:10" x14ac:dyDescent="0.25">
      <c r="A51" s="2" t="s">
        <v>52</v>
      </c>
      <c r="B51" s="2"/>
      <c r="C51" s="13"/>
      <c r="D51" s="13"/>
      <c r="E51" s="13"/>
      <c r="F51" s="13"/>
      <c r="G51" s="13"/>
      <c r="H51" s="13"/>
      <c r="I51" s="17"/>
      <c r="J51" s="17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A55" s="30" t="s">
        <v>53</v>
      </c>
      <c r="B55" s="30"/>
      <c r="C55" s="11" t="s">
        <v>8</v>
      </c>
      <c r="D55" s="11" t="s">
        <v>9</v>
      </c>
      <c r="E55" s="11" t="s">
        <v>10</v>
      </c>
      <c r="F55" s="11" t="s">
        <v>11</v>
      </c>
      <c r="G55" s="11" t="s">
        <v>12</v>
      </c>
      <c r="H55" s="14" t="s">
        <v>13</v>
      </c>
      <c r="I55" s="17"/>
      <c r="J55" s="17"/>
    </row>
    <row r="56" spans="1:10" x14ac:dyDescent="0.25">
      <c r="A56" s="29" t="s">
        <v>54</v>
      </c>
      <c r="B56" s="29"/>
      <c r="C56" s="10">
        <v>847055</v>
      </c>
      <c r="D56" s="10">
        <v>183</v>
      </c>
      <c r="E56" s="10">
        <v>533670</v>
      </c>
      <c r="F56" s="10">
        <v>28355</v>
      </c>
      <c r="G56" s="10">
        <f>SUM(C56:F56)</f>
        <v>1409263</v>
      </c>
      <c r="H56" s="16">
        <f>ROUND(G56/5682,2)</f>
        <v>248.02</v>
      </c>
      <c r="I56" s="9"/>
      <c r="J56" s="9"/>
    </row>
    <row r="57" spans="1:10" x14ac:dyDescent="0.25">
      <c r="A57" s="29" t="s">
        <v>55</v>
      </c>
      <c r="B57" s="29"/>
      <c r="C57" s="10">
        <v>578420</v>
      </c>
      <c r="D57" s="10">
        <v>19680</v>
      </c>
      <c r="E57" s="10">
        <v>103640</v>
      </c>
      <c r="F57" s="10">
        <v>27030</v>
      </c>
      <c r="G57" s="23">
        <f>SUM(C57:F57)</f>
        <v>728770</v>
      </c>
      <c r="H57" s="16">
        <f>ROUND(G57/5682,2)</f>
        <v>128.26</v>
      </c>
      <c r="I57" s="9"/>
      <c r="J57" s="9"/>
    </row>
    <row r="58" spans="1:10" x14ac:dyDescent="0.25">
      <c r="A58" s="29" t="s">
        <v>56</v>
      </c>
      <c r="B58" s="29"/>
      <c r="C58" s="10">
        <v>0</v>
      </c>
      <c r="D58" s="10">
        <v>0</v>
      </c>
      <c r="E58" s="10">
        <v>0</v>
      </c>
      <c r="F58" s="10">
        <v>0</v>
      </c>
      <c r="G58" s="23">
        <f>SUM(C58:F58)</f>
        <v>0</v>
      </c>
      <c r="H58" s="16">
        <f>ROUND(G58/5682,2)</f>
        <v>0</v>
      </c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A63" s="30" t="s">
        <v>57</v>
      </c>
      <c r="B63" s="30"/>
      <c r="C63" s="14" t="s">
        <v>2</v>
      </c>
      <c r="D63" s="14">
        <v>2023</v>
      </c>
      <c r="E63" s="14" t="s">
        <v>59</v>
      </c>
      <c r="F63" s="13"/>
      <c r="G63" s="14" t="s">
        <v>60</v>
      </c>
      <c r="H63" s="14" t="s">
        <v>2</v>
      </c>
      <c r="I63" s="12" t="s">
        <v>61</v>
      </c>
      <c r="J63" s="12" t="s">
        <v>59</v>
      </c>
    </row>
    <row r="64" spans="1:10" x14ac:dyDescent="0.25">
      <c r="A64" s="29" t="s">
        <v>58</v>
      </c>
      <c r="B64" s="29"/>
      <c r="C64" s="15">
        <f>ROUND(0.6571, 4)</f>
        <v>0.65710000000000002</v>
      </c>
      <c r="D64" s="15">
        <f>ROUND(0.6585, 4)</f>
        <v>0.65849999999999997</v>
      </c>
      <c r="E64" s="15">
        <f>ROUND(0.777, 4)</f>
        <v>0.77700000000000002</v>
      </c>
      <c r="F64" s="8"/>
      <c r="G64" s="14" t="s">
        <v>62</v>
      </c>
      <c r="H64" s="33" t="s">
        <v>63</v>
      </c>
      <c r="I64" s="31" t="s">
        <v>64</v>
      </c>
      <c r="J64" s="31" t="s">
        <v>65</v>
      </c>
    </row>
    <row r="65" spans="1:10" x14ac:dyDescent="0.25">
      <c r="A65" s="29" t="s">
        <v>66</v>
      </c>
      <c r="B65" s="29"/>
      <c r="C65" s="15">
        <f>ROUND(0.6477, 4)</f>
        <v>0.64770000000000005</v>
      </c>
      <c r="D65" s="15">
        <f>ROUND(0.6486, 4)</f>
        <v>0.64859999999999995</v>
      </c>
      <c r="E65" s="15">
        <f>ROUND(0.7608, 4)</f>
        <v>0.76080000000000003</v>
      </c>
      <c r="F65" s="8"/>
      <c r="G65" s="14" t="s">
        <v>67</v>
      </c>
      <c r="H65" s="34"/>
      <c r="I65" s="32"/>
      <c r="J65" s="32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0" t="s">
        <v>68</v>
      </c>
      <c r="B69" s="30"/>
      <c r="C69" s="14" t="s">
        <v>2</v>
      </c>
      <c r="D69" s="14" t="s">
        <v>299</v>
      </c>
      <c r="E69" s="14" t="s">
        <v>70</v>
      </c>
      <c r="F69" s="14" t="s">
        <v>71</v>
      </c>
      <c r="G69" s="14" t="s">
        <v>72</v>
      </c>
      <c r="H69" s="13"/>
      <c r="I69" s="17"/>
      <c r="J69" s="17"/>
    </row>
    <row r="70" spans="1:10" x14ac:dyDescent="0.25">
      <c r="A70" s="29" t="s">
        <v>73</v>
      </c>
      <c r="B70" s="29"/>
      <c r="C70" s="16">
        <v>106.57</v>
      </c>
      <c r="D70" s="16">
        <v>99.74</v>
      </c>
      <c r="E70" s="16">
        <v>93.87</v>
      </c>
      <c r="F70" s="16">
        <v>57.16</v>
      </c>
      <c r="G70" s="16">
        <f>12/12*C70</f>
        <v>106.57</v>
      </c>
      <c r="H70" s="8"/>
      <c r="I70" s="9"/>
      <c r="J70" s="9"/>
    </row>
    <row r="71" spans="1:10" x14ac:dyDescent="0.25">
      <c r="A71" s="29" t="s">
        <v>74</v>
      </c>
      <c r="B71" s="29"/>
      <c r="C71" s="16">
        <v>45.12</v>
      </c>
      <c r="D71" s="16">
        <v>45.66</v>
      </c>
      <c r="E71" s="16">
        <v>62.84</v>
      </c>
      <c r="F71" s="16">
        <v>65.39</v>
      </c>
      <c r="G71" s="16">
        <f>12/12*C71</f>
        <v>45.12</v>
      </c>
      <c r="H71" s="8"/>
      <c r="I71" s="9"/>
      <c r="J71" s="9"/>
    </row>
    <row r="72" spans="1:10" x14ac:dyDescent="0.25">
      <c r="A72" s="29" t="s">
        <v>75</v>
      </c>
      <c r="B72" s="29"/>
      <c r="C72" s="16">
        <v>248.02</v>
      </c>
      <c r="D72" s="16">
        <v>251.67</v>
      </c>
      <c r="E72" s="16">
        <v>295.08999999999997</v>
      </c>
      <c r="F72" s="16">
        <v>289.06</v>
      </c>
      <c r="G72" s="16">
        <f>12/12*C72</f>
        <v>248.02</v>
      </c>
      <c r="H72" s="8"/>
      <c r="I72" s="9"/>
      <c r="J72" s="9"/>
    </row>
    <row r="73" spans="1:10" x14ac:dyDescent="0.25">
      <c r="A73" s="29" t="s">
        <v>76</v>
      </c>
      <c r="B73" s="29"/>
      <c r="C73" s="16">
        <v>128.26</v>
      </c>
      <c r="D73" s="16">
        <v>116.69</v>
      </c>
      <c r="E73" s="16">
        <v>118.05</v>
      </c>
      <c r="F73" s="16">
        <v>81.41</v>
      </c>
      <c r="G73" s="16">
        <f>12/12*C73</f>
        <v>128.26</v>
      </c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  <row r="76" spans="1:10" x14ac:dyDescent="0.25">
      <c r="A76" s="28" t="s">
        <v>60</v>
      </c>
      <c r="B76" s="35"/>
      <c r="C76" s="8"/>
      <c r="D76" s="8"/>
      <c r="E76" s="8"/>
      <c r="F76" s="8"/>
      <c r="G76" s="8"/>
      <c r="H76" s="8"/>
      <c r="I76" s="9"/>
      <c r="J76" s="9"/>
    </row>
    <row r="77" spans="1:10" x14ac:dyDescent="0.25">
      <c r="A77" s="3" t="s">
        <v>77</v>
      </c>
      <c r="B77" s="1" t="s">
        <v>300</v>
      </c>
      <c r="C77" s="8"/>
      <c r="D77" s="8"/>
      <c r="E77" s="8"/>
      <c r="F77" s="8"/>
      <c r="G77" s="8"/>
      <c r="H77" s="8"/>
      <c r="I77" s="9"/>
      <c r="J77" s="9"/>
    </row>
    <row r="78" spans="1:10" x14ac:dyDescent="0.25">
      <c r="A78" s="3" t="s">
        <v>70</v>
      </c>
      <c r="B78" s="1" t="s">
        <v>79</v>
      </c>
    </row>
    <row r="79" spans="1:10" x14ac:dyDescent="0.25">
      <c r="A79" s="3" t="s">
        <v>71</v>
      </c>
      <c r="B79" s="1" t="s">
        <v>80</v>
      </c>
    </row>
    <row r="80" spans="1:10" x14ac:dyDescent="0.25">
      <c r="A80" s="3" t="s">
        <v>72</v>
      </c>
      <c r="B80" s="1" t="s">
        <v>81</v>
      </c>
    </row>
  </sheetData>
  <mergeCells count="19">
    <mergeCell ref="A71:B71"/>
    <mergeCell ref="A72:B72"/>
    <mergeCell ref="A73:B73"/>
    <mergeCell ref="A76:B76"/>
    <mergeCell ref="I64:I65"/>
    <mergeCell ref="J64:J65"/>
    <mergeCell ref="A65:B65"/>
    <mergeCell ref="A69:B69"/>
    <mergeCell ref="A70:B70"/>
    <mergeCell ref="A57:B57"/>
    <mergeCell ref="A58:B58"/>
    <mergeCell ref="A63:B63"/>
    <mergeCell ref="A64:B64"/>
    <mergeCell ref="H64:H65"/>
    <mergeCell ref="C7:G7"/>
    <mergeCell ref="A49:B49"/>
    <mergeCell ref="A50:B50"/>
    <mergeCell ref="A55:B55"/>
    <mergeCell ref="A56:B56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2:J77"/>
  <sheetViews>
    <sheetView workbookViewId="0"/>
  </sheetViews>
  <sheetFormatPr defaultRowHeight="15" x14ac:dyDescent="0.25"/>
  <cols>
    <col min="1" max="1" width="28.42578125" bestFit="1" customWidth="1"/>
    <col min="2" max="2" width="71.140625" bestFit="1" customWidth="1"/>
    <col min="3" max="3" width="12.7109375" bestFit="1" customWidth="1"/>
    <col min="4" max="4" width="40.710937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301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6007</v>
      </c>
    </row>
    <row r="7" spans="1:10" x14ac:dyDescent="0.25">
      <c r="C7" s="28" t="s">
        <v>5</v>
      </c>
      <c r="D7" s="29"/>
      <c r="E7" s="29"/>
      <c r="F7" s="29"/>
      <c r="G7" s="29"/>
    </row>
    <row r="8" spans="1:10" x14ac:dyDescent="0.25">
      <c r="A8" s="25" t="s">
        <v>6</v>
      </c>
      <c r="B8" s="25" t="s">
        <v>7</v>
      </c>
      <c r="C8" s="27" t="s">
        <v>8</v>
      </c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</row>
    <row r="9" spans="1:10" x14ac:dyDescent="0.25">
      <c r="A9" s="1" t="s">
        <v>48</v>
      </c>
      <c r="B9" s="1" t="s">
        <v>50</v>
      </c>
      <c r="C9" s="10"/>
      <c r="D9" s="10"/>
      <c r="E9" s="10"/>
      <c r="F9" s="10">
        <v>289</v>
      </c>
      <c r="G9" s="10">
        <f t="shared" ref="G9:G45" si="0">SUM(C9:F9)</f>
        <v>289</v>
      </c>
      <c r="H9" s="16">
        <f t="shared" ref="H9:H45" si="1">ROUND(G9/6007,2)</f>
        <v>0.05</v>
      </c>
      <c r="I9" s="15">
        <f t="shared" ref="I9:I45" si="2">ROUND(G9/$G$46,3)</f>
        <v>0</v>
      </c>
      <c r="J9" s="15">
        <f>ROUND(G9/185-1,2)</f>
        <v>0.56000000000000005</v>
      </c>
    </row>
    <row r="10" spans="1:10" x14ac:dyDescent="0.25">
      <c r="A10" s="1" t="s">
        <v>48</v>
      </c>
      <c r="B10" s="1" t="s">
        <v>51</v>
      </c>
      <c r="C10" s="10"/>
      <c r="D10" s="10"/>
      <c r="E10" s="10"/>
      <c r="F10" s="10"/>
      <c r="G10" s="10">
        <f t="shared" si="0"/>
        <v>0</v>
      </c>
      <c r="H10" s="16">
        <f t="shared" si="1"/>
        <v>0</v>
      </c>
      <c r="I10" s="15">
        <f t="shared" si="2"/>
        <v>0</v>
      </c>
      <c r="J10" s="15"/>
    </row>
    <row r="11" spans="1:10" x14ac:dyDescent="0.25">
      <c r="A11" s="1" t="s">
        <v>48</v>
      </c>
      <c r="B11" s="1" t="s">
        <v>86</v>
      </c>
      <c r="C11" s="10"/>
      <c r="D11" s="10"/>
      <c r="E11" s="10"/>
      <c r="F11" s="10"/>
      <c r="G11" s="10">
        <f t="shared" si="0"/>
        <v>0</v>
      </c>
      <c r="H11" s="16">
        <f t="shared" si="1"/>
        <v>0</v>
      </c>
      <c r="I11" s="15">
        <f t="shared" si="2"/>
        <v>0</v>
      </c>
      <c r="J11" s="15"/>
    </row>
    <row r="12" spans="1:10" x14ac:dyDescent="0.25">
      <c r="A12" s="1" t="s">
        <v>48</v>
      </c>
      <c r="B12" s="1" t="s">
        <v>49</v>
      </c>
      <c r="C12" s="10"/>
      <c r="D12" s="10"/>
      <c r="E12" s="10"/>
      <c r="F12" s="10"/>
      <c r="G12" s="10">
        <f t="shared" si="0"/>
        <v>0</v>
      </c>
      <c r="H12" s="16">
        <f t="shared" si="1"/>
        <v>0</v>
      </c>
      <c r="I12" s="15">
        <f t="shared" si="2"/>
        <v>0</v>
      </c>
      <c r="J12" s="15"/>
    </row>
    <row r="13" spans="1:10" x14ac:dyDescent="0.25">
      <c r="A13" s="1" t="s">
        <v>16</v>
      </c>
      <c r="B13" s="1" t="s">
        <v>17</v>
      </c>
      <c r="C13" s="10"/>
      <c r="D13" s="10"/>
      <c r="E13" s="10">
        <v>129</v>
      </c>
      <c r="F13" s="10"/>
      <c r="G13" s="10">
        <f t="shared" si="0"/>
        <v>129</v>
      </c>
      <c r="H13" s="16">
        <f t="shared" si="1"/>
        <v>0.02</v>
      </c>
      <c r="I13" s="15">
        <f t="shared" si="2"/>
        <v>0</v>
      </c>
      <c r="J13" s="15">
        <f>ROUND(G13/116-1,2)</f>
        <v>0.11</v>
      </c>
    </row>
    <row r="14" spans="1:10" x14ac:dyDescent="0.25">
      <c r="A14" s="1" t="s">
        <v>16</v>
      </c>
      <c r="B14" s="1" t="s">
        <v>19</v>
      </c>
      <c r="C14" s="10">
        <v>245440</v>
      </c>
      <c r="D14" s="10"/>
      <c r="E14" s="10">
        <v>4060</v>
      </c>
      <c r="F14" s="10"/>
      <c r="G14" s="10">
        <f t="shared" si="0"/>
        <v>249500</v>
      </c>
      <c r="H14" s="16">
        <f t="shared" si="1"/>
        <v>41.53</v>
      </c>
      <c r="I14" s="15">
        <f t="shared" si="2"/>
        <v>0.104</v>
      </c>
      <c r="J14" s="15">
        <f>ROUND(G14/254840-1,2)</f>
        <v>-0.02</v>
      </c>
    </row>
    <row r="15" spans="1:10" x14ac:dyDescent="0.25">
      <c r="A15" s="1" t="s">
        <v>16</v>
      </c>
      <c r="B15" s="1" t="s">
        <v>20</v>
      </c>
      <c r="C15" s="10">
        <v>217680</v>
      </c>
      <c r="D15" s="10"/>
      <c r="E15" s="10"/>
      <c r="F15" s="10"/>
      <c r="G15" s="10">
        <f t="shared" si="0"/>
        <v>217680</v>
      </c>
      <c r="H15" s="16">
        <f t="shared" si="1"/>
        <v>36.24</v>
      </c>
      <c r="I15" s="15">
        <f t="shared" si="2"/>
        <v>9.0999999999999998E-2</v>
      </c>
      <c r="J15" s="15">
        <f>ROUND(G15/225290-1,2)</f>
        <v>-0.03</v>
      </c>
    </row>
    <row r="16" spans="1:10" x14ac:dyDescent="0.25">
      <c r="A16" s="1" t="s">
        <v>16</v>
      </c>
      <c r="B16" s="1" t="s">
        <v>95</v>
      </c>
      <c r="C16" s="10"/>
      <c r="D16" s="10"/>
      <c r="E16" s="10">
        <v>353</v>
      </c>
      <c r="F16" s="10"/>
      <c r="G16" s="10">
        <f t="shared" si="0"/>
        <v>353</v>
      </c>
      <c r="H16" s="16">
        <f t="shared" si="1"/>
        <v>0.06</v>
      </c>
      <c r="I16" s="15">
        <f t="shared" si="2"/>
        <v>0</v>
      </c>
      <c r="J16" s="15">
        <f>ROUND(G16/243-1,2)</f>
        <v>0.45</v>
      </c>
    </row>
    <row r="17" spans="1:10" x14ac:dyDescent="0.25">
      <c r="A17" s="1" t="s">
        <v>16</v>
      </c>
      <c r="B17" s="1" t="s">
        <v>21</v>
      </c>
      <c r="C17" s="10"/>
      <c r="D17" s="10"/>
      <c r="E17" s="10">
        <v>186</v>
      </c>
      <c r="F17" s="10"/>
      <c r="G17" s="10">
        <f t="shared" si="0"/>
        <v>186</v>
      </c>
      <c r="H17" s="16">
        <f t="shared" si="1"/>
        <v>0.03</v>
      </c>
      <c r="I17" s="15">
        <f t="shared" si="2"/>
        <v>0</v>
      </c>
      <c r="J17" s="15">
        <f>ROUND(G17/225-1,2)</f>
        <v>-0.17</v>
      </c>
    </row>
    <row r="18" spans="1:10" x14ac:dyDescent="0.25">
      <c r="A18" s="1" t="s">
        <v>16</v>
      </c>
      <c r="B18" s="1" t="s">
        <v>22</v>
      </c>
      <c r="C18" s="10"/>
      <c r="D18" s="10"/>
      <c r="E18" s="10">
        <v>2660</v>
      </c>
      <c r="F18" s="10"/>
      <c r="G18" s="10">
        <f t="shared" si="0"/>
        <v>2660</v>
      </c>
      <c r="H18" s="16">
        <f t="shared" si="1"/>
        <v>0.44</v>
      </c>
      <c r="I18" s="15">
        <f t="shared" si="2"/>
        <v>1E-3</v>
      </c>
      <c r="J18" s="15">
        <f>ROUND(G18/1900-1,2)</f>
        <v>0.4</v>
      </c>
    </row>
    <row r="19" spans="1:10" x14ac:dyDescent="0.25">
      <c r="A19" s="1" t="s">
        <v>16</v>
      </c>
      <c r="B19" s="1" t="s">
        <v>302</v>
      </c>
      <c r="C19" s="10"/>
      <c r="D19" s="10"/>
      <c r="E19" s="10">
        <v>7070</v>
      </c>
      <c r="F19" s="10"/>
      <c r="G19" s="10">
        <f t="shared" si="0"/>
        <v>7070</v>
      </c>
      <c r="H19" s="16">
        <f t="shared" si="1"/>
        <v>1.18</v>
      </c>
      <c r="I19" s="15">
        <f t="shared" si="2"/>
        <v>3.0000000000000001E-3</v>
      </c>
      <c r="J19" s="15">
        <f>ROUND(G19/7870-1,2)</f>
        <v>-0.1</v>
      </c>
    </row>
    <row r="20" spans="1:10" x14ac:dyDescent="0.25">
      <c r="A20" s="1" t="s">
        <v>16</v>
      </c>
      <c r="B20" s="1" t="s">
        <v>23</v>
      </c>
      <c r="C20" s="10"/>
      <c r="D20" s="10"/>
      <c r="E20" s="10">
        <v>55440</v>
      </c>
      <c r="F20" s="10"/>
      <c r="G20" s="10">
        <f t="shared" si="0"/>
        <v>55440</v>
      </c>
      <c r="H20" s="16">
        <f t="shared" si="1"/>
        <v>9.23</v>
      </c>
      <c r="I20" s="15">
        <f t="shared" si="2"/>
        <v>2.3E-2</v>
      </c>
      <c r="J20" s="15">
        <f>ROUND(G20/47200-1,2)</f>
        <v>0.17</v>
      </c>
    </row>
    <row r="21" spans="1:10" x14ac:dyDescent="0.25">
      <c r="A21" s="1" t="s">
        <v>16</v>
      </c>
      <c r="B21" s="1" t="s">
        <v>24</v>
      </c>
      <c r="C21" s="10">
        <v>321000</v>
      </c>
      <c r="D21" s="10"/>
      <c r="E21" s="10">
        <v>33060</v>
      </c>
      <c r="F21" s="10"/>
      <c r="G21" s="10">
        <f t="shared" si="0"/>
        <v>354060</v>
      </c>
      <c r="H21" s="16">
        <f t="shared" si="1"/>
        <v>58.94</v>
      </c>
      <c r="I21" s="15">
        <f t="shared" si="2"/>
        <v>0.14799999999999999</v>
      </c>
      <c r="J21" s="15">
        <f>ROUND(G21/346350-1,2)</f>
        <v>0.02</v>
      </c>
    </row>
    <row r="22" spans="1:10" x14ac:dyDescent="0.25">
      <c r="A22" s="1" t="s">
        <v>16</v>
      </c>
      <c r="B22" s="1" t="s">
        <v>25</v>
      </c>
      <c r="C22" s="10"/>
      <c r="D22" s="10"/>
      <c r="E22" s="10">
        <v>10150</v>
      </c>
      <c r="F22" s="10"/>
      <c r="G22" s="10">
        <f t="shared" si="0"/>
        <v>10150</v>
      </c>
      <c r="H22" s="16">
        <f t="shared" si="1"/>
        <v>1.69</v>
      </c>
      <c r="I22" s="15">
        <f t="shared" si="2"/>
        <v>4.0000000000000001E-3</v>
      </c>
      <c r="J22" s="15">
        <f>ROUND(G22/6580-1,2)</f>
        <v>0.54</v>
      </c>
    </row>
    <row r="23" spans="1:10" x14ac:dyDescent="0.25">
      <c r="A23" s="1" t="s">
        <v>16</v>
      </c>
      <c r="B23" s="1" t="s">
        <v>26</v>
      </c>
      <c r="C23" s="10">
        <v>380330</v>
      </c>
      <c r="D23" s="10"/>
      <c r="E23" s="10"/>
      <c r="F23" s="10">
        <v>1890</v>
      </c>
      <c r="G23" s="10">
        <f t="shared" si="0"/>
        <v>382220</v>
      </c>
      <c r="H23" s="16">
        <f t="shared" si="1"/>
        <v>63.63</v>
      </c>
      <c r="I23" s="15">
        <f t="shared" si="2"/>
        <v>0.16</v>
      </c>
      <c r="J23" s="15">
        <f>ROUND(G23/374260-1,2)</f>
        <v>0.02</v>
      </c>
    </row>
    <row r="24" spans="1:10" x14ac:dyDescent="0.25">
      <c r="A24" s="1" t="s">
        <v>16</v>
      </c>
      <c r="B24" s="1" t="s">
        <v>27</v>
      </c>
      <c r="C24" s="10"/>
      <c r="D24" s="10"/>
      <c r="E24" s="10">
        <v>639</v>
      </c>
      <c r="F24" s="10"/>
      <c r="G24" s="10">
        <f t="shared" si="0"/>
        <v>639</v>
      </c>
      <c r="H24" s="16">
        <f t="shared" si="1"/>
        <v>0.11</v>
      </c>
      <c r="I24" s="15">
        <f t="shared" si="2"/>
        <v>0</v>
      </c>
      <c r="J24" s="15">
        <f>ROUND(G24/1173-1,2)</f>
        <v>-0.46</v>
      </c>
    </row>
    <row r="25" spans="1:10" x14ac:dyDescent="0.25">
      <c r="A25" s="1" t="s">
        <v>16</v>
      </c>
      <c r="B25" s="1" t="s">
        <v>28</v>
      </c>
      <c r="C25" s="10"/>
      <c r="D25" s="10"/>
      <c r="E25" s="10">
        <v>817</v>
      </c>
      <c r="F25" s="10"/>
      <c r="G25" s="10">
        <f t="shared" si="0"/>
        <v>817</v>
      </c>
      <c r="H25" s="16">
        <f t="shared" si="1"/>
        <v>0.14000000000000001</v>
      </c>
      <c r="I25" s="15">
        <f t="shared" si="2"/>
        <v>0</v>
      </c>
      <c r="J25" s="15">
        <f>ROUND(G25/617-1,2)</f>
        <v>0.32</v>
      </c>
    </row>
    <row r="26" spans="1:10" x14ac:dyDescent="0.25">
      <c r="A26" s="1" t="s">
        <v>16</v>
      </c>
      <c r="B26" s="1" t="s">
        <v>29</v>
      </c>
      <c r="C26" s="10"/>
      <c r="D26" s="10"/>
      <c r="E26" s="10">
        <v>2770</v>
      </c>
      <c r="F26" s="10"/>
      <c r="G26" s="10">
        <f t="shared" si="0"/>
        <v>2770</v>
      </c>
      <c r="H26" s="16">
        <f t="shared" si="1"/>
        <v>0.46</v>
      </c>
      <c r="I26" s="15">
        <f t="shared" si="2"/>
        <v>1E-3</v>
      </c>
      <c r="J26" s="15">
        <f>ROUND(G26/7630-1,2)</f>
        <v>-0.64</v>
      </c>
    </row>
    <row r="27" spans="1:10" x14ac:dyDescent="0.25">
      <c r="A27" s="1" t="s">
        <v>16</v>
      </c>
      <c r="B27" s="1" t="s">
        <v>30</v>
      </c>
      <c r="C27" s="10"/>
      <c r="D27" s="10"/>
      <c r="E27" s="10">
        <v>1250</v>
      </c>
      <c r="F27" s="10"/>
      <c r="G27" s="10">
        <f t="shared" si="0"/>
        <v>1250</v>
      </c>
      <c r="H27" s="16">
        <f t="shared" si="1"/>
        <v>0.21</v>
      </c>
      <c r="I27" s="15">
        <f t="shared" si="2"/>
        <v>1E-3</v>
      </c>
      <c r="J27" s="15">
        <f>ROUND(G27/1070-1,2)</f>
        <v>0.17</v>
      </c>
    </row>
    <row r="28" spans="1:10" x14ac:dyDescent="0.25">
      <c r="A28" s="1" t="s">
        <v>16</v>
      </c>
      <c r="B28" s="1" t="s">
        <v>31</v>
      </c>
      <c r="C28" s="10"/>
      <c r="D28" s="10"/>
      <c r="E28" s="10">
        <v>1130</v>
      </c>
      <c r="F28" s="10"/>
      <c r="G28" s="10">
        <f t="shared" si="0"/>
        <v>1130</v>
      </c>
      <c r="H28" s="16">
        <f t="shared" si="1"/>
        <v>0.19</v>
      </c>
      <c r="I28" s="15">
        <f t="shared" si="2"/>
        <v>0</v>
      </c>
      <c r="J28" s="15">
        <f>ROUND(G28/1170-1,2)</f>
        <v>-0.03</v>
      </c>
    </row>
    <row r="29" spans="1:10" x14ac:dyDescent="0.25">
      <c r="A29" s="1" t="s">
        <v>16</v>
      </c>
      <c r="B29" s="1" t="s">
        <v>32</v>
      </c>
      <c r="C29" s="10"/>
      <c r="D29" s="10"/>
      <c r="E29" s="10">
        <v>2991</v>
      </c>
      <c r="F29" s="10"/>
      <c r="G29" s="10">
        <f t="shared" si="0"/>
        <v>2991</v>
      </c>
      <c r="H29" s="16">
        <f t="shared" si="1"/>
        <v>0.5</v>
      </c>
      <c r="I29" s="15">
        <f t="shared" si="2"/>
        <v>1E-3</v>
      </c>
      <c r="J29" s="15">
        <f>ROUND(G29/3530-1,2)</f>
        <v>-0.15</v>
      </c>
    </row>
    <row r="30" spans="1:10" x14ac:dyDescent="0.25">
      <c r="A30" s="1" t="s">
        <v>16</v>
      </c>
      <c r="B30" s="1" t="s">
        <v>33</v>
      </c>
      <c r="C30" s="10"/>
      <c r="D30" s="10">
        <v>353</v>
      </c>
      <c r="E30" s="10">
        <v>75</v>
      </c>
      <c r="F30" s="10"/>
      <c r="G30" s="10">
        <f t="shared" si="0"/>
        <v>428</v>
      </c>
      <c r="H30" s="16">
        <f t="shared" si="1"/>
        <v>7.0000000000000007E-2</v>
      </c>
      <c r="I30" s="15">
        <f t="shared" si="2"/>
        <v>0</v>
      </c>
      <c r="J30" s="15">
        <f>ROUND(G30/369-1,2)</f>
        <v>0.16</v>
      </c>
    </row>
    <row r="31" spans="1:10" x14ac:dyDescent="0.25">
      <c r="A31" s="1" t="s">
        <v>16</v>
      </c>
      <c r="B31" s="1" t="s">
        <v>34</v>
      </c>
      <c r="C31" s="10"/>
      <c r="D31" s="10"/>
      <c r="E31" s="10">
        <v>1120</v>
      </c>
      <c r="F31" s="10"/>
      <c r="G31" s="10">
        <f t="shared" si="0"/>
        <v>1120</v>
      </c>
      <c r="H31" s="16">
        <f t="shared" si="1"/>
        <v>0.19</v>
      </c>
      <c r="I31" s="15">
        <f t="shared" si="2"/>
        <v>0</v>
      </c>
      <c r="J31" s="15"/>
    </row>
    <row r="32" spans="1:10" x14ac:dyDescent="0.25">
      <c r="A32" s="1" t="s">
        <v>16</v>
      </c>
      <c r="B32" s="1" t="s">
        <v>37</v>
      </c>
      <c r="C32" s="10"/>
      <c r="D32" s="10"/>
      <c r="E32" s="10">
        <v>5200</v>
      </c>
      <c r="F32" s="10"/>
      <c r="G32" s="10">
        <f t="shared" si="0"/>
        <v>5200</v>
      </c>
      <c r="H32" s="16">
        <f t="shared" si="1"/>
        <v>0.87</v>
      </c>
      <c r="I32" s="15">
        <f t="shared" si="2"/>
        <v>2E-3</v>
      </c>
      <c r="J32" s="15">
        <f>ROUND(G32/7166-1,2)</f>
        <v>-0.27</v>
      </c>
    </row>
    <row r="33" spans="1:10" x14ac:dyDescent="0.25">
      <c r="A33" s="1" t="s">
        <v>16</v>
      </c>
      <c r="B33" s="1" t="s">
        <v>43</v>
      </c>
      <c r="C33" s="10"/>
      <c r="D33" s="10"/>
      <c r="E33" s="10">
        <v>4200</v>
      </c>
      <c r="F33" s="10"/>
      <c r="G33" s="10">
        <f t="shared" si="0"/>
        <v>4200</v>
      </c>
      <c r="H33" s="16">
        <f t="shared" si="1"/>
        <v>0.7</v>
      </c>
      <c r="I33" s="15">
        <f t="shared" si="2"/>
        <v>2E-3</v>
      </c>
      <c r="J33" s="15">
        <f>ROUND(G33/8222-1,2)</f>
        <v>-0.49</v>
      </c>
    </row>
    <row r="34" spans="1:10" x14ac:dyDescent="0.25">
      <c r="A34" s="1" t="s">
        <v>16</v>
      </c>
      <c r="B34" s="1" t="s">
        <v>38</v>
      </c>
      <c r="C34" s="10"/>
      <c r="D34" s="10"/>
      <c r="E34" s="10">
        <v>161560</v>
      </c>
      <c r="F34" s="10"/>
      <c r="G34" s="10">
        <f t="shared" si="0"/>
        <v>161560</v>
      </c>
      <c r="H34" s="16">
        <f t="shared" si="1"/>
        <v>26.9</v>
      </c>
      <c r="I34" s="15">
        <f t="shared" si="2"/>
        <v>6.8000000000000005E-2</v>
      </c>
      <c r="J34" s="15">
        <f>ROUND(G34/151210-1,2)</f>
        <v>7.0000000000000007E-2</v>
      </c>
    </row>
    <row r="35" spans="1:10" x14ac:dyDescent="0.25">
      <c r="A35" s="1" t="s">
        <v>16</v>
      </c>
      <c r="B35" s="1" t="s">
        <v>39</v>
      </c>
      <c r="C35" s="10"/>
      <c r="D35" s="10"/>
      <c r="E35" s="10">
        <v>6900</v>
      </c>
      <c r="F35" s="10"/>
      <c r="G35" s="10">
        <f t="shared" si="0"/>
        <v>6900</v>
      </c>
      <c r="H35" s="16">
        <f t="shared" si="1"/>
        <v>1.1499999999999999</v>
      </c>
      <c r="I35" s="15">
        <f t="shared" si="2"/>
        <v>3.0000000000000001E-3</v>
      </c>
      <c r="J35" s="15">
        <f>ROUND(G35/17070-1,2)</f>
        <v>-0.6</v>
      </c>
    </row>
    <row r="36" spans="1:10" x14ac:dyDescent="0.25">
      <c r="A36" s="1" t="s">
        <v>16</v>
      </c>
      <c r="B36" s="1" t="s">
        <v>40</v>
      </c>
      <c r="C36" s="10"/>
      <c r="D36" s="10"/>
      <c r="E36" s="10">
        <v>21750</v>
      </c>
      <c r="F36" s="10"/>
      <c r="G36" s="10">
        <f t="shared" si="0"/>
        <v>21750</v>
      </c>
      <c r="H36" s="16">
        <f t="shared" si="1"/>
        <v>3.62</v>
      </c>
      <c r="I36" s="15">
        <f t="shared" si="2"/>
        <v>8.9999999999999993E-3</v>
      </c>
      <c r="J36" s="15">
        <f>ROUND(G36/17970-1,2)</f>
        <v>0.21</v>
      </c>
    </row>
    <row r="37" spans="1:10" x14ac:dyDescent="0.25">
      <c r="A37" s="1" t="s">
        <v>16</v>
      </c>
      <c r="B37" s="1" t="s">
        <v>41</v>
      </c>
      <c r="C37" s="10"/>
      <c r="D37" s="10"/>
      <c r="E37" s="10">
        <v>407360</v>
      </c>
      <c r="F37" s="10">
        <v>9440</v>
      </c>
      <c r="G37" s="10">
        <f t="shared" si="0"/>
        <v>416800</v>
      </c>
      <c r="H37" s="16">
        <f t="shared" si="1"/>
        <v>69.39</v>
      </c>
      <c r="I37" s="15">
        <f t="shared" si="2"/>
        <v>0.17399999999999999</v>
      </c>
      <c r="J37" s="15">
        <f>ROUND(G37/297380-1,2)</f>
        <v>0.4</v>
      </c>
    </row>
    <row r="38" spans="1:10" x14ac:dyDescent="0.25">
      <c r="A38" s="1" t="s">
        <v>16</v>
      </c>
      <c r="B38" s="1" t="s">
        <v>42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>
        <f>ROUND(G38/89-1,2)</f>
        <v>-1</v>
      </c>
    </row>
    <row r="39" spans="1:10" x14ac:dyDescent="0.25">
      <c r="A39" s="1" t="s">
        <v>16</v>
      </c>
      <c r="B39" s="1" t="s">
        <v>36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>
        <f>ROUND(G39/4904-1,2)</f>
        <v>-1</v>
      </c>
    </row>
    <row r="40" spans="1:10" x14ac:dyDescent="0.25">
      <c r="A40" s="1" t="s">
        <v>16</v>
      </c>
      <c r="B40" s="1" t="s">
        <v>35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>
        <f>ROUND(G40/400-1,2)</f>
        <v>-1</v>
      </c>
    </row>
    <row r="41" spans="1:10" x14ac:dyDescent="0.25">
      <c r="A41" s="1" t="s">
        <v>16</v>
      </c>
      <c r="B41" s="1" t="s">
        <v>96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/>
    </row>
    <row r="42" spans="1:10" x14ac:dyDescent="0.25">
      <c r="A42" s="1" t="s">
        <v>16</v>
      </c>
      <c r="B42" s="1" t="s">
        <v>303</v>
      </c>
      <c r="C42" s="10"/>
      <c r="D42" s="10"/>
      <c r="E42" s="10"/>
      <c r="F42" s="10"/>
      <c r="G42" s="10">
        <f t="shared" si="0"/>
        <v>0</v>
      </c>
      <c r="H42" s="16">
        <f t="shared" si="1"/>
        <v>0</v>
      </c>
      <c r="I42" s="15">
        <f t="shared" si="2"/>
        <v>0</v>
      </c>
      <c r="J42" s="15">
        <f>ROUND(G42/1510-1,2)</f>
        <v>-1</v>
      </c>
    </row>
    <row r="43" spans="1:10" x14ac:dyDescent="0.25">
      <c r="A43" s="1" t="s">
        <v>44</v>
      </c>
      <c r="B43" s="1" t="s">
        <v>45</v>
      </c>
      <c r="C43" s="10">
        <v>345960</v>
      </c>
      <c r="D43" s="10"/>
      <c r="E43" s="10"/>
      <c r="F43" s="10"/>
      <c r="G43" s="10">
        <f t="shared" si="0"/>
        <v>345960</v>
      </c>
      <c r="H43" s="16">
        <f t="shared" si="1"/>
        <v>57.59</v>
      </c>
      <c r="I43" s="15">
        <f t="shared" si="2"/>
        <v>0.14499999999999999</v>
      </c>
      <c r="J43" s="15">
        <f>ROUND(G43/355490-1,2)</f>
        <v>-0.03</v>
      </c>
    </row>
    <row r="44" spans="1:10" x14ac:dyDescent="0.25">
      <c r="A44" s="1" t="s">
        <v>44</v>
      </c>
      <c r="B44" s="1" t="s">
        <v>47</v>
      </c>
      <c r="C44" s="10"/>
      <c r="D44" s="10"/>
      <c r="E44" s="10"/>
      <c r="F44" s="10">
        <v>49830</v>
      </c>
      <c r="G44" s="10">
        <f t="shared" si="0"/>
        <v>49830</v>
      </c>
      <c r="H44" s="16">
        <f t="shared" si="1"/>
        <v>8.3000000000000007</v>
      </c>
      <c r="I44" s="15">
        <f t="shared" si="2"/>
        <v>2.1000000000000001E-2</v>
      </c>
      <c r="J44" s="15">
        <f>ROUND(G44/48350-1,2)</f>
        <v>0.03</v>
      </c>
    </row>
    <row r="45" spans="1:10" x14ac:dyDescent="0.25">
      <c r="A45" s="1" t="s">
        <v>44</v>
      </c>
      <c r="B45" s="1" t="s">
        <v>46</v>
      </c>
      <c r="C45" s="10"/>
      <c r="D45" s="10"/>
      <c r="E45" s="10">
        <v>88745</v>
      </c>
      <c r="F45" s="10"/>
      <c r="G45" s="10">
        <f t="shared" si="0"/>
        <v>88745</v>
      </c>
      <c r="H45" s="16">
        <f t="shared" si="1"/>
        <v>14.77</v>
      </c>
      <c r="I45" s="15">
        <f t="shared" si="2"/>
        <v>3.6999999999999998E-2</v>
      </c>
      <c r="J45" s="15">
        <f>ROUND(G45/83000-1,2)</f>
        <v>7.0000000000000007E-2</v>
      </c>
    </row>
    <row r="46" spans="1:10" x14ac:dyDescent="0.25">
      <c r="A46" s="30" t="s">
        <v>12</v>
      </c>
      <c r="B46" s="30"/>
      <c r="C46" s="11">
        <f t="shared" ref="C46:H46" si="3">SUM(C8:C45)</f>
        <v>1510410</v>
      </c>
      <c r="D46" s="11">
        <f t="shared" si="3"/>
        <v>353</v>
      </c>
      <c r="E46" s="11">
        <f t="shared" si="3"/>
        <v>819615</v>
      </c>
      <c r="F46" s="11">
        <f t="shared" si="3"/>
        <v>61449</v>
      </c>
      <c r="G46" s="11">
        <f t="shared" si="3"/>
        <v>2391827</v>
      </c>
      <c r="H46" s="14">
        <f t="shared" si="3"/>
        <v>398.2</v>
      </c>
      <c r="I46" s="17"/>
      <c r="J46" s="17"/>
    </row>
    <row r="47" spans="1:10" x14ac:dyDescent="0.25">
      <c r="A47" s="30" t="s">
        <v>14</v>
      </c>
      <c r="B47" s="30"/>
      <c r="C47" s="12">
        <f>ROUND(C46/G46,2)</f>
        <v>0.63</v>
      </c>
      <c r="D47" s="12">
        <f>ROUND(D46/G46,2)</f>
        <v>0</v>
      </c>
      <c r="E47" s="12">
        <f>ROUND(E46/G46,2)</f>
        <v>0.34</v>
      </c>
      <c r="F47" s="12">
        <f>ROUND(F46/G46,2)</f>
        <v>0.03</v>
      </c>
      <c r="G47" s="13"/>
      <c r="H47" s="13"/>
      <c r="I47" s="17"/>
      <c r="J47" s="17"/>
    </row>
    <row r="48" spans="1:10" x14ac:dyDescent="0.25">
      <c r="A48" s="2" t="s">
        <v>52</v>
      </c>
      <c r="B48" s="2"/>
      <c r="C48" s="13"/>
      <c r="D48" s="13"/>
      <c r="E48" s="13"/>
      <c r="F48" s="13"/>
      <c r="G48" s="13"/>
      <c r="H48" s="13"/>
      <c r="I48" s="17"/>
      <c r="J48" s="17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A52" s="30" t="s">
        <v>53</v>
      </c>
      <c r="B52" s="30"/>
      <c r="C52" s="11" t="s">
        <v>8</v>
      </c>
      <c r="D52" s="11" t="s">
        <v>9</v>
      </c>
      <c r="E52" s="11" t="s">
        <v>10</v>
      </c>
      <c r="F52" s="11" t="s">
        <v>11</v>
      </c>
      <c r="G52" s="11" t="s">
        <v>12</v>
      </c>
      <c r="H52" s="14" t="s">
        <v>13</v>
      </c>
      <c r="I52" s="17"/>
      <c r="J52" s="17"/>
    </row>
    <row r="53" spans="1:10" x14ac:dyDescent="0.25">
      <c r="A53" s="29" t="s">
        <v>54</v>
      </c>
      <c r="B53" s="29"/>
      <c r="C53" s="10">
        <v>1164450</v>
      </c>
      <c r="D53" s="10">
        <v>353</v>
      </c>
      <c r="E53" s="10">
        <v>730870</v>
      </c>
      <c r="F53" s="10">
        <v>11330</v>
      </c>
      <c r="G53" s="10">
        <f>SUM(C53:F53)</f>
        <v>1907003</v>
      </c>
      <c r="H53" s="16">
        <f>ROUND(G53/6007,2)</f>
        <v>317.45999999999998</v>
      </c>
      <c r="I53" s="9"/>
      <c r="J53" s="9"/>
    </row>
    <row r="54" spans="1:10" x14ac:dyDescent="0.25">
      <c r="A54" s="29" t="s">
        <v>55</v>
      </c>
      <c r="B54" s="29"/>
      <c r="C54" s="10">
        <v>345960</v>
      </c>
      <c r="D54" s="10">
        <v>0</v>
      </c>
      <c r="E54" s="10">
        <v>88745</v>
      </c>
      <c r="F54" s="10">
        <v>49830</v>
      </c>
      <c r="G54" s="10">
        <f>SUM(C54:F54)</f>
        <v>484535</v>
      </c>
      <c r="H54" s="16">
        <f>ROUND(G54/6007,2)</f>
        <v>80.66</v>
      </c>
      <c r="I54" s="9"/>
      <c r="J54" s="9"/>
    </row>
    <row r="55" spans="1:10" x14ac:dyDescent="0.25">
      <c r="A55" s="29" t="s">
        <v>56</v>
      </c>
      <c r="B55" s="29"/>
      <c r="C55" s="10">
        <v>0</v>
      </c>
      <c r="D55" s="10">
        <v>0</v>
      </c>
      <c r="E55" s="10">
        <v>0</v>
      </c>
      <c r="F55" s="10">
        <v>289</v>
      </c>
      <c r="G55" s="10">
        <f>SUM(C55:F55)</f>
        <v>289</v>
      </c>
      <c r="H55" s="16">
        <f>ROUND(G55/6007,2)</f>
        <v>0.05</v>
      </c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21"/>
      <c r="H57" s="8"/>
      <c r="I57" s="9"/>
      <c r="J57" s="9"/>
    </row>
    <row r="58" spans="1:10" x14ac:dyDescent="0.25">
      <c r="C58" s="8"/>
      <c r="D58" s="8"/>
      <c r="E58" s="8"/>
      <c r="F58" s="8"/>
      <c r="G58" s="21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A60" s="30" t="s">
        <v>57</v>
      </c>
      <c r="B60" s="30"/>
      <c r="C60" s="14" t="s">
        <v>2</v>
      </c>
      <c r="D60" s="14">
        <v>2023</v>
      </c>
      <c r="E60" s="14" t="s">
        <v>59</v>
      </c>
      <c r="F60" s="13"/>
      <c r="G60" s="14" t="s">
        <v>60</v>
      </c>
      <c r="H60" s="14" t="s">
        <v>2</v>
      </c>
      <c r="I60" s="12" t="s">
        <v>61</v>
      </c>
      <c r="J60" s="12" t="s">
        <v>59</v>
      </c>
    </row>
    <row r="61" spans="1:10" x14ac:dyDescent="0.25">
      <c r="A61" s="29" t="s">
        <v>58</v>
      </c>
      <c r="B61" s="29"/>
      <c r="C61" s="15">
        <f>ROUND(0.8449, 4)</f>
        <v>0.84489999999999998</v>
      </c>
      <c r="D61" s="15">
        <f>ROUND(0.833, 4)</f>
        <v>0.83299999999999996</v>
      </c>
      <c r="E61" s="15">
        <f>ROUND(0.777, 4)</f>
        <v>0.77700000000000002</v>
      </c>
      <c r="F61" s="8"/>
      <c r="G61" s="14" t="s">
        <v>62</v>
      </c>
      <c r="H61" s="33" t="s">
        <v>63</v>
      </c>
      <c r="I61" s="31" t="s">
        <v>64</v>
      </c>
      <c r="J61" s="31" t="s">
        <v>65</v>
      </c>
    </row>
    <row r="62" spans="1:10" x14ac:dyDescent="0.25">
      <c r="A62" s="29" t="s">
        <v>66</v>
      </c>
      <c r="B62" s="29"/>
      <c r="C62" s="15">
        <f>ROUND(0.8312, 4)</f>
        <v>0.83120000000000005</v>
      </c>
      <c r="D62" s="15">
        <f>ROUND(0.8183, 4)</f>
        <v>0.81830000000000003</v>
      </c>
      <c r="E62" s="15">
        <f>ROUND(0.7608, 4)</f>
        <v>0.76080000000000003</v>
      </c>
      <c r="F62" s="8"/>
      <c r="G62" s="14" t="s">
        <v>67</v>
      </c>
      <c r="H62" s="34"/>
      <c r="I62" s="32"/>
      <c r="J62" s="32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30" t="s">
        <v>68</v>
      </c>
      <c r="B66" s="30"/>
      <c r="C66" s="14" t="s">
        <v>2</v>
      </c>
      <c r="D66" s="14" t="s">
        <v>304</v>
      </c>
      <c r="E66" s="14" t="s">
        <v>70</v>
      </c>
      <c r="F66" s="14" t="s">
        <v>71</v>
      </c>
      <c r="G66" s="14" t="s">
        <v>72</v>
      </c>
      <c r="H66" s="13"/>
      <c r="I66" s="17"/>
      <c r="J66" s="17"/>
    </row>
    <row r="67" spans="1:10" x14ac:dyDescent="0.25">
      <c r="A67" s="29" t="s">
        <v>73</v>
      </c>
      <c r="B67" s="29"/>
      <c r="C67" s="16">
        <v>57.59</v>
      </c>
      <c r="D67" s="16">
        <v>72.33</v>
      </c>
      <c r="E67" s="16">
        <v>93.87</v>
      </c>
      <c r="F67" s="16">
        <v>57.16</v>
      </c>
      <c r="G67" s="16">
        <f>12/12*C67</f>
        <v>57.59</v>
      </c>
      <c r="H67" s="8"/>
      <c r="I67" s="9"/>
      <c r="J67" s="9"/>
    </row>
    <row r="68" spans="1:10" x14ac:dyDescent="0.25">
      <c r="A68" s="29" t="s">
        <v>74</v>
      </c>
      <c r="B68" s="29"/>
      <c r="C68" s="16">
        <v>63.63</v>
      </c>
      <c r="D68" s="16">
        <v>61.88</v>
      </c>
      <c r="E68" s="16">
        <v>62.84</v>
      </c>
      <c r="F68" s="16">
        <v>65.39</v>
      </c>
      <c r="G68" s="16">
        <f>12/12*C68</f>
        <v>63.63</v>
      </c>
      <c r="H68" s="8"/>
      <c r="I68" s="9"/>
      <c r="J68" s="9"/>
    </row>
    <row r="69" spans="1:10" x14ac:dyDescent="0.25">
      <c r="A69" s="29" t="s">
        <v>75</v>
      </c>
      <c r="B69" s="29"/>
      <c r="C69" s="16">
        <v>317.45999999999998</v>
      </c>
      <c r="D69" s="16">
        <v>327.9</v>
      </c>
      <c r="E69" s="16">
        <v>295.08999999999997</v>
      </c>
      <c r="F69" s="16">
        <v>289.06</v>
      </c>
      <c r="G69" s="16">
        <f>12/12*C69</f>
        <v>317.45999999999998</v>
      </c>
      <c r="H69" s="8"/>
      <c r="I69" s="9"/>
      <c r="J69" s="9"/>
    </row>
    <row r="70" spans="1:10" x14ac:dyDescent="0.25">
      <c r="A70" s="29" t="s">
        <v>76</v>
      </c>
      <c r="B70" s="29"/>
      <c r="C70" s="16">
        <v>80.66</v>
      </c>
      <c r="D70" s="16">
        <v>97.81</v>
      </c>
      <c r="E70" s="16">
        <v>118.05</v>
      </c>
      <c r="F70" s="16">
        <v>81.41</v>
      </c>
      <c r="G70" s="16">
        <f>12/12*C70</f>
        <v>80.66</v>
      </c>
      <c r="H70" s="8"/>
      <c r="I70" s="9"/>
      <c r="J70" s="9"/>
    </row>
    <row r="73" spans="1:10" x14ac:dyDescent="0.25">
      <c r="A73" s="28" t="s">
        <v>60</v>
      </c>
      <c r="B73" s="35"/>
    </row>
    <row r="74" spans="1:10" x14ac:dyDescent="0.25">
      <c r="A74" s="3" t="s">
        <v>77</v>
      </c>
      <c r="B74" s="1" t="s">
        <v>305</v>
      </c>
    </row>
    <row r="75" spans="1:10" x14ac:dyDescent="0.25">
      <c r="A75" s="3" t="s">
        <v>70</v>
      </c>
      <c r="B75" s="1" t="s">
        <v>79</v>
      </c>
    </row>
    <row r="76" spans="1:10" x14ac:dyDescent="0.25">
      <c r="A76" s="3" t="s">
        <v>71</v>
      </c>
      <c r="B76" s="1" t="s">
        <v>80</v>
      </c>
    </row>
    <row r="77" spans="1:10" x14ac:dyDescent="0.25">
      <c r="A77" s="3" t="s">
        <v>72</v>
      </c>
      <c r="B77" s="1" t="s">
        <v>81</v>
      </c>
    </row>
  </sheetData>
  <mergeCells count="19">
    <mergeCell ref="A68:B68"/>
    <mergeCell ref="A69:B69"/>
    <mergeCell ref="A70:B70"/>
    <mergeCell ref="A73:B73"/>
    <mergeCell ref="I61:I62"/>
    <mergeCell ref="J61:J62"/>
    <mergeCell ref="A62:B62"/>
    <mergeCell ref="A66:B66"/>
    <mergeCell ref="A67:B67"/>
    <mergeCell ref="A54:B54"/>
    <mergeCell ref="A55:B55"/>
    <mergeCell ref="A60:B60"/>
    <mergeCell ref="A61:B61"/>
    <mergeCell ref="H61:H62"/>
    <mergeCell ref="C7:G7"/>
    <mergeCell ref="A46:B46"/>
    <mergeCell ref="A47:B47"/>
    <mergeCell ref="A52:B52"/>
    <mergeCell ref="A53:B5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2:J75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35.1406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306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1668</v>
      </c>
    </row>
    <row r="7" spans="1:10" x14ac:dyDescent="0.25">
      <c r="C7" s="28" t="s">
        <v>5</v>
      </c>
      <c r="D7" s="29"/>
      <c r="E7" s="29"/>
      <c r="F7" s="29"/>
      <c r="G7" s="29"/>
    </row>
    <row r="8" spans="1:10" x14ac:dyDescent="0.25">
      <c r="A8" s="25" t="s">
        <v>6</v>
      </c>
      <c r="B8" s="25" t="s">
        <v>7</v>
      </c>
      <c r="C8" s="27" t="s">
        <v>8</v>
      </c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</row>
    <row r="9" spans="1:10" x14ac:dyDescent="0.25">
      <c r="A9" s="1" t="s">
        <v>48</v>
      </c>
      <c r="B9" s="1" t="s">
        <v>50</v>
      </c>
      <c r="C9" s="10"/>
      <c r="D9" s="10"/>
      <c r="E9" s="10"/>
      <c r="F9" s="10">
        <v>278</v>
      </c>
      <c r="G9" s="10">
        <f t="shared" ref="G9:G38" si="0">SUM(C9:F9)</f>
        <v>278</v>
      </c>
      <c r="H9" s="16">
        <f t="shared" ref="H9:H38" si="1">ROUND(G9/1668,2)</f>
        <v>0.17</v>
      </c>
      <c r="I9" s="15">
        <f t="shared" ref="I9:I38" si="2">ROUND(G9/$G$39,3)</f>
        <v>1E-3</v>
      </c>
      <c r="J9" s="15"/>
    </row>
    <row r="10" spans="1:10" x14ac:dyDescent="0.25">
      <c r="A10" s="1" t="s">
        <v>48</v>
      </c>
      <c r="B10" s="1" t="s">
        <v>51</v>
      </c>
      <c r="C10" s="10"/>
      <c r="D10" s="10"/>
      <c r="E10" s="10"/>
      <c r="F10" s="10"/>
      <c r="G10" s="10">
        <f t="shared" si="0"/>
        <v>0</v>
      </c>
      <c r="H10" s="16">
        <f t="shared" si="1"/>
        <v>0</v>
      </c>
      <c r="I10" s="15">
        <f t="shared" si="2"/>
        <v>0</v>
      </c>
      <c r="J10" s="15"/>
    </row>
    <row r="11" spans="1:10" x14ac:dyDescent="0.25">
      <c r="A11" s="1" t="s">
        <v>16</v>
      </c>
      <c r="B11" s="1" t="s">
        <v>17</v>
      </c>
      <c r="C11" s="10"/>
      <c r="D11" s="10"/>
      <c r="E11" s="10">
        <v>21</v>
      </c>
      <c r="F11" s="10"/>
      <c r="G11" s="10">
        <f t="shared" si="0"/>
        <v>21</v>
      </c>
      <c r="H11" s="16">
        <f t="shared" si="1"/>
        <v>0.01</v>
      </c>
      <c r="I11" s="15">
        <f t="shared" si="2"/>
        <v>0</v>
      </c>
      <c r="J11" s="15">
        <f>ROUND(G11/17-1,2)</f>
        <v>0.24</v>
      </c>
    </row>
    <row r="12" spans="1:10" x14ac:dyDescent="0.25">
      <c r="A12" s="1" t="s">
        <v>16</v>
      </c>
      <c r="B12" s="1" t="s">
        <v>19</v>
      </c>
      <c r="C12" s="10">
        <v>51500</v>
      </c>
      <c r="D12" s="10"/>
      <c r="E12" s="10"/>
      <c r="F12" s="10">
        <v>180</v>
      </c>
      <c r="G12" s="10">
        <f t="shared" si="0"/>
        <v>51680</v>
      </c>
      <c r="H12" s="16">
        <f t="shared" si="1"/>
        <v>30.98</v>
      </c>
      <c r="I12" s="15">
        <f t="shared" si="2"/>
        <v>0.105</v>
      </c>
      <c r="J12" s="15">
        <f>ROUND(G12/51660-1,2)</f>
        <v>0</v>
      </c>
    </row>
    <row r="13" spans="1:10" x14ac:dyDescent="0.25">
      <c r="A13" s="1" t="s">
        <v>16</v>
      </c>
      <c r="B13" s="1" t="s">
        <v>20</v>
      </c>
      <c r="C13" s="10">
        <v>86670</v>
      </c>
      <c r="D13" s="10"/>
      <c r="E13" s="10"/>
      <c r="F13" s="10">
        <v>480</v>
      </c>
      <c r="G13" s="10">
        <f t="shared" si="0"/>
        <v>87150</v>
      </c>
      <c r="H13" s="16">
        <f t="shared" si="1"/>
        <v>52.25</v>
      </c>
      <c r="I13" s="15">
        <f t="shared" si="2"/>
        <v>0.17699999999999999</v>
      </c>
      <c r="J13" s="15">
        <f>ROUND(G13/79630-1,2)</f>
        <v>0.09</v>
      </c>
    </row>
    <row r="14" spans="1:10" x14ac:dyDescent="0.25">
      <c r="A14" s="1" t="s">
        <v>16</v>
      </c>
      <c r="B14" s="1" t="s">
        <v>95</v>
      </c>
      <c r="C14" s="10"/>
      <c r="D14" s="10"/>
      <c r="E14" s="10">
        <v>58</v>
      </c>
      <c r="F14" s="10"/>
      <c r="G14" s="10">
        <f t="shared" si="0"/>
        <v>58</v>
      </c>
      <c r="H14" s="16">
        <f t="shared" si="1"/>
        <v>0.03</v>
      </c>
      <c r="I14" s="15">
        <f t="shared" si="2"/>
        <v>0</v>
      </c>
      <c r="J14" s="15">
        <f>ROUND(G14/43-1,2)</f>
        <v>0.35</v>
      </c>
    </row>
    <row r="15" spans="1:10" x14ac:dyDescent="0.25">
      <c r="A15" s="1" t="s">
        <v>16</v>
      </c>
      <c r="B15" s="1" t="s">
        <v>21</v>
      </c>
      <c r="C15" s="10"/>
      <c r="D15" s="10"/>
      <c r="E15" s="10">
        <v>65</v>
      </c>
      <c r="F15" s="10"/>
      <c r="G15" s="10">
        <f t="shared" si="0"/>
        <v>65</v>
      </c>
      <c r="H15" s="16">
        <f t="shared" si="1"/>
        <v>0.04</v>
      </c>
      <c r="I15" s="15">
        <f t="shared" si="2"/>
        <v>0</v>
      </c>
      <c r="J15" s="15">
        <f>ROUND(G15/90-1,2)</f>
        <v>-0.28000000000000003</v>
      </c>
    </row>
    <row r="16" spans="1:10" x14ac:dyDescent="0.25">
      <c r="A16" s="1" t="s">
        <v>16</v>
      </c>
      <c r="B16" s="1" t="s">
        <v>22</v>
      </c>
      <c r="C16" s="10"/>
      <c r="D16" s="10"/>
      <c r="E16" s="10">
        <v>1000</v>
      </c>
      <c r="F16" s="10"/>
      <c r="G16" s="10">
        <f t="shared" si="0"/>
        <v>1000</v>
      </c>
      <c r="H16" s="16">
        <f t="shared" si="1"/>
        <v>0.6</v>
      </c>
      <c r="I16" s="15">
        <f t="shared" si="2"/>
        <v>2E-3</v>
      </c>
      <c r="J16" s="15">
        <f>ROUND(G16/700-1,2)</f>
        <v>0.43</v>
      </c>
    </row>
    <row r="17" spans="1:10" x14ac:dyDescent="0.25">
      <c r="A17" s="1" t="s">
        <v>16</v>
      </c>
      <c r="B17" s="1" t="s">
        <v>23</v>
      </c>
      <c r="C17" s="10"/>
      <c r="D17" s="10"/>
      <c r="E17" s="10">
        <v>12600</v>
      </c>
      <c r="F17" s="10"/>
      <c r="G17" s="10">
        <f t="shared" si="0"/>
        <v>12600</v>
      </c>
      <c r="H17" s="16">
        <f t="shared" si="1"/>
        <v>7.55</v>
      </c>
      <c r="I17" s="15">
        <f t="shared" si="2"/>
        <v>2.5999999999999999E-2</v>
      </c>
      <c r="J17" s="15">
        <f>ROUND(G17/19040-1,2)</f>
        <v>-0.34</v>
      </c>
    </row>
    <row r="18" spans="1:10" x14ac:dyDescent="0.25">
      <c r="A18" s="1" t="s">
        <v>16</v>
      </c>
      <c r="B18" s="1" t="s">
        <v>24</v>
      </c>
      <c r="C18" s="10">
        <v>64040</v>
      </c>
      <c r="D18" s="10"/>
      <c r="E18" s="10"/>
      <c r="F18" s="10">
        <v>60</v>
      </c>
      <c r="G18" s="10">
        <f t="shared" si="0"/>
        <v>64100</v>
      </c>
      <c r="H18" s="16">
        <f t="shared" si="1"/>
        <v>38.43</v>
      </c>
      <c r="I18" s="15">
        <f t="shared" si="2"/>
        <v>0.13</v>
      </c>
      <c r="J18" s="15">
        <f>ROUND(G18/67910-1,2)</f>
        <v>-0.06</v>
      </c>
    </row>
    <row r="19" spans="1:10" x14ac:dyDescent="0.25">
      <c r="A19" s="1" t="s">
        <v>16</v>
      </c>
      <c r="B19" s="1" t="s">
        <v>26</v>
      </c>
      <c r="C19" s="10">
        <v>106240</v>
      </c>
      <c r="D19" s="10"/>
      <c r="E19" s="10"/>
      <c r="F19" s="10">
        <v>630</v>
      </c>
      <c r="G19" s="10">
        <f t="shared" si="0"/>
        <v>106870</v>
      </c>
      <c r="H19" s="16">
        <f t="shared" si="1"/>
        <v>64.069999999999993</v>
      </c>
      <c r="I19" s="15">
        <f t="shared" si="2"/>
        <v>0.217</v>
      </c>
      <c r="J19" s="15">
        <f>ROUND(G19/102870-1,2)</f>
        <v>0.04</v>
      </c>
    </row>
    <row r="20" spans="1:10" x14ac:dyDescent="0.25">
      <c r="A20" s="1" t="s">
        <v>16</v>
      </c>
      <c r="B20" s="1" t="s">
        <v>27</v>
      </c>
      <c r="C20" s="10"/>
      <c r="D20" s="10"/>
      <c r="E20" s="10">
        <v>239</v>
      </c>
      <c r="F20" s="10"/>
      <c r="G20" s="10">
        <f t="shared" si="0"/>
        <v>239</v>
      </c>
      <c r="H20" s="16">
        <f t="shared" si="1"/>
        <v>0.14000000000000001</v>
      </c>
      <c r="I20" s="15">
        <f t="shared" si="2"/>
        <v>0</v>
      </c>
      <c r="J20" s="15">
        <f>ROUND(G20/201-1,2)</f>
        <v>0.19</v>
      </c>
    </row>
    <row r="21" spans="1:10" x14ac:dyDescent="0.25">
      <c r="A21" s="1" t="s">
        <v>16</v>
      </c>
      <c r="B21" s="1" t="s">
        <v>28</v>
      </c>
      <c r="C21" s="10"/>
      <c r="D21" s="10"/>
      <c r="E21" s="10">
        <v>220</v>
      </c>
      <c r="F21" s="10"/>
      <c r="G21" s="10">
        <f t="shared" si="0"/>
        <v>220</v>
      </c>
      <c r="H21" s="16">
        <f t="shared" si="1"/>
        <v>0.13</v>
      </c>
      <c r="I21" s="15">
        <f t="shared" si="2"/>
        <v>0</v>
      </c>
      <c r="J21" s="15">
        <f>ROUND(G21/138-1,2)</f>
        <v>0.59</v>
      </c>
    </row>
    <row r="22" spans="1:10" x14ac:dyDescent="0.25">
      <c r="A22" s="1" t="s">
        <v>16</v>
      </c>
      <c r="B22" s="1" t="s">
        <v>29</v>
      </c>
      <c r="C22" s="10"/>
      <c r="D22" s="10"/>
      <c r="E22" s="10">
        <v>940</v>
      </c>
      <c r="F22" s="10"/>
      <c r="G22" s="10">
        <f t="shared" si="0"/>
        <v>940</v>
      </c>
      <c r="H22" s="16">
        <f t="shared" si="1"/>
        <v>0.56000000000000005</v>
      </c>
      <c r="I22" s="15">
        <f t="shared" si="2"/>
        <v>2E-3</v>
      </c>
      <c r="J22" s="15">
        <f>ROUND(G22/2200-1,2)</f>
        <v>-0.56999999999999995</v>
      </c>
    </row>
    <row r="23" spans="1:10" x14ac:dyDescent="0.25">
      <c r="A23" s="1" t="s">
        <v>16</v>
      </c>
      <c r="B23" s="1" t="s">
        <v>30</v>
      </c>
      <c r="C23" s="10"/>
      <c r="D23" s="10"/>
      <c r="E23" s="10">
        <v>500</v>
      </c>
      <c r="F23" s="10"/>
      <c r="G23" s="10">
        <f t="shared" si="0"/>
        <v>500</v>
      </c>
      <c r="H23" s="16">
        <f t="shared" si="1"/>
        <v>0.3</v>
      </c>
      <c r="I23" s="15">
        <f t="shared" si="2"/>
        <v>1E-3</v>
      </c>
      <c r="J23" s="15">
        <f>ROUND(G23/450-1,2)</f>
        <v>0.11</v>
      </c>
    </row>
    <row r="24" spans="1:10" x14ac:dyDescent="0.25">
      <c r="A24" s="1" t="s">
        <v>16</v>
      </c>
      <c r="B24" s="1" t="s">
        <v>31</v>
      </c>
      <c r="C24" s="10"/>
      <c r="D24" s="10"/>
      <c r="E24" s="10">
        <v>210</v>
      </c>
      <c r="F24" s="10"/>
      <c r="G24" s="10">
        <f t="shared" si="0"/>
        <v>210</v>
      </c>
      <c r="H24" s="16">
        <f t="shared" si="1"/>
        <v>0.13</v>
      </c>
      <c r="I24" s="15">
        <f t="shared" si="2"/>
        <v>0</v>
      </c>
      <c r="J24" s="15">
        <f>ROUND(G24/120-1,2)</f>
        <v>0.75</v>
      </c>
    </row>
    <row r="25" spans="1:10" x14ac:dyDescent="0.25">
      <c r="A25" s="1" t="s">
        <v>16</v>
      </c>
      <c r="B25" s="1" t="s">
        <v>32</v>
      </c>
      <c r="C25" s="10"/>
      <c r="D25" s="10"/>
      <c r="E25" s="10">
        <v>530</v>
      </c>
      <c r="F25" s="10"/>
      <c r="G25" s="10">
        <f t="shared" si="0"/>
        <v>530</v>
      </c>
      <c r="H25" s="16">
        <f t="shared" si="1"/>
        <v>0.32</v>
      </c>
      <c r="I25" s="15">
        <f t="shared" si="2"/>
        <v>1E-3</v>
      </c>
      <c r="J25" s="15">
        <f>ROUND(G25/670-1,2)</f>
        <v>-0.21</v>
      </c>
    </row>
    <row r="26" spans="1:10" x14ac:dyDescent="0.25">
      <c r="A26" s="1" t="s">
        <v>16</v>
      </c>
      <c r="B26" s="1" t="s">
        <v>33</v>
      </c>
      <c r="C26" s="10"/>
      <c r="D26" s="10">
        <v>210</v>
      </c>
      <c r="E26" s="10">
        <v>13</v>
      </c>
      <c r="F26" s="10"/>
      <c r="G26" s="10">
        <f t="shared" si="0"/>
        <v>223</v>
      </c>
      <c r="H26" s="16">
        <f t="shared" si="1"/>
        <v>0.13</v>
      </c>
      <c r="I26" s="15">
        <f t="shared" si="2"/>
        <v>0</v>
      </c>
      <c r="J26" s="15">
        <f>ROUND(G26/275-1,2)</f>
        <v>-0.19</v>
      </c>
    </row>
    <row r="27" spans="1:10" x14ac:dyDescent="0.25">
      <c r="A27" s="1" t="s">
        <v>16</v>
      </c>
      <c r="B27" s="1" t="s">
        <v>35</v>
      </c>
      <c r="C27" s="10"/>
      <c r="D27" s="10">
        <v>50</v>
      </c>
      <c r="E27" s="10"/>
      <c r="F27" s="10"/>
      <c r="G27" s="10">
        <f t="shared" si="0"/>
        <v>50</v>
      </c>
      <c r="H27" s="16">
        <f t="shared" si="1"/>
        <v>0.03</v>
      </c>
      <c r="I27" s="15">
        <f t="shared" si="2"/>
        <v>0</v>
      </c>
      <c r="J27" s="15">
        <f>ROUND(G27/235-1,2)</f>
        <v>-0.79</v>
      </c>
    </row>
    <row r="28" spans="1:10" x14ac:dyDescent="0.25">
      <c r="A28" s="1" t="s">
        <v>16</v>
      </c>
      <c r="B28" s="1" t="s">
        <v>37</v>
      </c>
      <c r="C28" s="10"/>
      <c r="D28" s="10"/>
      <c r="E28" s="10">
        <v>1370</v>
      </c>
      <c r="F28" s="10"/>
      <c r="G28" s="10">
        <f t="shared" si="0"/>
        <v>1370</v>
      </c>
      <c r="H28" s="16">
        <f t="shared" si="1"/>
        <v>0.82</v>
      </c>
      <c r="I28" s="15">
        <f t="shared" si="2"/>
        <v>3.0000000000000001E-3</v>
      </c>
      <c r="J28" s="15">
        <f>ROUND(G28/700-1,2)</f>
        <v>0.96</v>
      </c>
    </row>
    <row r="29" spans="1:10" x14ac:dyDescent="0.25">
      <c r="A29" s="1" t="s">
        <v>16</v>
      </c>
      <c r="B29" s="1" t="s">
        <v>38</v>
      </c>
      <c r="C29" s="10"/>
      <c r="D29" s="10"/>
      <c r="E29" s="10">
        <v>26250</v>
      </c>
      <c r="F29" s="10"/>
      <c r="G29" s="10">
        <f t="shared" si="0"/>
        <v>26250</v>
      </c>
      <c r="H29" s="16">
        <f t="shared" si="1"/>
        <v>15.74</v>
      </c>
      <c r="I29" s="15">
        <f t="shared" si="2"/>
        <v>5.2999999999999999E-2</v>
      </c>
      <c r="J29" s="15">
        <f>ROUND(G29/26020-1,2)</f>
        <v>0.01</v>
      </c>
    </row>
    <row r="30" spans="1:10" x14ac:dyDescent="0.25">
      <c r="A30" s="1" t="s">
        <v>16</v>
      </c>
      <c r="B30" s="1" t="s">
        <v>40</v>
      </c>
      <c r="C30" s="10"/>
      <c r="D30" s="10"/>
      <c r="E30" s="10">
        <v>7910</v>
      </c>
      <c r="F30" s="10"/>
      <c r="G30" s="10">
        <f t="shared" si="0"/>
        <v>7910</v>
      </c>
      <c r="H30" s="16">
        <f t="shared" si="1"/>
        <v>4.74</v>
      </c>
      <c r="I30" s="15">
        <f t="shared" si="2"/>
        <v>1.6E-2</v>
      </c>
      <c r="J30" s="15">
        <f>ROUND(G30/6880-1,2)</f>
        <v>0.15</v>
      </c>
    </row>
    <row r="31" spans="1:10" x14ac:dyDescent="0.25">
      <c r="A31" s="1" t="s">
        <v>16</v>
      </c>
      <c r="B31" s="1" t="s">
        <v>41</v>
      </c>
      <c r="C31" s="10"/>
      <c r="D31" s="10"/>
      <c r="E31" s="10">
        <v>13980</v>
      </c>
      <c r="F31" s="10"/>
      <c r="G31" s="10">
        <f t="shared" si="0"/>
        <v>13980</v>
      </c>
      <c r="H31" s="16">
        <f t="shared" si="1"/>
        <v>8.3800000000000008</v>
      </c>
      <c r="I31" s="15">
        <f t="shared" si="2"/>
        <v>2.8000000000000001E-2</v>
      </c>
      <c r="J31" s="15">
        <f>ROUND(G31/10620-1,2)</f>
        <v>0.32</v>
      </c>
    </row>
    <row r="32" spans="1:10" x14ac:dyDescent="0.25">
      <c r="A32" s="1" t="s">
        <v>16</v>
      </c>
      <c r="B32" s="1" t="s">
        <v>25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>
        <f>ROUND(G32/2930-1,2)</f>
        <v>-1</v>
      </c>
    </row>
    <row r="33" spans="1:10" x14ac:dyDescent="0.25">
      <c r="A33" s="1" t="s">
        <v>16</v>
      </c>
      <c r="B33" s="1" t="s">
        <v>36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>
        <f>ROUND(G33/970-1,2)</f>
        <v>-1</v>
      </c>
    </row>
    <row r="34" spans="1:10" x14ac:dyDescent="0.25">
      <c r="A34" s="1" t="s">
        <v>16</v>
      </c>
      <c r="B34" s="1" t="s">
        <v>42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ROUND(G34/131-1,2)</f>
        <v>-1</v>
      </c>
    </row>
    <row r="35" spans="1:10" x14ac:dyDescent="0.25">
      <c r="A35" s="1" t="s">
        <v>16</v>
      </c>
      <c r="B35" s="1" t="s">
        <v>43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>
        <f>ROUND(G35/2620-1,2)</f>
        <v>-1</v>
      </c>
    </row>
    <row r="36" spans="1:10" x14ac:dyDescent="0.25">
      <c r="A36" s="1" t="s">
        <v>16</v>
      </c>
      <c r="B36" s="1" t="s">
        <v>34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>
        <f>ROUND(G36/550-1,2)</f>
        <v>-1</v>
      </c>
    </row>
    <row r="37" spans="1:10" x14ac:dyDescent="0.25">
      <c r="A37" s="1" t="s">
        <v>44</v>
      </c>
      <c r="B37" s="1" t="s">
        <v>45</v>
      </c>
      <c r="C37" s="10">
        <v>83430</v>
      </c>
      <c r="D37" s="10"/>
      <c r="E37" s="10"/>
      <c r="F37" s="10"/>
      <c r="G37" s="10">
        <f t="shared" si="0"/>
        <v>83430</v>
      </c>
      <c r="H37" s="16">
        <f t="shared" si="1"/>
        <v>50.02</v>
      </c>
      <c r="I37" s="15">
        <f t="shared" si="2"/>
        <v>0.16900000000000001</v>
      </c>
      <c r="J37" s="15">
        <f>ROUND(G37/79010-1,2)</f>
        <v>0.06</v>
      </c>
    </row>
    <row r="38" spans="1:10" x14ac:dyDescent="0.25">
      <c r="A38" s="1" t="s">
        <v>44</v>
      </c>
      <c r="B38" s="1" t="s">
        <v>46</v>
      </c>
      <c r="C38" s="10"/>
      <c r="D38" s="10"/>
      <c r="E38" s="10">
        <v>33150</v>
      </c>
      <c r="F38" s="10"/>
      <c r="G38" s="10">
        <f t="shared" si="0"/>
        <v>33150</v>
      </c>
      <c r="H38" s="16">
        <f t="shared" si="1"/>
        <v>19.87</v>
      </c>
      <c r="I38" s="15">
        <f t="shared" si="2"/>
        <v>6.7000000000000004E-2</v>
      </c>
      <c r="J38" s="15">
        <f>ROUND(G38/34860-1,2)</f>
        <v>-0.05</v>
      </c>
    </row>
    <row r="39" spans="1:10" x14ac:dyDescent="0.25">
      <c r="A39" s="30" t="s">
        <v>12</v>
      </c>
      <c r="B39" s="30"/>
      <c r="C39" s="11">
        <f t="shared" ref="C39:H39" si="3">SUM(C8:C38)</f>
        <v>391880</v>
      </c>
      <c r="D39" s="11">
        <f t="shared" si="3"/>
        <v>260</v>
      </c>
      <c r="E39" s="11">
        <f t="shared" si="3"/>
        <v>99056</v>
      </c>
      <c r="F39" s="11">
        <f t="shared" si="3"/>
        <v>1628</v>
      </c>
      <c r="G39" s="11">
        <f t="shared" si="3"/>
        <v>492824</v>
      </c>
      <c r="H39" s="14">
        <f t="shared" si="3"/>
        <v>295.44</v>
      </c>
      <c r="I39" s="17"/>
      <c r="J39" s="17"/>
    </row>
    <row r="40" spans="1:10" x14ac:dyDescent="0.25">
      <c r="A40" s="30" t="s">
        <v>14</v>
      </c>
      <c r="B40" s="30"/>
      <c r="C40" s="12">
        <f>ROUND(C39/G39,2)</f>
        <v>0.8</v>
      </c>
      <c r="D40" s="12">
        <f>ROUND(D39/G39,2)</f>
        <v>0</v>
      </c>
      <c r="E40" s="12">
        <f>ROUND(E39/G39,2)</f>
        <v>0.2</v>
      </c>
      <c r="F40" s="12">
        <f>ROUND(F39/G39,2)</f>
        <v>0</v>
      </c>
      <c r="G40" s="13"/>
      <c r="H40" s="13"/>
      <c r="I40" s="17"/>
      <c r="J40" s="17"/>
    </row>
    <row r="41" spans="1:10" x14ac:dyDescent="0.25">
      <c r="A41" s="2" t="s">
        <v>52</v>
      </c>
      <c r="B41" s="2"/>
      <c r="C41" s="13"/>
      <c r="D41" s="13"/>
      <c r="E41" s="13"/>
      <c r="F41" s="13"/>
      <c r="G41" s="13"/>
      <c r="H41" s="13"/>
      <c r="I41" s="17"/>
      <c r="J41" s="17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A45" s="30" t="s">
        <v>53</v>
      </c>
      <c r="B45" s="30"/>
      <c r="C45" s="11" t="s">
        <v>8</v>
      </c>
      <c r="D45" s="11" t="s">
        <v>9</v>
      </c>
      <c r="E45" s="11" t="s">
        <v>10</v>
      </c>
      <c r="F45" s="11" t="s">
        <v>11</v>
      </c>
      <c r="G45" s="11" t="s">
        <v>12</v>
      </c>
      <c r="H45" s="14" t="s">
        <v>13</v>
      </c>
      <c r="I45" s="17"/>
      <c r="J45" s="17"/>
    </row>
    <row r="46" spans="1:10" x14ac:dyDescent="0.25">
      <c r="A46" s="29" t="s">
        <v>54</v>
      </c>
      <c r="B46" s="29"/>
      <c r="C46" s="10">
        <v>308450</v>
      </c>
      <c r="D46" s="10">
        <v>260</v>
      </c>
      <c r="E46" s="10">
        <v>65906</v>
      </c>
      <c r="F46" s="10">
        <v>1350</v>
      </c>
      <c r="G46" s="10">
        <f>SUM(C46:F46)</f>
        <v>375966</v>
      </c>
      <c r="H46" s="16">
        <f>ROUND(G46/1668,2)</f>
        <v>225.4</v>
      </c>
      <c r="I46" s="9"/>
      <c r="J46" s="9"/>
    </row>
    <row r="47" spans="1:10" x14ac:dyDescent="0.25">
      <c r="A47" s="29" t="s">
        <v>55</v>
      </c>
      <c r="B47" s="29"/>
      <c r="C47" s="10">
        <v>83430</v>
      </c>
      <c r="D47" s="10">
        <v>0</v>
      </c>
      <c r="E47" s="10">
        <v>33150</v>
      </c>
      <c r="F47" s="10">
        <v>0</v>
      </c>
      <c r="G47" s="10">
        <f>SUM(C47:F47)</f>
        <v>116580</v>
      </c>
      <c r="H47" s="16">
        <f>ROUND(G47/1668,2)</f>
        <v>69.89</v>
      </c>
      <c r="I47" s="9"/>
      <c r="J47" s="9"/>
    </row>
    <row r="48" spans="1:10" x14ac:dyDescent="0.25">
      <c r="A48" s="29" t="s">
        <v>56</v>
      </c>
      <c r="B48" s="29"/>
      <c r="C48" s="10">
        <v>0</v>
      </c>
      <c r="D48" s="10">
        <v>0</v>
      </c>
      <c r="E48" s="10">
        <v>0</v>
      </c>
      <c r="F48" s="10">
        <v>278</v>
      </c>
      <c r="G48" s="10">
        <f>SUM(C48:F48)</f>
        <v>278</v>
      </c>
      <c r="H48" s="16">
        <f>ROUND(G48/1668,2)</f>
        <v>0.17</v>
      </c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A53" s="30" t="s">
        <v>57</v>
      </c>
      <c r="B53" s="30"/>
      <c r="C53" s="14" t="s">
        <v>2</v>
      </c>
      <c r="D53" s="14">
        <v>2023</v>
      </c>
      <c r="E53" s="14" t="s">
        <v>59</v>
      </c>
      <c r="F53" s="13"/>
      <c r="G53" s="14" t="s">
        <v>60</v>
      </c>
      <c r="H53" s="14" t="s">
        <v>2</v>
      </c>
      <c r="I53" s="12" t="s">
        <v>61</v>
      </c>
      <c r="J53" s="12" t="s">
        <v>59</v>
      </c>
    </row>
    <row r="54" spans="1:10" x14ac:dyDescent="0.25">
      <c r="A54" s="29" t="s">
        <v>58</v>
      </c>
      <c r="B54" s="29"/>
      <c r="C54" s="15">
        <f>ROUND(0.8251, 4)</f>
        <v>0.82509999999999994</v>
      </c>
      <c r="D54" s="15">
        <f>ROUND(0.8246, 4)</f>
        <v>0.8246</v>
      </c>
      <c r="E54" s="15">
        <f>ROUND(0.777, 4)</f>
        <v>0.77700000000000002</v>
      </c>
      <c r="F54" s="8"/>
      <c r="G54" s="14" t="s">
        <v>62</v>
      </c>
      <c r="H54" s="33" t="s">
        <v>63</v>
      </c>
      <c r="I54" s="31" t="s">
        <v>64</v>
      </c>
      <c r="J54" s="31" t="s">
        <v>65</v>
      </c>
    </row>
    <row r="55" spans="1:10" x14ac:dyDescent="0.25">
      <c r="A55" s="29" t="s">
        <v>66</v>
      </c>
      <c r="B55" s="29"/>
      <c r="C55" s="15">
        <f>ROUND(0.8112, 4)</f>
        <v>0.81120000000000003</v>
      </c>
      <c r="D55" s="15">
        <f>ROUND(0.8105, 4)</f>
        <v>0.8105</v>
      </c>
      <c r="E55" s="15">
        <f>ROUND(0.7608, 4)</f>
        <v>0.76080000000000003</v>
      </c>
      <c r="F55" s="8"/>
      <c r="G55" s="14" t="s">
        <v>67</v>
      </c>
      <c r="H55" s="34"/>
      <c r="I55" s="32"/>
      <c r="J55" s="32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21"/>
      <c r="H57" s="8"/>
      <c r="I57" s="9"/>
      <c r="J57" s="9"/>
    </row>
    <row r="58" spans="1:10" x14ac:dyDescent="0.25">
      <c r="C58" s="8"/>
      <c r="D58" s="8"/>
      <c r="E58" s="8"/>
      <c r="F58" s="8"/>
      <c r="G58" s="21"/>
      <c r="H58" s="8"/>
      <c r="I58" s="9"/>
      <c r="J58" s="9"/>
    </row>
    <row r="59" spans="1:10" x14ac:dyDescent="0.25">
      <c r="A59" s="30" t="s">
        <v>68</v>
      </c>
      <c r="B59" s="30"/>
      <c r="C59" s="14" t="s">
        <v>2</v>
      </c>
      <c r="D59" s="14" t="s">
        <v>307</v>
      </c>
      <c r="E59" s="14" t="s">
        <v>70</v>
      </c>
      <c r="F59" s="14" t="s">
        <v>71</v>
      </c>
      <c r="G59" s="14" t="s">
        <v>72</v>
      </c>
      <c r="H59" s="13"/>
      <c r="I59" s="17"/>
      <c r="J59" s="17"/>
    </row>
    <row r="60" spans="1:10" x14ac:dyDescent="0.25">
      <c r="A60" s="29" t="s">
        <v>73</v>
      </c>
      <c r="B60" s="29"/>
      <c r="C60" s="16">
        <v>50.02</v>
      </c>
      <c r="D60" s="16">
        <v>42.48</v>
      </c>
      <c r="E60" s="16">
        <v>93.87</v>
      </c>
      <c r="F60" s="16">
        <v>57.16</v>
      </c>
      <c r="G60" s="16">
        <f>12/12*C60</f>
        <v>50.02</v>
      </c>
      <c r="H60" s="8"/>
      <c r="I60" s="9"/>
      <c r="J60" s="9"/>
    </row>
    <row r="61" spans="1:10" x14ac:dyDescent="0.25">
      <c r="A61" s="29" t="s">
        <v>74</v>
      </c>
      <c r="B61" s="29"/>
      <c r="C61" s="16">
        <v>64.069999999999993</v>
      </c>
      <c r="D61" s="16">
        <v>62.44</v>
      </c>
      <c r="E61" s="16">
        <v>62.84</v>
      </c>
      <c r="F61" s="16">
        <v>65.39</v>
      </c>
      <c r="G61" s="16">
        <f>12/12*C61</f>
        <v>64.069999999999993</v>
      </c>
      <c r="H61" s="8"/>
      <c r="I61" s="9"/>
      <c r="J61" s="9"/>
    </row>
    <row r="62" spans="1:10" x14ac:dyDescent="0.25">
      <c r="A62" s="29" t="s">
        <v>75</v>
      </c>
      <c r="B62" s="29"/>
      <c r="C62" s="16">
        <v>225.4</v>
      </c>
      <c r="D62" s="16">
        <v>230.01</v>
      </c>
      <c r="E62" s="16">
        <v>295.08999999999997</v>
      </c>
      <c r="F62" s="16">
        <v>289.06</v>
      </c>
      <c r="G62" s="16">
        <f>12/12*C62</f>
        <v>225.4</v>
      </c>
      <c r="H62" s="8"/>
      <c r="I62" s="9"/>
      <c r="J62" s="9"/>
    </row>
    <row r="63" spans="1:10" x14ac:dyDescent="0.25">
      <c r="A63" s="29" t="s">
        <v>76</v>
      </c>
      <c r="B63" s="29"/>
      <c r="C63" s="16">
        <v>69.89</v>
      </c>
      <c r="D63" s="16">
        <v>61.74</v>
      </c>
      <c r="E63" s="16">
        <v>118.05</v>
      </c>
      <c r="F63" s="16">
        <v>81.41</v>
      </c>
      <c r="G63" s="16">
        <f>12/12*C63</f>
        <v>69.89</v>
      </c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28" t="s">
        <v>60</v>
      </c>
      <c r="B66" s="35"/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77</v>
      </c>
      <c r="B67" s="1" t="s">
        <v>308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70</v>
      </c>
      <c r="B68" s="1" t="s">
        <v>79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71</v>
      </c>
      <c r="B69" s="1" t="s">
        <v>80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72</v>
      </c>
      <c r="B70" s="1" t="s">
        <v>81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</sheetData>
  <mergeCells count="19">
    <mergeCell ref="A61:B61"/>
    <mergeCell ref="A62:B62"/>
    <mergeCell ref="A63:B63"/>
    <mergeCell ref="A66:B66"/>
    <mergeCell ref="I54:I55"/>
    <mergeCell ref="J54:J55"/>
    <mergeCell ref="A55:B55"/>
    <mergeCell ref="A59:B59"/>
    <mergeCell ref="A60:B60"/>
    <mergeCell ref="A47:B47"/>
    <mergeCell ref="A48:B48"/>
    <mergeCell ref="A53:B53"/>
    <mergeCell ref="A54:B54"/>
    <mergeCell ref="H54:H55"/>
    <mergeCell ref="C7:G7"/>
    <mergeCell ref="A39:B39"/>
    <mergeCell ref="A40:B40"/>
    <mergeCell ref="A45:B45"/>
    <mergeCell ref="A46:B46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2:J75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2.8554687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309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1311</v>
      </c>
    </row>
    <row r="7" spans="1:10" x14ac:dyDescent="0.25">
      <c r="C7" s="28" t="s">
        <v>5</v>
      </c>
      <c r="D7" s="29"/>
      <c r="E7" s="29"/>
      <c r="F7" s="29"/>
      <c r="G7" s="29"/>
    </row>
    <row r="8" spans="1:10" x14ac:dyDescent="0.25">
      <c r="A8" s="25" t="s">
        <v>6</v>
      </c>
      <c r="B8" s="25" t="s">
        <v>7</v>
      </c>
      <c r="C8" s="27" t="s">
        <v>8</v>
      </c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</row>
    <row r="9" spans="1:10" x14ac:dyDescent="0.25">
      <c r="A9" s="1" t="s">
        <v>16</v>
      </c>
      <c r="B9" s="1" t="s">
        <v>19</v>
      </c>
      <c r="C9" s="10">
        <v>5340</v>
      </c>
      <c r="D9" s="10">
        <v>80820</v>
      </c>
      <c r="E9" s="10"/>
      <c r="F9" s="10"/>
      <c r="G9" s="10">
        <f t="shared" ref="G9:G43" si="0">SUM(C9:F9)</f>
        <v>86160</v>
      </c>
      <c r="H9" s="16">
        <f t="shared" ref="H9:H43" si="1">ROUND(G9/1311,2)</f>
        <v>65.72</v>
      </c>
      <c r="I9" s="15">
        <f t="shared" ref="I9:I43" si="2">ROUND(G9/$G$44,3)</f>
        <v>7.9000000000000001E-2</v>
      </c>
      <c r="J9" s="15">
        <f>ROUND(G9/101870-1,2)</f>
        <v>-0.15</v>
      </c>
    </row>
    <row r="10" spans="1:10" x14ac:dyDescent="0.25">
      <c r="A10" s="1" t="s">
        <v>16</v>
      </c>
      <c r="B10" s="1" t="s">
        <v>20</v>
      </c>
      <c r="C10" s="10"/>
      <c r="D10" s="10">
        <v>125560</v>
      </c>
      <c r="E10" s="10">
        <v>19240</v>
      </c>
      <c r="F10" s="10"/>
      <c r="G10" s="10">
        <f t="shared" si="0"/>
        <v>144800</v>
      </c>
      <c r="H10" s="16">
        <f t="shared" si="1"/>
        <v>110.45</v>
      </c>
      <c r="I10" s="15">
        <f t="shared" si="2"/>
        <v>0.13300000000000001</v>
      </c>
      <c r="J10" s="15">
        <f>ROUND(G10/134880-1,2)</f>
        <v>7.0000000000000007E-2</v>
      </c>
    </row>
    <row r="11" spans="1:10" x14ac:dyDescent="0.25">
      <c r="A11" s="1" t="s">
        <v>16</v>
      </c>
      <c r="B11" s="1" t="s">
        <v>21</v>
      </c>
      <c r="C11" s="10"/>
      <c r="D11" s="10"/>
      <c r="E11" s="10">
        <v>50</v>
      </c>
      <c r="F11" s="10"/>
      <c r="G11" s="10">
        <f t="shared" si="0"/>
        <v>50</v>
      </c>
      <c r="H11" s="16">
        <f t="shared" si="1"/>
        <v>0.04</v>
      </c>
      <c r="I11" s="15">
        <f t="shared" si="2"/>
        <v>0</v>
      </c>
      <c r="J11" s="15">
        <f>ROUND(G11/110-1,2)</f>
        <v>-0.55000000000000004</v>
      </c>
    </row>
    <row r="12" spans="1:10" x14ac:dyDescent="0.25">
      <c r="A12" s="1" t="s">
        <v>16</v>
      </c>
      <c r="B12" s="1" t="s">
        <v>22</v>
      </c>
      <c r="C12" s="10"/>
      <c r="D12" s="10"/>
      <c r="E12" s="10">
        <v>1420</v>
      </c>
      <c r="F12" s="10"/>
      <c r="G12" s="10">
        <f t="shared" si="0"/>
        <v>1420</v>
      </c>
      <c r="H12" s="16">
        <f t="shared" si="1"/>
        <v>1.08</v>
      </c>
      <c r="I12" s="15">
        <f t="shared" si="2"/>
        <v>1E-3</v>
      </c>
      <c r="J12" s="15">
        <f>ROUND(G12/2700-1,2)</f>
        <v>-0.47</v>
      </c>
    </row>
    <row r="13" spans="1:10" x14ac:dyDescent="0.25">
      <c r="A13" s="1" t="s">
        <v>16</v>
      </c>
      <c r="B13" s="1" t="s">
        <v>23</v>
      </c>
      <c r="C13" s="10"/>
      <c r="D13" s="10"/>
      <c r="E13" s="10">
        <v>44120</v>
      </c>
      <c r="F13" s="10"/>
      <c r="G13" s="10">
        <f t="shared" si="0"/>
        <v>44120</v>
      </c>
      <c r="H13" s="16">
        <f t="shared" si="1"/>
        <v>33.65</v>
      </c>
      <c r="I13" s="15">
        <f t="shared" si="2"/>
        <v>4.1000000000000002E-2</v>
      </c>
      <c r="J13" s="15">
        <f>ROUND(G13/8770-1,2)</f>
        <v>4.03</v>
      </c>
    </row>
    <row r="14" spans="1:10" x14ac:dyDescent="0.25">
      <c r="A14" s="1" t="s">
        <v>16</v>
      </c>
      <c r="B14" s="1" t="s">
        <v>24</v>
      </c>
      <c r="C14" s="10"/>
      <c r="D14" s="10">
        <v>117580</v>
      </c>
      <c r="E14" s="10">
        <v>32290</v>
      </c>
      <c r="F14" s="10"/>
      <c r="G14" s="10">
        <f t="shared" si="0"/>
        <v>149870</v>
      </c>
      <c r="H14" s="16">
        <f t="shared" si="1"/>
        <v>114.32</v>
      </c>
      <c r="I14" s="15">
        <f t="shared" si="2"/>
        <v>0.13800000000000001</v>
      </c>
      <c r="J14" s="15">
        <f>ROUND(G14/144000-1,2)</f>
        <v>0.04</v>
      </c>
    </row>
    <row r="15" spans="1:10" x14ac:dyDescent="0.25">
      <c r="A15" s="1" t="s">
        <v>16</v>
      </c>
      <c r="B15" s="1" t="s">
        <v>25</v>
      </c>
      <c r="C15" s="10"/>
      <c r="D15" s="10"/>
      <c r="E15" s="10">
        <v>3600</v>
      </c>
      <c r="F15" s="10"/>
      <c r="G15" s="10">
        <f t="shared" si="0"/>
        <v>3600</v>
      </c>
      <c r="H15" s="16">
        <f t="shared" si="1"/>
        <v>2.75</v>
      </c>
      <c r="I15" s="15">
        <f t="shared" si="2"/>
        <v>3.0000000000000001E-3</v>
      </c>
      <c r="J15" s="15"/>
    </row>
    <row r="16" spans="1:10" x14ac:dyDescent="0.25">
      <c r="A16" s="1" t="s">
        <v>16</v>
      </c>
      <c r="B16" s="1" t="s">
        <v>26</v>
      </c>
      <c r="C16" s="10"/>
      <c r="D16" s="10">
        <v>123540</v>
      </c>
      <c r="E16" s="10"/>
      <c r="F16" s="10"/>
      <c r="G16" s="10">
        <f t="shared" si="0"/>
        <v>123540</v>
      </c>
      <c r="H16" s="16">
        <f t="shared" si="1"/>
        <v>94.23</v>
      </c>
      <c r="I16" s="15">
        <f t="shared" si="2"/>
        <v>0.114</v>
      </c>
      <c r="J16" s="15">
        <f>ROUND(G16/127480-1,2)</f>
        <v>-0.03</v>
      </c>
    </row>
    <row r="17" spans="1:10" x14ac:dyDescent="0.25">
      <c r="A17" s="1" t="s">
        <v>16</v>
      </c>
      <c r="B17" s="1" t="s">
        <v>27</v>
      </c>
      <c r="C17" s="10"/>
      <c r="D17" s="10"/>
      <c r="E17" s="10">
        <v>20</v>
      </c>
      <c r="F17" s="10"/>
      <c r="G17" s="10">
        <f t="shared" si="0"/>
        <v>20</v>
      </c>
      <c r="H17" s="16">
        <f t="shared" si="1"/>
        <v>0.02</v>
      </c>
      <c r="I17" s="15">
        <f t="shared" si="2"/>
        <v>0</v>
      </c>
      <c r="J17" s="15"/>
    </row>
    <row r="18" spans="1:10" x14ac:dyDescent="0.25">
      <c r="A18" s="1" t="s">
        <v>16</v>
      </c>
      <c r="B18" s="1" t="s">
        <v>28</v>
      </c>
      <c r="C18" s="10"/>
      <c r="D18" s="10"/>
      <c r="E18" s="10">
        <v>10</v>
      </c>
      <c r="F18" s="10"/>
      <c r="G18" s="10">
        <f t="shared" si="0"/>
        <v>10</v>
      </c>
      <c r="H18" s="16">
        <f t="shared" si="1"/>
        <v>0.01</v>
      </c>
      <c r="I18" s="15">
        <f t="shared" si="2"/>
        <v>0</v>
      </c>
      <c r="J18" s="15"/>
    </row>
    <row r="19" spans="1:10" x14ac:dyDescent="0.25">
      <c r="A19" s="1" t="s">
        <v>16</v>
      </c>
      <c r="B19" s="1" t="s">
        <v>29</v>
      </c>
      <c r="C19" s="10"/>
      <c r="D19" s="10"/>
      <c r="E19" s="10">
        <v>1890</v>
      </c>
      <c r="F19" s="10"/>
      <c r="G19" s="10">
        <f t="shared" si="0"/>
        <v>1890</v>
      </c>
      <c r="H19" s="16">
        <f t="shared" si="1"/>
        <v>1.44</v>
      </c>
      <c r="I19" s="15">
        <f t="shared" si="2"/>
        <v>2E-3</v>
      </c>
      <c r="J19" s="15">
        <f>ROUND(G19/1580-1,2)</f>
        <v>0.2</v>
      </c>
    </row>
    <row r="20" spans="1:10" x14ac:dyDescent="0.25">
      <c r="A20" s="1" t="s">
        <v>16</v>
      </c>
      <c r="B20" s="1" t="s">
        <v>32</v>
      </c>
      <c r="C20" s="10"/>
      <c r="D20" s="10"/>
      <c r="E20" s="10">
        <v>1060</v>
      </c>
      <c r="F20" s="10"/>
      <c r="G20" s="10">
        <f t="shared" si="0"/>
        <v>1060</v>
      </c>
      <c r="H20" s="16">
        <f t="shared" si="1"/>
        <v>0.81</v>
      </c>
      <c r="I20" s="15">
        <f t="shared" si="2"/>
        <v>1E-3</v>
      </c>
      <c r="J20" s="15">
        <f>ROUND(G20/1040-1,2)</f>
        <v>0.02</v>
      </c>
    </row>
    <row r="21" spans="1:10" x14ac:dyDescent="0.25">
      <c r="A21" s="1" t="s">
        <v>16</v>
      </c>
      <c r="B21" s="1" t="s">
        <v>33</v>
      </c>
      <c r="C21" s="10"/>
      <c r="D21" s="10"/>
      <c r="E21" s="10">
        <v>75</v>
      </c>
      <c r="F21" s="10"/>
      <c r="G21" s="10">
        <f t="shared" si="0"/>
        <v>75</v>
      </c>
      <c r="H21" s="16">
        <f t="shared" si="1"/>
        <v>0.06</v>
      </c>
      <c r="I21" s="15">
        <f t="shared" si="2"/>
        <v>0</v>
      </c>
      <c r="J21" s="15">
        <f>ROUND(G21/400-1,2)</f>
        <v>-0.81</v>
      </c>
    </row>
    <row r="22" spans="1:10" x14ac:dyDescent="0.25">
      <c r="A22" s="1" t="s">
        <v>16</v>
      </c>
      <c r="B22" s="1" t="s">
        <v>34</v>
      </c>
      <c r="C22" s="10"/>
      <c r="D22" s="10"/>
      <c r="E22" s="10">
        <v>300</v>
      </c>
      <c r="F22" s="10"/>
      <c r="G22" s="10">
        <f t="shared" si="0"/>
        <v>300</v>
      </c>
      <c r="H22" s="16">
        <f t="shared" si="1"/>
        <v>0.23</v>
      </c>
      <c r="I22" s="15">
        <f t="shared" si="2"/>
        <v>0</v>
      </c>
      <c r="J22" s="15">
        <f>ROUND(G22/550-1,2)</f>
        <v>-0.45</v>
      </c>
    </row>
    <row r="23" spans="1:10" x14ac:dyDescent="0.25">
      <c r="A23" s="1" t="s">
        <v>16</v>
      </c>
      <c r="B23" s="1" t="s">
        <v>37</v>
      </c>
      <c r="C23" s="10"/>
      <c r="D23" s="10"/>
      <c r="E23" s="10">
        <v>2430</v>
      </c>
      <c r="F23" s="10"/>
      <c r="G23" s="10">
        <f t="shared" si="0"/>
        <v>2430</v>
      </c>
      <c r="H23" s="16">
        <f t="shared" si="1"/>
        <v>1.85</v>
      </c>
      <c r="I23" s="15">
        <f t="shared" si="2"/>
        <v>2E-3</v>
      </c>
      <c r="J23" s="15">
        <f>ROUND(G23/4110-1,2)</f>
        <v>-0.41</v>
      </c>
    </row>
    <row r="24" spans="1:10" x14ac:dyDescent="0.25">
      <c r="A24" s="1" t="s">
        <v>16</v>
      </c>
      <c r="B24" s="1" t="s">
        <v>43</v>
      </c>
      <c r="C24" s="10"/>
      <c r="D24" s="10"/>
      <c r="E24" s="10">
        <v>2309</v>
      </c>
      <c r="F24" s="10"/>
      <c r="G24" s="10">
        <f t="shared" si="0"/>
        <v>2309</v>
      </c>
      <c r="H24" s="16">
        <f t="shared" si="1"/>
        <v>1.76</v>
      </c>
      <c r="I24" s="15">
        <f t="shared" si="2"/>
        <v>2E-3</v>
      </c>
      <c r="J24" s="15">
        <f>ROUND(G24/1092-1,2)</f>
        <v>1.1100000000000001</v>
      </c>
    </row>
    <row r="25" spans="1:10" x14ac:dyDescent="0.25">
      <c r="A25" s="1" t="s">
        <v>16</v>
      </c>
      <c r="B25" s="1" t="s">
        <v>38</v>
      </c>
      <c r="C25" s="10"/>
      <c r="D25" s="10"/>
      <c r="E25" s="10">
        <v>97510</v>
      </c>
      <c r="F25" s="10"/>
      <c r="G25" s="10">
        <f t="shared" si="0"/>
        <v>97510</v>
      </c>
      <c r="H25" s="16">
        <f t="shared" si="1"/>
        <v>74.38</v>
      </c>
      <c r="I25" s="15">
        <f t="shared" si="2"/>
        <v>0.09</v>
      </c>
      <c r="J25" s="15">
        <f>ROUND(G25/39740-1,2)</f>
        <v>1.45</v>
      </c>
    </row>
    <row r="26" spans="1:10" x14ac:dyDescent="0.25">
      <c r="A26" s="1" t="s">
        <v>16</v>
      </c>
      <c r="B26" s="1" t="s">
        <v>39</v>
      </c>
      <c r="C26" s="10"/>
      <c r="D26" s="10"/>
      <c r="E26" s="10">
        <v>5100</v>
      </c>
      <c r="F26" s="10"/>
      <c r="G26" s="10">
        <f t="shared" si="0"/>
        <v>5100</v>
      </c>
      <c r="H26" s="16">
        <f t="shared" si="1"/>
        <v>3.89</v>
      </c>
      <c r="I26" s="15">
        <f t="shared" si="2"/>
        <v>5.0000000000000001E-3</v>
      </c>
      <c r="J26" s="15">
        <f>ROUND(G26/4120-1,2)</f>
        <v>0.24</v>
      </c>
    </row>
    <row r="27" spans="1:10" x14ac:dyDescent="0.25">
      <c r="A27" s="1" t="s">
        <v>16</v>
      </c>
      <c r="B27" s="1" t="s">
        <v>40</v>
      </c>
      <c r="C27" s="10"/>
      <c r="D27" s="10"/>
      <c r="E27" s="10">
        <v>17040</v>
      </c>
      <c r="F27" s="10"/>
      <c r="G27" s="10">
        <f t="shared" si="0"/>
        <v>17040</v>
      </c>
      <c r="H27" s="16">
        <f t="shared" si="1"/>
        <v>13</v>
      </c>
      <c r="I27" s="15">
        <f t="shared" si="2"/>
        <v>1.6E-2</v>
      </c>
      <c r="J27" s="15">
        <f>ROUND(G27/3570-1,2)</f>
        <v>3.77</v>
      </c>
    </row>
    <row r="28" spans="1:10" x14ac:dyDescent="0.25">
      <c r="A28" s="1" t="s">
        <v>16</v>
      </c>
      <c r="B28" s="1" t="s">
        <v>41</v>
      </c>
      <c r="C28" s="10"/>
      <c r="D28" s="10"/>
      <c r="E28" s="10">
        <v>18430</v>
      </c>
      <c r="F28" s="10"/>
      <c r="G28" s="10">
        <f t="shared" si="0"/>
        <v>18430</v>
      </c>
      <c r="H28" s="16">
        <f t="shared" si="1"/>
        <v>14.06</v>
      </c>
      <c r="I28" s="15">
        <f t="shared" si="2"/>
        <v>1.7000000000000001E-2</v>
      </c>
      <c r="J28" s="15">
        <f>ROUND(G28/5340-1,2)</f>
        <v>2.4500000000000002</v>
      </c>
    </row>
    <row r="29" spans="1:10" x14ac:dyDescent="0.25">
      <c r="A29" s="1" t="s">
        <v>16</v>
      </c>
      <c r="B29" s="1" t="s">
        <v>18</v>
      </c>
      <c r="C29" s="10"/>
      <c r="D29" s="10"/>
      <c r="E29" s="10"/>
      <c r="F29" s="10"/>
      <c r="G29" s="10">
        <f t="shared" si="0"/>
        <v>0</v>
      </c>
      <c r="H29" s="16">
        <f t="shared" si="1"/>
        <v>0</v>
      </c>
      <c r="I29" s="15">
        <f t="shared" si="2"/>
        <v>0</v>
      </c>
      <c r="J29" s="15">
        <f>ROUND(G29/3160-1,2)</f>
        <v>-1</v>
      </c>
    </row>
    <row r="30" spans="1:10" x14ac:dyDescent="0.25">
      <c r="A30" s="1" t="s">
        <v>16</v>
      </c>
      <c r="B30" s="1" t="s">
        <v>36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>
        <f>ROUND(G30/1450-1,2)</f>
        <v>-1</v>
      </c>
    </row>
    <row r="31" spans="1:10" x14ac:dyDescent="0.25">
      <c r="A31" s="1" t="s">
        <v>16</v>
      </c>
      <c r="B31" s="1" t="s">
        <v>30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>
        <f>ROUND(G31/300-1,2)</f>
        <v>-1</v>
      </c>
    </row>
    <row r="32" spans="1:10" x14ac:dyDescent="0.25">
      <c r="A32" s="1" t="s">
        <v>16</v>
      </c>
      <c r="B32" s="1" t="s">
        <v>35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>
        <f>ROUND(G32/491-1,2)</f>
        <v>-1</v>
      </c>
    </row>
    <row r="33" spans="1:10" x14ac:dyDescent="0.25">
      <c r="A33" s="1" t="s">
        <v>16</v>
      </c>
      <c r="B33" s="1" t="s">
        <v>96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>
        <f>ROUND(G33/77-1,2)</f>
        <v>-1</v>
      </c>
    </row>
    <row r="34" spans="1:10" x14ac:dyDescent="0.25">
      <c r="A34" s="1" t="s">
        <v>16</v>
      </c>
      <c r="B34" s="1" t="s">
        <v>98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ROUND(G34/127-1,2)</f>
        <v>-1</v>
      </c>
    </row>
    <row r="35" spans="1:10" x14ac:dyDescent="0.25">
      <c r="A35" s="1" t="s">
        <v>16</v>
      </c>
      <c r="B35" s="1" t="s">
        <v>116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>
        <f>ROUND(G35/60140-1,2)</f>
        <v>-1</v>
      </c>
    </row>
    <row r="36" spans="1:10" x14ac:dyDescent="0.25">
      <c r="A36" s="1" t="s">
        <v>16</v>
      </c>
      <c r="B36" s="1" t="s">
        <v>42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/>
    </row>
    <row r="37" spans="1:10" x14ac:dyDescent="0.25">
      <c r="A37" s="1" t="s">
        <v>16</v>
      </c>
      <c r="B37" s="1" t="s">
        <v>31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1" t="s">
        <v>44</v>
      </c>
      <c r="B38" s="1" t="s">
        <v>45</v>
      </c>
      <c r="C38" s="10"/>
      <c r="D38" s="10">
        <v>360040</v>
      </c>
      <c r="E38" s="10"/>
      <c r="F38" s="10"/>
      <c r="G38" s="10">
        <f t="shared" si="0"/>
        <v>360040</v>
      </c>
      <c r="H38" s="16">
        <f t="shared" si="1"/>
        <v>274.63</v>
      </c>
      <c r="I38" s="15">
        <f t="shared" si="2"/>
        <v>0.33100000000000002</v>
      </c>
      <c r="J38" s="15">
        <f>ROUND(G38/357800-1,2)</f>
        <v>0.01</v>
      </c>
    </row>
    <row r="39" spans="1:10" x14ac:dyDescent="0.25">
      <c r="A39" s="1" t="s">
        <v>44</v>
      </c>
      <c r="B39" s="1" t="s">
        <v>46</v>
      </c>
      <c r="C39" s="10"/>
      <c r="D39" s="10"/>
      <c r="E39" s="10">
        <v>27610</v>
      </c>
      <c r="F39" s="10"/>
      <c r="G39" s="10">
        <f t="shared" si="0"/>
        <v>27610</v>
      </c>
      <c r="H39" s="16">
        <f t="shared" si="1"/>
        <v>21.06</v>
      </c>
      <c r="I39" s="15">
        <f t="shared" si="2"/>
        <v>2.5000000000000001E-2</v>
      </c>
      <c r="J39" s="15">
        <f>ROUND(G39/24580-1,2)</f>
        <v>0.12</v>
      </c>
    </row>
    <row r="40" spans="1:10" x14ac:dyDescent="0.25">
      <c r="A40" s="1" t="s">
        <v>44</v>
      </c>
      <c r="B40" s="1" t="s">
        <v>47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/>
    </row>
    <row r="41" spans="1:10" x14ac:dyDescent="0.25">
      <c r="A41" s="1" t="s">
        <v>48</v>
      </c>
      <c r="B41" s="1" t="s">
        <v>49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>
        <f>ROUND(G41/33-1,2)</f>
        <v>-1</v>
      </c>
    </row>
    <row r="42" spans="1:10" x14ac:dyDescent="0.25">
      <c r="A42" s="1" t="s">
        <v>48</v>
      </c>
      <c r="B42" s="1" t="s">
        <v>50</v>
      </c>
      <c r="C42" s="10"/>
      <c r="D42" s="10"/>
      <c r="E42" s="10"/>
      <c r="F42" s="10"/>
      <c r="G42" s="10">
        <f t="shared" si="0"/>
        <v>0</v>
      </c>
      <c r="H42" s="16">
        <f t="shared" si="1"/>
        <v>0</v>
      </c>
      <c r="I42" s="15">
        <f t="shared" si="2"/>
        <v>0</v>
      </c>
      <c r="J42" s="15">
        <f>ROUND(G42/196-1,2)</f>
        <v>-1</v>
      </c>
    </row>
    <row r="43" spans="1:10" x14ac:dyDescent="0.25">
      <c r="A43" s="1" t="s">
        <v>48</v>
      </c>
      <c r="B43" s="1" t="s">
        <v>51</v>
      </c>
      <c r="C43" s="10"/>
      <c r="D43" s="10"/>
      <c r="E43" s="10"/>
      <c r="F43" s="10"/>
      <c r="G43" s="10">
        <f t="shared" si="0"/>
        <v>0</v>
      </c>
      <c r="H43" s="16">
        <f t="shared" si="1"/>
        <v>0</v>
      </c>
      <c r="I43" s="15">
        <f t="shared" si="2"/>
        <v>0</v>
      </c>
      <c r="J43" s="15"/>
    </row>
    <row r="44" spans="1:10" x14ac:dyDescent="0.25">
      <c r="A44" s="30" t="s">
        <v>12</v>
      </c>
      <c r="B44" s="30"/>
      <c r="C44" s="11">
        <f t="shared" ref="C44:H44" si="3">SUM(C8:C43)</f>
        <v>5340</v>
      </c>
      <c r="D44" s="11">
        <f t="shared" si="3"/>
        <v>807540</v>
      </c>
      <c r="E44" s="11">
        <f t="shared" si="3"/>
        <v>274504</v>
      </c>
      <c r="F44" s="11">
        <f t="shared" si="3"/>
        <v>0</v>
      </c>
      <c r="G44" s="11">
        <f t="shared" si="3"/>
        <v>1087384</v>
      </c>
      <c r="H44" s="14">
        <f t="shared" si="3"/>
        <v>829.43999999999994</v>
      </c>
      <c r="I44" s="17"/>
      <c r="J44" s="17"/>
    </row>
    <row r="45" spans="1:10" x14ac:dyDescent="0.25">
      <c r="A45" s="30" t="s">
        <v>14</v>
      </c>
      <c r="B45" s="30"/>
      <c r="C45" s="12">
        <f>ROUND(C44/G44,2)</f>
        <v>0</v>
      </c>
      <c r="D45" s="12">
        <f>ROUND(D44/G44,2)</f>
        <v>0.74</v>
      </c>
      <c r="E45" s="12">
        <f>ROUND(E44/G44,2)</f>
        <v>0.25</v>
      </c>
      <c r="F45" s="12">
        <f>ROUND(F44/G44,2)</f>
        <v>0</v>
      </c>
      <c r="G45" s="13"/>
      <c r="H45" s="13"/>
      <c r="I45" s="17"/>
      <c r="J45" s="17"/>
    </row>
    <row r="46" spans="1:10" x14ac:dyDescent="0.25">
      <c r="A46" s="2" t="s">
        <v>52</v>
      </c>
      <c r="B46" s="2"/>
      <c r="C46" s="13"/>
      <c r="D46" s="13"/>
      <c r="E46" s="13"/>
      <c r="F46" s="13"/>
      <c r="G46" s="13"/>
      <c r="H46" s="13"/>
      <c r="I46" s="17"/>
      <c r="J46" s="17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A50" s="30" t="s">
        <v>53</v>
      </c>
      <c r="B50" s="30"/>
      <c r="C50" s="11" t="s">
        <v>8</v>
      </c>
      <c r="D50" s="11" t="s">
        <v>9</v>
      </c>
      <c r="E50" s="11" t="s">
        <v>10</v>
      </c>
      <c r="F50" s="11" t="s">
        <v>11</v>
      </c>
      <c r="G50" s="11" t="s">
        <v>12</v>
      </c>
      <c r="H50" s="14" t="s">
        <v>13</v>
      </c>
      <c r="I50" s="17"/>
      <c r="J50" s="17"/>
    </row>
    <row r="51" spans="1:10" x14ac:dyDescent="0.25">
      <c r="A51" s="29" t="s">
        <v>54</v>
      </c>
      <c r="B51" s="29"/>
      <c r="C51" s="10">
        <v>5340</v>
      </c>
      <c r="D51" s="10">
        <v>447500</v>
      </c>
      <c r="E51" s="10">
        <v>246894</v>
      </c>
      <c r="F51" s="10">
        <v>0</v>
      </c>
      <c r="G51" s="10">
        <f>SUM(C51:F51)</f>
        <v>699734</v>
      </c>
      <c r="H51" s="16">
        <f>ROUND(G51/1311,2)</f>
        <v>533.74</v>
      </c>
      <c r="I51" s="9"/>
      <c r="J51" s="9"/>
    </row>
    <row r="52" spans="1:10" x14ac:dyDescent="0.25">
      <c r="A52" s="29" t="s">
        <v>55</v>
      </c>
      <c r="B52" s="29"/>
      <c r="C52" s="10">
        <v>0</v>
      </c>
      <c r="D52" s="10">
        <v>360040</v>
      </c>
      <c r="E52" s="10">
        <v>27610</v>
      </c>
      <c r="F52" s="10">
        <v>0</v>
      </c>
      <c r="G52" s="10">
        <f>SUM(C52:F52)</f>
        <v>387650</v>
      </c>
      <c r="H52" s="16">
        <f>ROUND(G52/1311,2)</f>
        <v>295.69</v>
      </c>
      <c r="I52" s="9"/>
      <c r="J52" s="9"/>
    </row>
    <row r="53" spans="1:10" x14ac:dyDescent="0.25">
      <c r="A53" s="29" t="s">
        <v>56</v>
      </c>
      <c r="B53" s="29"/>
      <c r="C53" s="10">
        <v>0</v>
      </c>
      <c r="D53" s="10">
        <v>0</v>
      </c>
      <c r="E53" s="10">
        <v>0</v>
      </c>
      <c r="F53" s="10">
        <v>0</v>
      </c>
      <c r="G53" s="10">
        <f>SUM(C53:F53)</f>
        <v>0</v>
      </c>
      <c r="H53" s="16">
        <f>ROUND(G53/1311,2)</f>
        <v>0</v>
      </c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21"/>
      <c r="H57" s="8"/>
      <c r="I57" s="9"/>
      <c r="J57" s="9"/>
    </row>
    <row r="58" spans="1:10" x14ac:dyDescent="0.25">
      <c r="A58" s="30" t="s">
        <v>57</v>
      </c>
      <c r="B58" s="30"/>
      <c r="C58" s="14" t="s">
        <v>2</v>
      </c>
      <c r="D58" s="14">
        <v>2023</v>
      </c>
      <c r="E58" s="14" t="s">
        <v>59</v>
      </c>
      <c r="F58" s="13"/>
      <c r="G58" s="20" t="s">
        <v>60</v>
      </c>
      <c r="H58" s="14" t="s">
        <v>2</v>
      </c>
      <c r="I58" s="12" t="s">
        <v>61</v>
      </c>
      <c r="J58" s="12" t="s">
        <v>59</v>
      </c>
    </row>
    <row r="59" spans="1:10" x14ac:dyDescent="0.25">
      <c r="A59" s="29" t="s">
        <v>58</v>
      </c>
      <c r="B59" s="29"/>
      <c r="C59" s="15">
        <f>ROUND(0.6516, 4)</f>
        <v>0.65159999999999996</v>
      </c>
      <c r="D59" s="15">
        <f>ROUND(0.6459, 4)</f>
        <v>0.64590000000000003</v>
      </c>
      <c r="E59" s="15">
        <f>ROUND(0.777, 4)</f>
        <v>0.77700000000000002</v>
      </c>
      <c r="F59" s="8"/>
      <c r="G59" s="14" t="s">
        <v>62</v>
      </c>
      <c r="H59" s="33" t="s">
        <v>63</v>
      </c>
      <c r="I59" s="31" t="s">
        <v>64</v>
      </c>
      <c r="J59" s="31" t="s">
        <v>65</v>
      </c>
    </row>
    <row r="60" spans="1:10" x14ac:dyDescent="0.25">
      <c r="A60" s="29" t="s">
        <v>66</v>
      </c>
      <c r="B60" s="29"/>
      <c r="C60" s="15">
        <f>ROUND(0.6208, 4)</f>
        <v>0.62080000000000002</v>
      </c>
      <c r="D60" s="15">
        <f>ROUND(0.6087, 4)</f>
        <v>0.60870000000000002</v>
      </c>
      <c r="E60" s="15">
        <f>ROUND(0.7608, 4)</f>
        <v>0.76080000000000003</v>
      </c>
      <c r="F60" s="8"/>
      <c r="G60" s="14" t="s">
        <v>67</v>
      </c>
      <c r="H60" s="34"/>
      <c r="I60" s="32"/>
      <c r="J60" s="32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A64" s="30" t="s">
        <v>68</v>
      </c>
      <c r="B64" s="30"/>
      <c r="C64" s="14" t="s">
        <v>2</v>
      </c>
      <c r="D64" s="14" t="s">
        <v>310</v>
      </c>
      <c r="E64" s="14" t="s">
        <v>70</v>
      </c>
      <c r="F64" s="14" t="s">
        <v>71</v>
      </c>
      <c r="G64" s="14" t="s">
        <v>72</v>
      </c>
      <c r="H64" s="13"/>
      <c r="I64" s="17"/>
      <c r="J64" s="17"/>
    </row>
    <row r="65" spans="1:10" x14ac:dyDescent="0.25">
      <c r="A65" s="29" t="s">
        <v>73</v>
      </c>
      <c r="B65" s="29"/>
      <c r="C65" s="16">
        <v>274.63</v>
      </c>
      <c r="D65" s="16">
        <v>256.33999999999997</v>
      </c>
      <c r="E65" s="16">
        <v>93.87</v>
      </c>
      <c r="F65" s="16">
        <v>57.16</v>
      </c>
      <c r="G65" s="16">
        <f>12/12*C65</f>
        <v>274.63</v>
      </c>
      <c r="H65" s="8"/>
      <c r="I65" s="9"/>
      <c r="J65" s="9"/>
    </row>
    <row r="66" spans="1:10" x14ac:dyDescent="0.25">
      <c r="A66" s="29" t="s">
        <v>74</v>
      </c>
      <c r="B66" s="29"/>
      <c r="C66" s="16">
        <v>94.23</v>
      </c>
      <c r="D66" s="16">
        <v>95.22</v>
      </c>
      <c r="E66" s="16">
        <v>62.84</v>
      </c>
      <c r="F66" s="16">
        <v>65.39</v>
      </c>
      <c r="G66" s="16">
        <f>12/12*C66</f>
        <v>94.23</v>
      </c>
      <c r="H66" s="8"/>
      <c r="I66" s="9"/>
      <c r="J66" s="9"/>
    </row>
    <row r="67" spans="1:10" x14ac:dyDescent="0.25">
      <c r="A67" s="29" t="s">
        <v>75</v>
      </c>
      <c r="B67" s="29"/>
      <c r="C67" s="16">
        <v>533.74</v>
      </c>
      <c r="D67" s="16">
        <v>509.95</v>
      </c>
      <c r="E67" s="16">
        <v>295.08999999999997</v>
      </c>
      <c r="F67" s="16">
        <v>289.06</v>
      </c>
      <c r="G67" s="16">
        <f>12/12*C67</f>
        <v>533.74</v>
      </c>
      <c r="H67" s="8"/>
      <c r="I67" s="9"/>
      <c r="J67" s="9"/>
    </row>
    <row r="68" spans="1:10" x14ac:dyDescent="0.25">
      <c r="A68" s="29" t="s">
        <v>76</v>
      </c>
      <c r="B68" s="29"/>
      <c r="C68" s="16">
        <v>295.69</v>
      </c>
      <c r="D68" s="16">
        <v>284.08</v>
      </c>
      <c r="E68" s="16">
        <v>118.05</v>
      </c>
      <c r="F68" s="16">
        <v>81.41</v>
      </c>
      <c r="G68" s="16">
        <f>12/12*C68</f>
        <v>295.69</v>
      </c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28" t="s">
        <v>60</v>
      </c>
      <c r="B71" s="35"/>
    </row>
    <row r="72" spans="1:10" x14ac:dyDescent="0.25">
      <c r="A72" s="3" t="s">
        <v>77</v>
      </c>
      <c r="B72" s="1" t="s">
        <v>311</v>
      </c>
    </row>
    <row r="73" spans="1:10" x14ac:dyDescent="0.25">
      <c r="A73" s="3" t="s">
        <v>70</v>
      </c>
      <c r="B73" s="1" t="s">
        <v>79</v>
      </c>
    </row>
    <row r="74" spans="1:10" x14ac:dyDescent="0.25">
      <c r="A74" s="3" t="s">
        <v>71</v>
      </c>
      <c r="B74" s="1" t="s">
        <v>80</v>
      </c>
    </row>
    <row r="75" spans="1:10" x14ac:dyDescent="0.25">
      <c r="A75" s="3" t="s">
        <v>72</v>
      </c>
      <c r="B75" s="1" t="s">
        <v>81</v>
      </c>
    </row>
  </sheetData>
  <mergeCells count="19">
    <mergeCell ref="A66:B66"/>
    <mergeCell ref="A67:B67"/>
    <mergeCell ref="A68:B68"/>
    <mergeCell ref="A71:B71"/>
    <mergeCell ref="I59:I60"/>
    <mergeCell ref="J59:J60"/>
    <mergeCell ref="A60:B60"/>
    <mergeCell ref="A64:B64"/>
    <mergeCell ref="A65:B65"/>
    <mergeCell ref="A52:B52"/>
    <mergeCell ref="A53:B53"/>
    <mergeCell ref="A58:B58"/>
    <mergeCell ref="A59:B59"/>
    <mergeCell ref="H59:H60"/>
    <mergeCell ref="C7:G7"/>
    <mergeCell ref="A44:B44"/>
    <mergeCell ref="A45:B45"/>
    <mergeCell ref="A50:B50"/>
    <mergeCell ref="A51:B51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2:J76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0.710937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312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392</v>
      </c>
    </row>
    <row r="7" spans="1:10" x14ac:dyDescent="0.25">
      <c r="C7" s="28" t="s">
        <v>5</v>
      </c>
      <c r="D7" s="29"/>
      <c r="E7" s="29"/>
      <c r="F7" s="29"/>
      <c r="G7" s="29"/>
    </row>
    <row r="8" spans="1:10" x14ac:dyDescent="0.25">
      <c r="A8" s="25" t="s">
        <v>6</v>
      </c>
      <c r="B8" s="25" t="s">
        <v>7</v>
      </c>
      <c r="C8" s="27" t="s">
        <v>8</v>
      </c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</row>
    <row r="9" spans="1:10" x14ac:dyDescent="0.25">
      <c r="A9" s="1" t="s">
        <v>16</v>
      </c>
      <c r="B9" s="1" t="s">
        <v>19</v>
      </c>
      <c r="C9" s="10">
        <v>25700</v>
      </c>
      <c r="D9" s="10"/>
      <c r="E9" s="10"/>
      <c r="F9" s="10"/>
      <c r="G9" s="10">
        <f t="shared" ref="G9:G38" si="0">SUM(C9:F9)</f>
        <v>25700</v>
      </c>
      <c r="H9" s="16">
        <f t="shared" ref="H9:H38" si="1">ROUND(G9/392,2)</f>
        <v>65.56</v>
      </c>
      <c r="I9" s="15">
        <f t="shared" ref="I9:I38" si="2">ROUND(G9/$G$39,3)</f>
        <v>9.6000000000000002E-2</v>
      </c>
      <c r="J9" s="15">
        <f>ROUND(G9/27080-1,2)</f>
        <v>-0.05</v>
      </c>
    </row>
    <row r="10" spans="1:10" x14ac:dyDescent="0.25">
      <c r="A10" s="1" t="s">
        <v>16</v>
      </c>
      <c r="B10" s="1" t="s">
        <v>20</v>
      </c>
      <c r="C10" s="10">
        <v>53225</v>
      </c>
      <c r="D10" s="10"/>
      <c r="E10" s="10"/>
      <c r="F10" s="10"/>
      <c r="G10" s="10">
        <f t="shared" si="0"/>
        <v>53225</v>
      </c>
      <c r="H10" s="16">
        <f t="shared" si="1"/>
        <v>135.78</v>
      </c>
      <c r="I10" s="15">
        <f t="shared" si="2"/>
        <v>0.2</v>
      </c>
      <c r="J10" s="15">
        <f>ROUND(G10/48380-1,2)</f>
        <v>0.1</v>
      </c>
    </row>
    <row r="11" spans="1:10" x14ac:dyDescent="0.25">
      <c r="A11" s="1" t="s">
        <v>16</v>
      </c>
      <c r="B11" s="1" t="s">
        <v>21</v>
      </c>
      <c r="C11" s="10"/>
      <c r="D11" s="10"/>
      <c r="E11" s="10">
        <v>80</v>
      </c>
      <c r="F11" s="10"/>
      <c r="G11" s="10">
        <f t="shared" si="0"/>
        <v>80</v>
      </c>
      <c r="H11" s="16">
        <f t="shared" si="1"/>
        <v>0.2</v>
      </c>
      <c r="I11" s="15">
        <f t="shared" si="2"/>
        <v>0</v>
      </c>
      <c r="J11" s="15">
        <f>ROUND(G11/310-1,2)</f>
        <v>-0.74</v>
      </c>
    </row>
    <row r="12" spans="1:10" x14ac:dyDescent="0.25">
      <c r="A12" s="1" t="s">
        <v>16</v>
      </c>
      <c r="B12" s="1" t="s">
        <v>23</v>
      </c>
      <c r="C12" s="10"/>
      <c r="D12" s="10"/>
      <c r="E12" s="10">
        <v>7660</v>
      </c>
      <c r="F12" s="10"/>
      <c r="G12" s="10">
        <f t="shared" si="0"/>
        <v>7660</v>
      </c>
      <c r="H12" s="16">
        <f t="shared" si="1"/>
        <v>19.54</v>
      </c>
      <c r="I12" s="15">
        <f t="shared" si="2"/>
        <v>2.9000000000000001E-2</v>
      </c>
      <c r="J12" s="15">
        <f>ROUND(G12/18420-1,2)</f>
        <v>-0.57999999999999996</v>
      </c>
    </row>
    <row r="13" spans="1:10" x14ac:dyDescent="0.25">
      <c r="A13" s="1" t="s">
        <v>16</v>
      </c>
      <c r="B13" s="1" t="s">
        <v>24</v>
      </c>
      <c r="C13" s="10">
        <v>41720</v>
      </c>
      <c r="D13" s="10"/>
      <c r="E13" s="10"/>
      <c r="F13" s="10">
        <v>100</v>
      </c>
      <c r="G13" s="10">
        <f t="shared" si="0"/>
        <v>41820</v>
      </c>
      <c r="H13" s="16">
        <f t="shared" si="1"/>
        <v>106.68</v>
      </c>
      <c r="I13" s="15">
        <f t="shared" si="2"/>
        <v>0.157</v>
      </c>
      <c r="J13" s="15">
        <f>ROUND(G13/38180-1,2)</f>
        <v>0.1</v>
      </c>
    </row>
    <row r="14" spans="1:10" x14ac:dyDescent="0.25">
      <c r="A14" s="1" t="s">
        <v>16</v>
      </c>
      <c r="B14" s="1" t="s">
        <v>26</v>
      </c>
      <c r="C14" s="10">
        <v>33140</v>
      </c>
      <c r="D14" s="10"/>
      <c r="E14" s="10"/>
      <c r="F14" s="10">
        <v>1100</v>
      </c>
      <c r="G14" s="10">
        <f t="shared" si="0"/>
        <v>34240</v>
      </c>
      <c r="H14" s="16">
        <f t="shared" si="1"/>
        <v>87.35</v>
      </c>
      <c r="I14" s="15">
        <f t="shared" si="2"/>
        <v>0.129</v>
      </c>
      <c r="J14" s="15">
        <f>ROUND(G14/41160-1,2)</f>
        <v>-0.17</v>
      </c>
    </row>
    <row r="15" spans="1:10" x14ac:dyDescent="0.25">
      <c r="A15" s="1" t="s">
        <v>16</v>
      </c>
      <c r="B15" s="1" t="s">
        <v>27</v>
      </c>
      <c r="C15" s="10"/>
      <c r="D15" s="10"/>
      <c r="E15" s="10">
        <v>44</v>
      </c>
      <c r="F15" s="10"/>
      <c r="G15" s="10">
        <f t="shared" si="0"/>
        <v>44</v>
      </c>
      <c r="H15" s="16">
        <f t="shared" si="1"/>
        <v>0.11</v>
      </c>
      <c r="I15" s="15">
        <f t="shared" si="2"/>
        <v>0</v>
      </c>
      <c r="J15" s="15"/>
    </row>
    <row r="16" spans="1:10" x14ac:dyDescent="0.25">
      <c r="A16" s="1" t="s">
        <v>16</v>
      </c>
      <c r="B16" s="1" t="s">
        <v>28</v>
      </c>
      <c r="C16" s="10"/>
      <c r="D16" s="10"/>
      <c r="E16" s="10">
        <v>20</v>
      </c>
      <c r="F16" s="10"/>
      <c r="G16" s="10">
        <f t="shared" si="0"/>
        <v>20</v>
      </c>
      <c r="H16" s="16">
        <f t="shared" si="1"/>
        <v>0.05</v>
      </c>
      <c r="I16" s="15">
        <f t="shared" si="2"/>
        <v>0</v>
      </c>
      <c r="J16" s="15"/>
    </row>
    <row r="17" spans="1:10" x14ac:dyDescent="0.25">
      <c r="A17" s="1" t="s">
        <v>16</v>
      </c>
      <c r="B17" s="1" t="s">
        <v>32</v>
      </c>
      <c r="C17" s="10"/>
      <c r="D17" s="10"/>
      <c r="E17" s="10">
        <v>540</v>
      </c>
      <c r="F17" s="10"/>
      <c r="G17" s="10">
        <f t="shared" si="0"/>
        <v>540</v>
      </c>
      <c r="H17" s="16">
        <f t="shared" si="1"/>
        <v>1.38</v>
      </c>
      <c r="I17" s="15">
        <f t="shared" si="2"/>
        <v>2E-3</v>
      </c>
      <c r="J17" s="15">
        <f>ROUND(G17/545-1,2)</f>
        <v>-0.01</v>
      </c>
    </row>
    <row r="18" spans="1:10" x14ac:dyDescent="0.25">
      <c r="A18" s="1" t="s">
        <v>16</v>
      </c>
      <c r="B18" s="1" t="s">
        <v>33</v>
      </c>
      <c r="C18" s="10"/>
      <c r="D18" s="10"/>
      <c r="E18" s="10">
        <v>103</v>
      </c>
      <c r="F18" s="10"/>
      <c r="G18" s="10">
        <f t="shared" si="0"/>
        <v>103</v>
      </c>
      <c r="H18" s="16">
        <f t="shared" si="1"/>
        <v>0.26</v>
      </c>
      <c r="I18" s="15">
        <f t="shared" si="2"/>
        <v>0</v>
      </c>
      <c r="J18" s="15"/>
    </row>
    <row r="19" spans="1:10" x14ac:dyDescent="0.25">
      <c r="A19" s="1" t="s">
        <v>16</v>
      </c>
      <c r="B19" s="1" t="s">
        <v>38</v>
      </c>
      <c r="C19" s="10"/>
      <c r="D19" s="10"/>
      <c r="E19" s="10">
        <v>14965</v>
      </c>
      <c r="F19" s="10"/>
      <c r="G19" s="10">
        <f t="shared" si="0"/>
        <v>14965</v>
      </c>
      <c r="H19" s="16">
        <f t="shared" si="1"/>
        <v>38.18</v>
      </c>
      <c r="I19" s="15">
        <f t="shared" si="2"/>
        <v>5.6000000000000001E-2</v>
      </c>
      <c r="J19" s="15">
        <f>ROUND(G19/20790-1,2)</f>
        <v>-0.28000000000000003</v>
      </c>
    </row>
    <row r="20" spans="1:10" x14ac:dyDescent="0.25">
      <c r="A20" s="1" t="s">
        <v>16</v>
      </c>
      <c r="B20" s="1" t="s">
        <v>40</v>
      </c>
      <c r="C20" s="10"/>
      <c r="D20" s="10"/>
      <c r="E20" s="10">
        <v>7860</v>
      </c>
      <c r="F20" s="10"/>
      <c r="G20" s="10">
        <f t="shared" si="0"/>
        <v>7860</v>
      </c>
      <c r="H20" s="16">
        <f t="shared" si="1"/>
        <v>20.05</v>
      </c>
      <c r="I20" s="15">
        <f t="shared" si="2"/>
        <v>0.03</v>
      </c>
      <c r="J20" s="15">
        <f>ROUND(G20/7410-1,2)</f>
        <v>0.06</v>
      </c>
    </row>
    <row r="21" spans="1:10" x14ac:dyDescent="0.25">
      <c r="A21" s="1" t="s">
        <v>16</v>
      </c>
      <c r="B21" s="1" t="s">
        <v>42</v>
      </c>
      <c r="C21" s="10"/>
      <c r="D21" s="10"/>
      <c r="E21" s="10"/>
      <c r="F21" s="10"/>
      <c r="G21" s="10">
        <f t="shared" si="0"/>
        <v>0</v>
      </c>
      <c r="H21" s="16">
        <f t="shared" si="1"/>
        <v>0</v>
      </c>
      <c r="I21" s="15">
        <f t="shared" si="2"/>
        <v>0</v>
      </c>
      <c r="J21" s="15"/>
    </row>
    <row r="22" spans="1:10" x14ac:dyDescent="0.25">
      <c r="A22" s="1" t="s">
        <v>16</v>
      </c>
      <c r="B22" s="1" t="s">
        <v>29</v>
      </c>
      <c r="C22" s="10"/>
      <c r="D22" s="10"/>
      <c r="E22" s="10"/>
      <c r="F22" s="10"/>
      <c r="G22" s="10">
        <f t="shared" si="0"/>
        <v>0</v>
      </c>
      <c r="H22" s="16">
        <f t="shared" si="1"/>
        <v>0</v>
      </c>
      <c r="I22" s="15">
        <f t="shared" si="2"/>
        <v>0</v>
      </c>
      <c r="J22" s="15">
        <f>ROUND(G22/1960-1,2)</f>
        <v>-1</v>
      </c>
    </row>
    <row r="23" spans="1:10" x14ac:dyDescent="0.25">
      <c r="A23" s="1" t="s">
        <v>16</v>
      </c>
      <c r="B23" s="1" t="s">
        <v>37</v>
      </c>
      <c r="C23" s="10"/>
      <c r="D23" s="10"/>
      <c r="E23" s="10"/>
      <c r="F23" s="10"/>
      <c r="G23" s="10">
        <f t="shared" si="0"/>
        <v>0</v>
      </c>
      <c r="H23" s="16">
        <f t="shared" si="1"/>
        <v>0</v>
      </c>
      <c r="I23" s="15">
        <f t="shared" si="2"/>
        <v>0</v>
      </c>
      <c r="J23" s="15">
        <f>ROUND(G23/2820-1,2)</f>
        <v>-1</v>
      </c>
    </row>
    <row r="24" spans="1:10" x14ac:dyDescent="0.25">
      <c r="A24" s="1" t="s">
        <v>16</v>
      </c>
      <c r="B24" s="1" t="s">
        <v>43</v>
      </c>
      <c r="C24" s="10"/>
      <c r="D24" s="10"/>
      <c r="E24" s="10"/>
      <c r="F24" s="10"/>
      <c r="G24" s="10">
        <f t="shared" si="0"/>
        <v>0</v>
      </c>
      <c r="H24" s="16">
        <f t="shared" si="1"/>
        <v>0</v>
      </c>
      <c r="I24" s="15">
        <f t="shared" si="2"/>
        <v>0</v>
      </c>
      <c r="J24" s="15">
        <f>ROUND(G24/1840-1,2)</f>
        <v>-1</v>
      </c>
    </row>
    <row r="25" spans="1:10" x14ac:dyDescent="0.25">
      <c r="A25" s="1" t="s">
        <v>16</v>
      </c>
      <c r="B25" s="1" t="s">
        <v>30</v>
      </c>
      <c r="C25" s="10"/>
      <c r="D25" s="10"/>
      <c r="E25" s="10"/>
      <c r="F25" s="10"/>
      <c r="G25" s="10">
        <f t="shared" si="0"/>
        <v>0</v>
      </c>
      <c r="H25" s="16">
        <f t="shared" si="1"/>
        <v>0</v>
      </c>
      <c r="I25" s="15">
        <f t="shared" si="2"/>
        <v>0</v>
      </c>
      <c r="J25" s="15">
        <f>ROUND(G25/200-1,2)</f>
        <v>-1</v>
      </c>
    </row>
    <row r="26" spans="1:10" x14ac:dyDescent="0.25">
      <c r="A26" s="1" t="s">
        <v>16</v>
      </c>
      <c r="B26" s="1" t="s">
        <v>41</v>
      </c>
      <c r="C26" s="10"/>
      <c r="D26" s="10"/>
      <c r="E26" s="10"/>
      <c r="F26" s="10"/>
      <c r="G26" s="10">
        <f t="shared" si="0"/>
        <v>0</v>
      </c>
      <c r="H26" s="16">
        <f t="shared" si="1"/>
        <v>0</v>
      </c>
      <c r="I26" s="15">
        <f t="shared" si="2"/>
        <v>0</v>
      </c>
      <c r="J26" s="15">
        <f>ROUND(G26/1460-1,2)</f>
        <v>-1</v>
      </c>
    </row>
    <row r="27" spans="1:10" x14ac:dyDescent="0.25">
      <c r="A27" s="1" t="s">
        <v>16</v>
      </c>
      <c r="B27" s="1" t="s">
        <v>98</v>
      </c>
      <c r="C27" s="10"/>
      <c r="D27" s="10"/>
      <c r="E27" s="10"/>
      <c r="F27" s="10"/>
      <c r="G27" s="10">
        <f t="shared" si="0"/>
        <v>0</v>
      </c>
      <c r="H27" s="16">
        <f t="shared" si="1"/>
        <v>0</v>
      </c>
      <c r="I27" s="15">
        <f t="shared" si="2"/>
        <v>0</v>
      </c>
      <c r="J27" s="15">
        <f>ROUND(G27/100-1,2)</f>
        <v>-1</v>
      </c>
    </row>
    <row r="28" spans="1:10" x14ac:dyDescent="0.25">
      <c r="A28" s="1" t="s">
        <v>16</v>
      </c>
      <c r="B28" s="1" t="s">
        <v>36</v>
      </c>
      <c r="C28" s="10"/>
      <c r="D28" s="10"/>
      <c r="E28" s="10"/>
      <c r="F28" s="10"/>
      <c r="G28" s="10">
        <f t="shared" si="0"/>
        <v>0</v>
      </c>
      <c r="H28" s="16">
        <f t="shared" si="1"/>
        <v>0</v>
      </c>
      <c r="I28" s="15">
        <f t="shared" si="2"/>
        <v>0</v>
      </c>
      <c r="J28" s="15">
        <f>ROUND(G28/710-1,2)</f>
        <v>-1</v>
      </c>
    </row>
    <row r="29" spans="1:10" x14ac:dyDescent="0.25">
      <c r="A29" s="1" t="s">
        <v>16</v>
      </c>
      <c r="B29" s="1" t="s">
        <v>25</v>
      </c>
      <c r="C29" s="10"/>
      <c r="D29" s="10"/>
      <c r="E29" s="10"/>
      <c r="F29" s="10"/>
      <c r="G29" s="10">
        <f t="shared" si="0"/>
        <v>0</v>
      </c>
      <c r="H29" s="16">
        <f t="shared" si="1"/>
        <v>0</v>
      </c>
      <c r="I29" s="15">
        <f t="shared" si="2"/>
        <v>0</v>
      </c>
      <c r="J29" s="15">
        <f>ROUND(G29/1390-1,2)</f>
        <v>-1</v>
      </c>
    </row>
    <row r="30" spans="1:10" x14ac:dyDescent="0.25">
      <c r="A30" s="1" t="s">
        <v>16</v>
      </c>
      <c r="B30" s="1" t="s">
        <v>120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/>
    </row>
    <row r="31" spans="1:10" x14ac:dyDescent="0.25">
      <c r="A31" s="1" t="s">
        <v>16</v>
      </c>
      <c r="B31" s="1" t="s">
        <v>22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/>
    </row>
    <row r="32" spans="1:10" x14ac:dyDescent="0.25">
      <c r="A32" s="1" t="s">
        <v>16</v>
      </c>
      <c r="B32" s="1" t="s">
        <v>31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/>
    </row>
    <row r="33" spans="1:10" x14ac:dyDescent="0.25">
      <c r="A33" s="1" t="s">
        <v>16</v>
      </c>
      <c r="B33" s="1" t="s">
        <v>35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/>
    </row>
    <row r="34" spans="1:10" x14ac:dyDescent="0.25">
      <c r="A34" s="1" t="s">
        <v>16</v>
      </c>
      <c r="B34" s="1" t="s">
        <v>39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/>
    </row>
    <row r="35" spans="1:10" x14ac:dyDescent="0.25">
      <c r="A35" s="1" t="s">
        <v>44</v>
      </c>
      <c r="B35" s="1" t="s">
        <v>45</v>
      </c>
      <c r="C35" s="10">
        <v>69140</v>
      </c>
      <c r="D35" s="10"/>
      <c r="E35" s="10"/>
      <c r="F35" s="10">
        <v>80</v>
      </c>
      <c r="G35" s="10">
        <f t="shared" si="0"/>
        <v>69220</v>
      </c>
      <c r="H35" s="16">
        <f t="shared" si="1"/>
        <v>176.58</v>
      </c>
      <c r="I35" s="15">
        <f t="shared" si="2"/>
        <v>0.26</v>
      </c>
      <c r="J35" s="15">
        <f>ROUND(G35/78980-1,2)</f>
        <v>-0.12</v>
      </c>
    </row>
    <row r="36" spans="1:10" x14ac:dyDescent="0.25">
      <c r="A36" s="1" t="s">
        <v>44</v>
      </c>
      <c r="B36" s="1" t="s">
        <v>46</v>
      </c>
      <c r="C36" s="10"/>
      <c r="D36" s="10"/>
      <c r="E36" s="10">
        <v>10890</v>
      </c>
      <c r="F36" s="10"/>
      <c r="G36" s="10">
        <f t="shared" si="0"/>
        <v>10890</v>
      </c>
      <c r="H36" s="16">
        <f t="shared" si="1"/>
        <v>27.78</v>
      </c>
      <c r="I36" s="15">
        <f t="shared" si="2"/>
        <v>4.1000000000000002E-2</v>
      </c>
      <c r="J36" s="15">
        <f>ROUND(G36/11650-1,2)</f>
        <v>-7.0000000000000007E-2</v>
      </c>
    </row>
    <row r="37" spans="1:10" x14ac:dyDescent="0.25">
      <c r="A37" s="1" t="s">
        <v>44</v>
      </c>
      <c r="B37" s="1" t="s">
        <v>47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>
        <f>ROUND(G37/9820-1,2)</f>
        <v>-1</v>
      </c>
    </row>
    <row r="38" spans="1:10" x14ac:dyDescent="0.25">
      <c r="A38" s="1" t="s">
        <v>48</v>
      </c>
      <c r="B38" s="1" t="s">
        <v>51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>
        <f>ROUND(G38/4-1,2)</f>
        <v>-1</v>
      </c>
    </row>
    <row r="39" spans="1:10" x14ac:dyDescent="0.25">
      <c r="A39" s="30" t="s">
        <v>12</v>
      </c>
      <c r="B39" s="30"/>
      <c r="C39" s="11">
        <f t="shared" ref="C39:H39" si="3">SUM(C8:C38)</f>
        <v>222925</v>
      </c>
      <c r="D39" s="11">
        <f t="shared" si="3"/>
        <v>0</v>
      </c>
      <c r="E39" s="11">
        <f t="shared" si="3"/>
        <v>42162</v>
      </c>
      <c r="F39" s="11">
        <f t="shared" si="3"/>
        <v>1280</v>
      </c>
      <c r="G39" s="11">
        <f t="shared" si="3"/>
        <v>266367</v>
      </c>
      <c r="H39" s="14">
        <f t="shared" si="3"/>
        <v>679.5</v>
      </c>
      <c r="I39" s="17"/>
      <c r="J39" s="17"/>
    </row>
    <row r="40" spans="1:10" x14ac:dyDescent="0.25">
      <c r="A40" s="30" t="s">
        <v>14</v>
      </c>
      <c r="B40" s="30"/>
      <c r="C40" s="12">
        <f>ROUND(C39/G39,2)</f>
        <v>0.84</v>
      </c>
      <c r="D40" s="12">
        <f>ROUND(D39/G39,2)</f>
        <v>0</v>
      </c>
      <c r="E40" s="12">
        <f>ROUND(E39/G39,2)</f>
        <v>0.16</v>
      </c>
      <c r="F40" s="12">
        <f>ROUND(F39/G39,2)</f>
        <v>0</v>
      </c>
      <c r="G40" s="13"/>
      <c r="H40" s="13"/>
      <c r="I40" s="17"/>
      <c r="J40" s="17"/>
    </row>
    <row r="41" spans="1:10" x14ac:dyDescent="0.25">
      <c r="A41" s="2" t="s">
        <v>52</v>
      </c>
      <c r="B41" s="2"/>
      <c r="C41" s="13"/>
      <c r="D41" s="13"/>
      <c r="E41" s="13"/>
      <c r="F41" s="13"/>
      <c r="G41" s="13"/>
      <c r="H41" s="13"/>
      <c r="I41" s="17"/>
      <c r="J41" s="17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A45" s="30" t="s">
        <v>53</v>
      </c>
      <c r="B45" s="30"/>
      <c r="C45" s="11" t="s">
        <v>8</v>
      </c>
      <c r="D45" s="11" t="s">
        <v>9</v>
      </c>
      <c r="E45" s="11" t="s">
        <v>10</v>
      </c>
      <c r="F45" s="11" t="s">
        <v>11</v>
      </c>
      <c r="G45" s="11" t="s">
        <v>12</v>
      </c>
      <c r="H45" s="14" t="s">
        <v>13</v>
      </c>
      <c r="I45" s="17"/>
      <c r="J45" s="17"/>
    </row>
    <row r="46" spans="1:10" x14ac:dyDescent="0.25">
      <c r="A46" s="29" t="s">
        <v>54</v>
      </c>
      <c r="B46" s="29"/>
      <c r="C46" s="10">
        <v>153785</v>
      </c>
      <c r="D46" s="10">
        <v>0</v>
      </c>
      <c r="E46" s="10">
        <v>31272</v>
      </c>
      <c r="F46" s="10">
        <v>1200</v>
      </c>
      <c r="G46" s="10">
        <f>SUM(C46:F46)</f>
        <v>186257</v>
      </c>
      <c r="H46" s="16">
        <f>ROUND(G46/392,2)</f>
        <v>475.15</v>
      </c>
      <c r="I46" s="9"/>
      <c r="J46" s="9"/>
    </row>
    <row r="47" spans="1:10" x14ac:dyDescent="0.25">
      <c r="A47" s="29" t="s">
        <v>55</v>
      </c>
      <c r="B47" s="29"/>
      <c r="C47" s="10">
        <v>69140</v>
      </c>
      <c r="D47" s="10">
        <v>0</v>
      </c>
      <c r="E47" s="10">
        <v>10890</v>
      </c>
      <c r="F47" s="10">
        <v>80</v>
      </c>
      <c r="G47" s="10">
        <f>SUM(C47:F47)</f>
        <v>80110</v>
      </c>
      <c r="H47" s="16">
        <f>ROUND(G47/392,2)</f>
        <v>204.36</v>
      </c>
      <c r="I47" s="9"/>
      <c r="J47" s="9"/>
    </row>
    <row r="48" spans="1:10" x14ac:dyDescent="0.25">
      <c r="A48" s="29" t="s">
        <v>56</v>
      </c>
      <c r="B48" s="29"/>
      <c r="C48" s="10">
        <v>0</v>
      </c>
      <c r="D48" s="10">
        <v>0</v>
      </c>
      <c r="E48" s="10">
        <v>0</v>
      </c>
      <c r="F48" s="10">
        <v>0</v>
      </c>
      <c r="G48" s="10">
        <f>SUM(C48:F48)</f>
        <v>0</v>
      </c>
      <c r="H48" s="16">
        <f>ROUND(G48/392,2)</f>
        <v>0</v>
      </c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A53" s="30" t="s">
        <v>57</v>
      </c>
      <c r="B53" s="30"/>
      <c r="C53" s="14" t="s">
        <v>2</v>
      </c>
      <c r="D53" s="14">
        <v>2023</v>
      </c>
      <c r="E53" s="14" t="s">
        <v>59</v>
      </c>
      <c r="F53" s="13"/>
      <c r="G53" s="14" t="s">
        <v>60</v>
      </c>
      <c r="H53" s="14" t="s">
        <v>2</v>
      </c>
      <c r="I53" s="12" t="s">
        <v>61</v>
      </c>
      <c r="J53" s="12" t="s">
        <v>59</v>
      </c>
    </row>
    <row r="54" spans="1:10" x14ac:dyDescent="0.25">
      <c r="A54" s="29" t="s">
        <v>58</v>
      </c>
      <c r="B54" s="29"/>
      <c r="C54" s="15">
        <f>ROUND(0.7279, 4)</f>
        <v>0.72789999999999999</v>
      </c>
      <c r="D54" s="15">
        <f>ROUND(0.7232, 4)</f>
        <v>0.72319999999999995</v>
      </c>
      <c r="E54" s="15">
        <f>ROUND(0.777, 4)</f>
        <v>0.77700000000000002</v>
      </c>
      <c r="F54" s="8"/>
      <c r="G54" s="14" t="s">
        <v>62</v>
      </c>
      <c r="H54" s="33" t="s">
        <v>63</v>
      </c>
      <c r="I54" s="31" t="s">
        <v>64</v>
      </c>
      <c r="J54" s="31" t="s">
        <v>65</v>
      </c>
    </row>
    <row r="55" spans="1:10" x14ac:dyDescent="0.25">
      <c r="A55" s="29" t="s">
        <v>66</v>
      </c>
      <c r="B55" s="29"/>
      <c r="C55" s="15">
        <f>ROUND(0.691, 4)</f>
        <v>0.69099999999999995</v>
      </c>
      <c r="D55" s="15">
        <f>ROUND(0.6889, 4)</f>
        <v>0.68889999999999996</v>
      </c>
      <c r="E55" s="15">
        <f>ROUND(0.7608, 4)</f>
        <v>0.76080000000000003</v>
      </c>
      <c r="F55" s="8"/>
      <c r="G55" s="14" t="s">
        <v>67</v>
      </c>
      <c r="H55" s="34"/>
      <c r="I55" s="32"/>
      <c r="J55" s="32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21"/>
      <c r="H57" s="8"/>
      <c r="I57" s="9"/>
      <c r="J57" s="9"/>
    </row>
    <row r="58" spans="1:10" x14ac:dyDescent="0.25">
      <c r="C58" s="8"/>
      <c r="D58" s="8"/>
      <c r="E58" s="8"/>
      <c r="F58" s="8"/>
      <c r="G58" s="21"/>
      <c r="H58" s="8"/>
      <c r="I58" s="9"/>
      <c r="J58" s="9"/>
    </row>
    <row r="59" spans="1:10" x14ac:dyDescent="0.25">
      <c r="A59" s="30" t="s">
        <v>68</v>
      </c>
      <c r="B59" s="30"/>
      <c r="C59" s="14" t="s">
        <v>2</v>
      </c>
      <c r="D59" s="14" t="s">
        <v>313</v>
      </c>
      <c r="E59" s="14" t="s">
        <v>70</v>
      </c>
      <c r="F59" s="14" t="s">
        <v>71</v>
      </c>
      <c r="G59" s="14" t="s">
        <v>72</v>
      </c>
      <c r="H59" s="13"/>
      <c r="I59" s="17"/>
      <c r="J59" s="17"/>
    </row>
    <row r="60" spans="1:10" x14ac:dyDescent="0.25">
      <c r="A60" s="29" t="s">
        <v>73</v>
      </c>
      <c r="B60" s="29"/>
      <c r="C60" s="16">
        <v>176.58</v>
      </c>
      <c r="D60" s="16">
        <v>189.36</v>
      </c>
      <c r="E60" s="16">
        <v>93.87</v>
      </c>
      <c r="F60" s="16">
        <v>57.16</v>
      </c>
      <c r="G60" s="16">
        <f>12/12*C60</f>
        <v>176.58</v>
      </c>
      <c r="H60" s="8"/>
      <c r="I60" s="9"/>
      <c r="J60" s="9"/>
    </row>
    <row r="61" spans="1:10" x14ac:dyDescent="0.25">
      <c r="A61" s="29" t="s">
        <v>74</v>
      </c>
      <c r="B61" s="29"/>
      <c r="C61" s="16">
        <v>87.35</v>
      </c>
      <c r="D61" s="16">
        <v>98.04</v>
      </c>
      <c r="E61" s="16">
        <v>62.84</v>
      </c>
      <c r="F61" s="16">
        <v>65.39</v>
      </c>
      <c r="G61" s="16">
        <f>12/12*C61</f>
        <v>87.35</v>
      </c>
      <c r="H61" s="8"/>
      <c r="I61" s="9"/>
      <c r="J61" s="9"/>
    </row>
    <row r="62" spans="1:10" x14ac:dyDescent="0.25">
      <c r="A62" s="29" t="s">
        <v>75</v>
      </c>
      <c r="B62" s="29"/>
      <c r="C62" s="16">
        <v>475.15</v>
      </c>
      <c r="D62" s="16">
        <v>504.74</v>
      </c>
      <c r="E62" s="16">
        <v>295.08999999999997</v>
      </c>
      <c r="F62" s="16">
        <v>289.06</v>
      </c>
      <c r="G62" s="16">
        <f>12/12*C62</f>
        <v>475.15</v>
      </c>
      <c r="H62" s="8"/>
      <c r="I62" s="9"/>
      <c r="J62" s="9"/>
    </row>
    <row r="63" spans="1:10" x14ac:dyDescent="0.25">
      <c r="A63" s="29" t="s">
        <v>76</v>
      </c>
      <c r="B63" s="29"/>
      <c r="C63" s="16">
        <v>204.36</v>
      </c>
      <c r="D63" s="16">
        <v>247.9</v>
      </c>
      <c r="E63" s="16">
        <v>118.05</v>
      </c>
      <c r="F63" s="16">
        <v>81.41</v>
      </c>
      <c r="G63" s="16">
        <f>12/12*C63</f>
        <v>204.36</v>
      </c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28" t="s">
        <v>60</v>
      </c>
      <c r="B66" s="35"/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77</v>
      </c>
      <c r="B67" s="1" t="s">
        <v>314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70</v>
      </c>
      <c r="B68" s="1" t="s">
        <v>79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71</v>
      </c>
      <c r="B69" s="1" t="s">
        <v>80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72</v>
      </c>
      <c r="B70" s="1" t="s">
        <v>81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  <row r="76" spans="1:10" x14ac:dyDescent="0.25">
      <c r="C76" s="8"/>
      <c r="D76" s="8"/>
      <c r="E76" s="8"/>
      <c r="F76" s="8"/>
      <c r="G76" s="8"/>
      <c r="H76" s="8"/>
      <c r="I76" s="9"/>
      <c r="J76" s="9"/>
    </row>
  </sheetData>
  <mergeCells count="19">
    <mergeCell ref="A61:B61"/>
    <mergeCell ref="A62:B62"/>
    <mergeCell ref="A63:B63"/>
    <mergeCell ref="A66:B66"/>
    <mergeCell ref="I54:I55"/>
    <mergeCell ref="J54:J55"/>
    <mergeCell ref="A55:B55"/>
    <mergeCell ref="A59:B59"/>
    <mergeCell ref="A60:B60"/>
    <mergeCell ref="A47:B47"/>
    <mergeCell ref="A48:B48"/>
    <mergeCell ref="A53:B53"/>
    <mergeCell ref="A54:B54"/>
    <mergeCell ref="H54:H55"/>
    <mergeCell ref="C7:G7"/>
    <mergeCell ref="A39:B39"/>
    <mergeCell ref="A40:B40"/>
    <mergeCell ref="A45:B45"/>
    <mergeCell ref="A46:B46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2:J76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5.8554687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315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3688</v>
      </c>
    </row>
    <row r="7" spans="1:10" x14ac:dyDescent="0.25">
      <c r="C7" s="28" t="s">
        <v>5</v>
      </c>
      <c r="D7" s="29"/>
      <c r="E7" s="29"/>
      <c r="F7" s="29"/>
      <c r="G7" s="29"/>
    </row>
    <row r="8" spans="1:10" x14ac:dyDescent="0.25">
      <c r="A8" s="25" t="s">
        <v>6</v>
      </c>
      <c r="B8" s="25" t="s">
        <v>7</v>
      </c>
      <c r="C8" s="27" t="s">
        <v>8</v>
      </c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41</v>
      </c>
      <c r="F9" s="10"/>
      <c r="G9" s="10">
        <f t="shared" ref="G9:G44" si="0">SUM(C9:F9)</f>
        <v>41</v>
      </c>
      <c r="H9" s="16">
        <f t="shared" ref="H9:H44" si="1">ROUND(G9/3688,2)</f>
        <v>0.01</v>
      </c>
      <c r="I9" s="15">
        <f t="shared" ref="I9:I44" si="2">ROUND(G9/$G$45,3)</f>
        <v>0</v>
      </c>
      <c r="J9" s="15">
        <f>ROUND(G9/50-1,2)</f>
        <v>-0.18</v>
      </c>
    </row>
    <row r="10" spans="1:10" x14ac:dyDescent="0.25">
      <c r="A10" s="1" t="s">
        <v>16</v>
      </c>
      <c r="B10" s="1" t="s">
        <v>19</v>
      </c>
      <c r="C10" s="10">
        <v>131300</v>
      </c>
      <c r="D10" s="10"/>
      <c r="E10" s="10">
        <v>3240</v>
      </c>
      <c r="F10" s="10">
        <v>540</v>
      </c>
      <c r="G10" s="10">
        <f t="shared" si="0"/>
        <v>135080</v>
      </c>
      <c r="H10" s="16">
        <f t="shared" si="1"/>
        <v>36.630000000000003</v>
      </c>
      <c r="I10" s="15">
        <f t="shared" si="2"/>
        <v>0.11600000000000001</v>
      </c>
      <c r="J10" s="15">
        <f>ROUND(G10/123970-1,2)</f>
        <v>0.09</v>
      </c>
    </row>
    <row r="11" spans="1:10" x14ac:dyDescent="0.25">
      <c r="A11" s="1" t="s">
        <v>16</v>
      </c>
      <c r="B11" s="1" t="s">
        <v>20</v>
      </c>
      <c r="C11" s="10">
        <v>136320</v>
      </c>
      <c r="D11" s="10"/>
      <c r="E11" s="10"/>
      <c r="F11" s="10"/>
      <c r="G11" s="10">
        <f t="shared" si="0"/>
        <v>136320</v>
      </c>
      <c r="H11" s="16">
        <f t="shared" si="1"/>
        <v>36.96</v>
      </c>
      <c r="I11" s="15">
        <f t="shared" si="2"/>
        <v>0.11700000000000001</v>
      </c>
      <c r="J11" s="15">
        <f>ROUND(G11/139740-1,2)</f>
        <v>-0.02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56</v>
      </c>
      <c r="F12" s="10"/>
      <c r="G12" s="10">
        <f t="shared" si="0"/>
        <v>56</v>
      </c>
      <c r="H12" s="16">
        <f t="shared" si="1"/>
        <v>0.02</v>
      </c>
      <c r="I12" s="15">
        <f t="shared" si="2"/>
        <v>0</v>
      </c>
      <c r="J12" s="15">
        <f>ROUND(G12/48-1,2)</f>
        <v>0.17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167</v>
      </c>
      <c r="F13" s="10"/>
      <c r="G13" s="10">
        <f t="shared" si="0"/>
        <v>167</v>
      </c>
      <c r="H13" s="16">
        <f t="shared" si="1"/>
        <v>0.05</v>
      </c>
      <c r="I13" s="15">
        <f t="shared" si="2"/>
        <v>0</v>
      </c>
      <c r="J13" s="15">
        <f>ROUND(G13/126-1,2)</f>
        <v>0.33</v>
      </c>
    </row>
    <row r="14" spans="1:10" x14ac:dyDescent="0.25">
      <c r="A14" s="1" t="s">
        <v>16</v>
      </c>
      <c r="B14" s="1" t="s">
        <v>23</v>
      </c>
      <c r="C14" s="10"/>
      <c r="D14" s="10"/>
      <c r="E14" s="10">
        <v>45740</v>
      </c>
      <c r="F14" s="10"/>
      <c r="G14" s="10">
        <f t="shared" si="0"/>
        <v>45740</v>
      </c>
      <c r="H14" s="16">
        <f t="shared" si="1"/>
        <v>12.4</v>
      </c>
      <c r="I14" s="15">
        <f t="shared" si="2"/>
        <v>3.9E-2</v>
      </c>
      <c r="J14" s="15">
        <f>ROUND(G14/44920-1,2)</f>
        <v>0.02</v>
      </c>
    </row>
    <row r="15" spans="1:10" x14ac:dyDescent="0.25">
      <c r="A15" s="1" t="s">
        <v>16</v>
      </c>
      <c r="B15" s="1" t="s">
        <v>24</v>
      </c>
      <c r="C15" s="10">
        <v>165640</v>
      </c>
      <c r="D15" s="10"/>
      <c r="E15" s="10">
        <v>13640</v>
      </c>
      <c r="F15" s="10"/>
      <c r="G15" s="10">
        <f t="shared" si="0"/>
        <v>179280</v>
      </c>
      <c r="H15" s="16">
        <f t="shared" si="1"/>
        <v>48.61</v>
      </c>
      <c r="I15" s="15">
        <f t="shared" si="2"/>
        <v>0.154</v>
      </c>
      <c r="J15" s="15">
        <f>ROUND(G15/180630-1,2)</f>
        <v>-0.01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1750</v>
      </c>
      <c r="F16" s="10"/>
      <c r="G16" s="10">
        <f t="shared" si="0"/>
        <v>1750</v>
      </c>
      <c r="H16" s="16">
        <f t="shared" si="1"/>
        <v>0.47</v>
      </c>
      <c r="I16" s="15">
        <f t="shared" si="2"/>
        <v>2E-3</v>
      </c>
      <c r="J16" s="15">
        <f>ROUND(G16/2840-1,2)</f>
        <v>-0.38</v>
      </c>
    </row>
    <row r="17" spans="1:10" x14ac:dyDescent="0.25">
      <c r="A17" s="1" t="s">
        <v>16</v>
      </c>
      <c r="B17" s="1" t="s">
        <v>26</v>
      </c>
      <c r="C17" s="10">
        <v>178500</v>
      </c>
      <c r="D17" s="10"/>
      <c r="E17" s="10"/>
      <c r="F17" s="10">
        <v>1200</v>
      </c>
      <c r="G17" s="10">
        <f t="shared" si="0"/>
        <v>179700</v>
      </c>
      <c r="H17" s="16">
        <f t="shared" si="1"/>
        <v>48.73</v>
      </c>
      <c r="I17" s="15">
        <f t="shared" si="2"/>
        <v>0.155</v>
      </c>
      <c r="J17" s="15">
        <f>ROUND(G17/173240-1,2)</f>
        <v>0.04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392</v>
      </c>
      <c r="F18" s="10"/>
      <c r="G18" s="10">
        <f t="shared" si="0"/>
        <v>392</v>
      </c>
      <c r="H18" s="16">
        <f t="shared" si="1"/>
        <v>0.11</v>
      </c>
      <c r="I18" s="15">
        <f t="shared" si="2"/>
        <v>0</v>
      </c>
      <c r="J18" s="15">
        <f>ROUND(G18/834-1,2)</f>
        <v>-0.53</v>
      </c>
    </row>
    <row r="19" spans="1:10" x14ac:dyDescent="0.25">
      <c r="A19" s="1" t="s">
        <v>16</v>
      </c>
      <c r="B19" s="1" t="s">
        <v>28</v>
      </c>
      <c r="C19" s="10"/>
      <c r="D19" s="10"/>
      <c r="E19" s="10">
        <v>369</v>
      </c>
      <c r="F19" s="10"/>
      <c r="G19" s="10">
        <f t="shared" si="0"/>
        <v>369</v>
      </c>
      <c r="H19" s="16">
        <f t="shared" si="1"/>
        <v>0.1</v>
      </c>
      <c r="I19" s="15">
        <f t="shared" si="2"/>
        <v>0</v>
      </c>
      <c r="J19" s="15">
        <f>ROUND(G19/185-1,2)</f>
        <v>0.99</v>
      </c>
    </row>
    <row r="20" spans="1:10" x14ac:dyDescent="0.25">
      <c r="A20" s="1" t="s">
        <v>16</v>
      </c>
      <c r="B20" s="1" t="s">
        <v>29</v>
      </c>
      <c r="C20" s="10"/>
      <c r="D20" s="10"/>
      <c r="E20" s="10">
        <v>4210</v>
      </c>
      <c r="F20" s="10"/>
      <c r="G20" s="10">
        <f t="shared" si="0"/>
        <v>4210</v>
      </c>
      <c r="H20" s="16">
        <f t="shared" si="1"/>
        <v>1.1399999999999999</v>
      </c>
      <c r="I20" s="15">
        <f t="shared" si="2"/>
        <v>4.0000000000000001E-3</v>
      </c>
      <c r="J20" s="15">
        <f>ROUND(G20/6630-1,2)</f>
        <v>-0.37</v>
      </c>
    </row>
    <row r="21" spans="1:10" x14ac:dyDescent="0.25">
      <c r="A21" s="1" t="s">
        <v>16</v>
      </c>
      <c r="B21" s="1" t="s">
        <v>30</v>
      </c>
      <c r="C21" s="10"/>
      <c r="D21" s="10"/>
      <c r="E21" s="10">
        <v>1300</v>
      </c>
      <c r="F21" s="10"/>
      <c r="G21" s="10">
        <f t="shared" si="0"/>
        <v>1300</v>
      </c>
      <c r="H21" s="16">
        <f t="shared" si="1"/>
        <v>0.35</v>
      </c>
      <c r="I21" s="15">
        <f t="shared" si="2"/>
        <v>1E-3</v>
      </c>
      <c r="J21" s="15">
        <f>ROUND(G21/970-1,2)</f>
        <v>0.34</v>
      </c>
    </row>
    <row r="22" spans="1:10" x14ac:dyDescent="0.25">
      <c r="A22" s="1" t="s">
        <v>16</v>
      </c>
      <c r="B22" s="1" t="s">
        <v>31</v>
      </c>
      <c r="C22" s="10"/>
      <c r="D22" s="10"/>
      <c r="E22" s="10">
        <v>620</v>
      </c>
      <c r="F22" s="10"/>
      <c r="G22" s="10">
        <f t="shared" si="0"/>
        <v>620</v>
      </c>
      <c r="H22" s="16">
        <f t="shared" si="1"/>
        <v>0.17</v>
      </c>
      <c r="I22" s="15">
        <f t="shared" si="2"/>
        <v>1E-3</v>
      </c>
      <c r="J22" s="15">
        <f>ROUND(G22/520-1,2)</f>
        <v>0.19</v>
      </c>
    </row>
    <row r="23" spans="1:10" x14ac:dyDescent="0.25">
      <c r="A23" s="1" t="s">
        <v>16</v>
      </c>
      <c r="B23" s="1" t="s">
        <v>32</v>
      </c>
      <c r="C23" s="10"/>
      <c r="D23" s="10"/>
      <c r="E23" s="10">
        <v>3000</v>
      </c>
      <c r="F23" s="10"/>
      <c r="G23" s="10">
        <f t="shared" si="0"/>
        <v>3000</v>
      </c>
      <c r="H23" s="16">
        <f t="shared" si="1"/>
        <v>0.81</v>
      </c>
      <c r="I23" s="15">
        <f t="shared" si="2"/>
        <v>3.0000000000000001E-3</v>
      </c>
      <c r="J23" s="15">
        <f>ROUND(G23/2540-1,2)</f>
        <v>0.18</v>
      </c>
    </row>
    <row r="24" spans="1:10" x14ac:dyDescent="0.25">
      <c r="A24" s="1" t="s">
        <v>16</v>
      </c>
      <c r="B24" s="1" t="s">
        <v>33</v>
      </c>
      <c r="C24" s="10"/>
      <c r="D24" s="10">
        <v>452</v>
      </c>
      <c r="E24" s="10"/>
      <c r="F24" s="10"/>
      <c r="G24" s="10">
        <f t="shared" si="0"/>
        <v>452</v>
      </c>
      <c r="H24" s="16">
        <f t="shared" si="1"/>
        <v>0.12</v>
      </c>
      <c r="I24" s="15">
        <f t="shared" si="2"/>
        <v>0</v>
      </c>
      <c r="J24" s="15">
        <f>ROUND(G24/396-1,2)</f>
        <v>0.14000000000000001</v>
      </c>
    </row>
    <row r="25" spans="1:10" x14ac:dyDescent="0.25">
      <c r="A25" s="1" t="s">
        <v>16</v>
      </c>
      <c r="B25" s="1" t="s">
        <v>35</v>
      </c>
      <c r="C25" s="10"/>
      <c r="D25" s="10"/>
      <c r="E25" s="10">
        <v>265</v>
      </c>
      <c r="F25" s="10"/>
      <c r="G25" s="10">
        <f t="shared" si="0"/>
        <v>265</v>
      </c>
      <c r="H25" s="16">
        <f t="shared" si="1"/>
        <v>7.0000000000000007E-2</v>
      </c>
      <c r="I25" s="15">
        <f t="shared" si="2"/>
        <v>0</v>
      </c>
      <c r="J25" s="15">
        <f>ROUND(G25/355-1,2)</f>
        <v>-0.25</v>
      </c>
    </row>
    <row r="26" spans="1:10" x14ac:dyDescent="0.25">
      <c r="A26" s="1" t="s">
        <v>16</v>
      </c>
      <c r="B26" s="1" t="s">
        <v>34</v>
      </c>
      <c r="C26" s="10"/>
      <c r="D26" s="10"/>
      <c r="E26" s="10">
        <v>1740</v>
      </c>
      <c r="F26" s="10"/>
      <c r="G26" s="10">
        <f t="shared" si="0"/>
        <v>1740</v>
      </c>
      <c r="H26" s="16">
        <f t="shared" si="1"/>
        <v>0.47</v>
      </c>
      <c r="I26" s="15">
        <f t="shared" si="2"/>
        <v>1E-3</v>
      </c>
      <c r="J26" s="15">
        <f>ROUND(G26/2450-1,2)</f>
        <v>-0.28999999999999998</v>
      </c>
    </row>
    <row r="27" spans="1:10" x14ac:dyDescent="0.25">
      <c r="A27" s="1" t="s">
        <v>16</v>
      </c>
      <c r="B27" s="1" t="s">
        <v>37</v>
      </c>
      <c r="C27" s="10"/>
      <c r="D27" s="10"/>
      <c r="E27" s="10">
        <v>11510</v>
      </c>
      <c r="F27" s="10"/>
      <c r="G27" s="10">
        <f t="shared" si="0"/>
        <v>11510</v>
      </c>
      <c r="H27" s="16">
        <f t="shared" si="1"/>
        <v>3.12</v>
      </c>
      <c r="I27" s="15">
        <f t="shared" si="2"/>
        <v>0.01</v>
      </c>
      <c r="J27" s="15">
        <f>ROUND(G27/8394-1,2)</f>
        <v>0.37</v>
      </c>
    </row>
    <row r="28" spans="1:10" x14ac:dyDescent="0.25">
      <c r="A28" s="1" t="s">
        <v>16</v>
      </c>
      <c r="B28" s="1" t="s">
        <v>43</v>
      </c>
      <c r="C28" s="10"/>
      <c r="D28" s="10"/>
      <c r="E28" s="10">
        <v>3745</v>
      </c>
      <c r="F28" s="10"/>
      <c r="G28" s="10">
        <f t="shared" si="0"/>
        <v>3745</v>
      </c>
      <c r="H28" s="16">
        <f t="shared" si="1"/>
        <v>1.02</v>
      </c>
      <c r="I28" s="15">
        <f t="shared" si="2"/>
        <v>3.0000000000000001E-3</v>
      </c>
      <c r="J28" s="15">
        <f>ROUND(G28/13354-1,2)</f>
        <v>-0.72</v>
      </c>
    </row>
    <row r="29" spans="1:10" x14ac:dyDescent="0.25">
      <c r="A29" s="1" t="s">
        <v>16</v>
      </c>
      <c r="B29" s="1" t="s">
        <v>38</v>
      </c>
      <c r="C29" s="10"/>
      <c r="D29" s="10"/>
      <c r="E29" s="10">
        <v>78850</v>
      </c>
      <c r="F29" s="10"/>
      <c r="G29" s="10">
        <f t="shared" si="0"/>
        <v>78850</v>
      </c>
      <c r="H29" s="16">
        <f t="shared" si="1"/>
        <v>21.38</v>
      </c>
      <c r="I29" s="15">
        <f t="shared" si="2"/>
        <v>6.8000000000000005E-2</v>
      </c>
      <c r="J29" s="15">
        <f>ROUND(G29/54800-1,2)</f>
        <v>0.44</v>
      </c>
    </row>
    <row r="30" spans="1:10" x14ac:dyDescent="0.25">
      <c r="A30" s="1" t="s">
        <v>16</v>
      </c>
      <c r="B30" s="1" t="s">
        <v>39</v>
      </c>
      <c r="C30" s="10"/>
      <c r="D30" s="10"/>
      <c r="E30" s="10">
        <v>6450</v>
      </c>
      <c r="F30" s="10"/>
      <c r="G30" s="10">
        <f t="shared" si="0"/>
        <v>6450</v>
      </c>
      <c r="H30" s="16">
        <f t="shared" si="1"/>
        <v>1.75</v>
      </c>
      <c r="I30" s="15">
        <f t="shared" si="2"/>
        <v>6.0000000000000001E-3</v>
      </c>
      <c r="J30" s="15">
        <f>ROUND(G30/5360-1,2)</f>
        <v>0.2</v>
      </c>
    </row>
    <row r="31" spans="1:10" x14ac:dyDescent="0.25">
      <c r="A31" s="1" t="s">
        <v>16</v>
      </c>
      <c r="B31" s="1" t="s">
        <v>40</v>
      </c>
      <c r="C31" s="10"/>
      <c r="D31" s="10"/>
      <c r="E31" s="10">
        <v>28170</v>
      </c>
      <c r="F31" s="10"/>
      <c r="G31" s="10">
        <f t="shared" si="0"/>
        <v>28170</v>
      </c>
      <c r="H31" s="16">
        <f t="shared" si="1"/>
        <v>7.64</v>
      </c>
      <c r="I31" s="15">
        <f t="shared" si="2"/>
        <v>2.4E-2</v>
      </c>
      <c r="J31" s="15">
        <f>ROUND(G31/26520-1,2)</f>
        <v>0.06</v>
      </c>
    </row>
    <row r="32" spans="1:10" x14ac:dyDescent="0.25">
      <c r="A32" s="1" t="s">
        <v>16</v>
      </c>
      <c r="B32" s="1" t="s">
        <v>41</v>
      </c>
      <c r="C32" s="10"/>
      <c r="D32" s="10"/>
      <c r="E32" s="10">
        <v>39560</v>
      </c>
      <c r="F32" s="10"/>
      <c r="G32" s="10">
        <f t="shared" si="0"/>
        <v>39560</v>
      </c>
      <c r="H32" s="16">
        <f t="shared" si="1"/>
        <v>10.73</v>
      </c>
      <c r="I32" s="15">
        <f t="shared" si="2"/>
        <v>3.4000000000000002E-2</v>
      </c>
      <c r="J32" s="15">
        <f>ROUND(G32/44000-1,2)</f>
        <v>-0.1</v>
      </c>
    </row>
    <row r="33" spans="1:10" x14ac:dyDescent="0.25">
      <c r="A33" s="1" t="s">
        <v>16</v>
      </c>
      <c r="B33" s="1" t="s">
        <v>98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>
        <f>ROUND(G33/125-1,2)</f>
        <v>-1</v>
      </c>
    </row>
    <row r="34" spans="1:10" x14ac:dyDescent="0.25">
      <c r="A34" s="1" t="s">
        <v>16</v>
      </c>
      <c r="B34" s="1" t="s">
        <v>36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ROUND(G34/2818-1,2)</f>
        <v>-1</v>
      </c>
    </row>
    <row r="35" spans="1:10" x14ac:dyDescent="0.25">
      <c r="A35" s="1" t="s">
        <v>16</v>
      </c>
      <c r="B35" s="1" t="s">
        <v>22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16</v>
      </c>
      <c r="B36" s="1" t="s">
        <v>219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/>
    </row>
    <row r="37" spans="1:10" x14ac:dyDescent="0.25">
      <c r="A37" s="1" t="s">
        <v>16</v>
      </c>
      <c r="B37" s="1" t="s">
        <v>42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>
        <f>ROUND(G37/313-1,2)</f>
        <v>-1</v>
      </c>
    </row>
    <row r="38" spans="1:10" x14ac:dyDescent="0.25">
      <c r="A38" s="1" t="s">
        <v>16</v>
      </c>
      <c r="B38" s="1" t="s">
        <v>99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1" t="s">
        <v>16</v>
      </c>
      <c r="B39" s="1" t="s">
        <v>145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1" t="s">
        <v>44</v>
      </c>
      <c r="B40" s="1" t="s">
        <v>45</v>
      </c>
      <c r="C40" s="10">
        <v>175150</v>
      </c>
      <c r="D40" s="10"/>
      <c r="E40" s="10"/>
      <c r="F40" s="10"/>
      <c r="G40" s="10">
        <f t="shared" si="0"/>
        <v>175150</v>
      </c>
      <c r="H40" s="16">
        <f t="shared" si="1"/>
        <v>47.49</v>
      </c>
      <c r="I40" s="15">
        <f t="shared" si="2"/>
        <v>0.151</v>
      </c>
      <c r="J40" s="15">
        <f>ROUND(G40/171460-1,2)</f>
        <v>0.02</v>
      </c>
    </row>
    <row r="41" spans="1:10" x14ac:dyDescent="0.25">
      <c r="A41" s="1" t="s">
        <v>44</v>
      </c>
      <c r="B41" s="1" t="s">
        <v>47</v>
      </c>
      <c r="C41" s="10"/>
      <c r="D41" s="10"/>
      <c r="E41" s="10"/>
      <c r="F41" s="10">
        <v>43600</v>
      </c>
      <c r="G41" s="10">
        <f t="shared" si="0"/>
        <v>43600</v>
      </c>
      <c r="H41" s="16">
        <f t="shared" si="1"/>
        <v>11.82</v>
      </c>
      <c r="I41" s="15">
        <f t="shared" si="2"/>
        <v>3.7999999999999999E-2</v>
      </c>
      <c r="J41" s="15">
        <f>ROUND(G41/46770-1,2)</f>
        <v>-7.0000000000000007E-2</v>
      </c>
    </row>
    <row r="42" spans="1:10" x14ac:dyDescent="0.25">
      <c r="A42" s="1" t="s">
        <v>44</v>
      </c>
      <c r="B42" s="1" t="s">
        <v>46</v>
      </c>
      <c r="C42" s="10"/>
      <c r="D42" s="10"/>
      <c r="E42" s="10">
        <v>83640</v>
      </c>
      <c r="F42" s="10"/>
      <c r="G42" s="10">
        <f t="shared" si="0"/>
        <v>83640</v>
      </c>
      <c r="H42" s="16">
        <f t="shared" si="1"/>
        <v>22.68</v>
      </c>
      <c r="I42" s="15">
        <f t="shared" si="2"/>
        <v>7.1999999999999995E-2</v>
      </c>
      <c r="J42" s="15">
        <f>ROUND(G42/71180-1,2)</f>
        <v>0.18</v>
      </c>
    </row>
    <row r="43" spans="1:10" x14ac:dyDescent="0.25">
      <c r="A43" s="1" t="s">
        <v>48</v>
      </c>
      <c r="B43" s="1" t="s">
        <v>50</v>
      </c>
      <c r="C43" s="10"/>
      <c r="D43" s="10"/>
      <c r="E43" s="10"/>
      <c r="F43" s="10"/>
      <c r="G43" s="10">
        <f t="shared" si="0"/>
        <v>0</v>
      </c>
      <c r="H43" s="16">
        <f t="shared" si="1"/>
        <v>0</v>
      </c>
      <c r="I43" s="15">
        <f t="shared" si="2"/>
        <v>0</v>
      </c>
      <c r="J43" s="15">
        <f>ROUND(G43/505-1,2)</f>
        <v>-1</v>
      </c>
    </row>
    <row r="44" spans="1:10" x14ac:dyDescent="0.25">
      <c r="A44" s="1" t="s">
        <v>48</v>
      </c>
      <c r="B44" s="1" t="s">
        <v>51</v>
      </c>
      <c r="C44" s="10"/>
      <c r="D44" s="10"/>
      <c r="E44" s="10"/>
      <c r="F44" s="10"/>
      <c r="G44" s="10">
        <f t="shared" si="0"/>
        <v>0</v>
      </c>
      <c r="H44" s="16">
        <f t="shared" si="1"/>
        <v>0</v>
      </c>
      <c r="I44" s="15">
        <f t="shared" si="2"/>
        <v>0</v>
      </c>
      <c r="J44" s="15"/>
    </row>
    <row r="45" spans="1:10" x14ac:dyDescent="0.25">
      <c r="A45" s="30" t="s">
        <v>12</v>
      </c>
      <c r="B45" s="30"/>
      <c r="C45" s="11">
        <f t="shared" ref="C45:H45" si="3">SUM(C8:C44)</f>
        <v>786910</v>
      </c>
      <c r="D45" s="11">
        <f t="shared" si="3"/>
        <v>452</v>
      </c>
      <c r="E45" s="11">
        <f t="shared" si="3"/>
        <v>328455</v>
      </c>
      <c r="F45" s="11">
        <f t="shared" si="3"/>
        <v>45340</v>
      </c>
      <c r="G45" s="11">
        <f t="shared" si="3"/>
        <v>1161157</v>
      </c>
      <c r="H45" s="14">
        <f t="shared" si="3"/>
        <v>314.84999999999997</v>
      </c>
      <c r="I45" s="17"/>
      <c r="J45" s="17"/>
    </row>
    <row r="46" spans="1:10" x14ac:dyDescent="0.25">
      <c r="A46" s="30" t="s">
        <v>14</v>
      </c>
      <c r="B46" s="30"/>
      <c r="C46" s="12">
        <f>ROUND(C45/G45,2)</f>
        <v>0.68</v>
      </c>
      <c r="D46" s="12">
        <f>ROUND(D45/G45,2)</f>
        <v>0</v>
      </c>
      <c r="E46" s="12">
        <f>ROUND(E45/G45,2)</f>
        <v>0.28000000000000003</v>
      </c>
      <c r="F46" s="12">
        <f>ROUND(F45/G45,2)</f>
        <v>0.04</v>
      </c>
      <c r="G46" s="13"/>
      <c r="H46" s="13"/>
      <c r="I46" s="17"/>
      <c r="J46" s="17"/>
    </row>
    <row r="47" spans="1:10" x14ac:dyDescent="0.25">
      <c r="A47" s="2" t="s">
        <v>52</v>
      </c>
      <c r="B47" s="2"/>
      <c r="C47" s="13"/>
      <c r="D47" s="13"/>
      <c r="E47" s="13"/>
      <c r="F47" s="13"/>
      <c r="G47" s="13"/>
      <c r="H47" s="13"/>
      <c r="I47" s="17"/>
      <c r="J47" s="17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A51" s="30" t="s">
        <v>53</v>
      </c>
      <c r="B51" s="30"/>
      <c r="C51" s="11" t="s">
        <v>8</v>
      </c>
      <c r="D51" s="11" t="s">
        <v>9</v>
      </c>
      <c r="E51" s="11" t="s">
        <v>10</v>
      </c>
      <c r="F51" s="11" t="s">
        <v>11</v>
      </c>
      <c r="G51" s="11" t="s">
        <v>12</v>
      </c>
      <c r="H51" s="14" t="s">
        <v>13</v>
      </c>
      <c r="I51" s="17"/>
      <c r="J51" s="17"/>
    </row>
    <row r="52" spans="1:10" x14ac:dyDescent="0.25">
      <c r="A52" s="29" t="s">
        <v>54</v>
      </c>
      <c r="B52" s="29"/>
      <c r="C52" s="10">
        <v>611760</v>
      </c>
      <c r="D52" s="10">
        <v>452</v>
      </c>
      <c r="E52" s="10">
        <v>244815</v>
      </c>
      <c r="F52" s="10">
        <v>1740</v>
      </c>
      <c r="G52" s="10">
        <f>SUM(C52:F52)</f>
        <v>858767</v>
      </c>
      <c r="H52" s="16">
        <f>ROUND(G52/3688,2)</f>
        <v>232.85</v>
      </c>
      <c r="I52" s="9"/>
      <c r="J52" s="9"/>
    </row>
    <row r="53" spans="1:10" x14ac:dyDescent="0.25">
      <c r="A53" s="29" t="s">
        <v>55</v>
      </c>
      <c r="B53" s="29"/>
      <c r="C53" s="10">
        <v>175150</v>
      </c>
      <c r="D53" s="10">
        <v>0</v>
      </c>
      <c r="E53" s="10">
        <v>83640</v>
      </c>
      <c r="F53" s="10">
        <v>43600</v>
      </c>
      <c r="G53" s="10">
        <f>SUM(C53:F53)</f>
        <v>302390</v>
      </c>
      <c r="H53" s="16">
        <f>ROUND(G53/3688,2)</f>
        <v>81.99</v>
      </c>
      <c r="I53" s="9"/>
      <c r="J53" s="9"/>
    </row>
    <row r="54" spans="1:10" x14ac:dyDescent="0.25">
      <c r="A54" s="29" t="s">
        <v>56</v>
      </c>
      <c r="B54" s="29"/>
      <c r="C54" s="10">
        <v>0</v>
      </c>
      <c r="D54" s="10">
        <v>0</v>
      </c>
      <c r="E54" s="10">
        <v>0</v>
      </c>
      <c r="F54" s="10">
        <v>0</v>
      </c>
      <c r="G54" s="10">
        <f>SUM(C54:F54)</f>
        <v>0</v>
      </c>
      <c r="H54" s="16">
        <f>ROUND(G54/3688,2)</f>
        <v>0</v>
      </c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21"/>
      <c r="H57" s="8"/>
      <c r="I57" s="9"/>
      <c r="J57" s="9"/>
    </row>
    <row r="58" spans="1:10" x14ac:dyDescent="0.25">
      <c r="C58" s="8"/>
      <c r="D58" s="8"/>
      <c r="E58" s="8"/>
      <c r="F58" s="8"/>
      <c r="G58" s="21"/>
      <c r="H58" s="8"/>
      <c r="I58" s="9"/>
      <c r="J58" s="9"/>
    </row>
    <row r="59" spans="1:10" x14ac:dyDescent="0.25">
      <c r="A59" s="30" t="s">
        <v>57</v>
      </c>
      <c r="B59" s="30"/>
      <c r="C59" s="14" t="s">
        <v>2</v>
      </c>
      <c r="D59" s="14">
        <v>2023</v>
      </c>
      <c r="E59" s="14" t="s">
        <v>59</v>
      </c>
      <c r="F59" s="13"/>
      <c r="G59" s="14" t="s">
        <v>60</v>
      </c>
      <c r="H59" s="14" t="s">
        <v>2</v>
      </c>
      <c r="I59" s="12" t="s">
        <v>61</v>
      </c>
      <c r="J59" s="12" t="s">
        <v>59</v>
      </c>
    </row>
    <row r="60" spans="1:10" x14ac:dyDescent="0.25">
      <c r="A60" s="29" t="s">
        <v>58</v>
      </c>
      <c r="B60" s="29"/>
      <c r="C60" s="15">
        <f>ROUND(0.8337, 4)</f>
        <v>0.8337</v>
      </c>
      <c r="D60" s="15">
        <f>ROUND(0.8281, 4)</f>
        <v>0.82809999999999995</v>
      </c>
      <c r="E60" s="15">
        <f>ROUND(0.777, 4)</f>
        <v>0.77700000000000002</v>
      </c>
      <c r="F60" s="8"/>
      <c r="G60" s="14" t="s">
        <v>62</v>
      </c>
      <c r="H60" s="33" t="s">
        <v>63</v>
      </c>
      <c r="I60" s="31" t="s">
        <v>64</v>
      </c>
      <c r="J60" s="31" t="s">
        <v>65</v>
      </c>
    </row>
    <row r="61" spans="1:10" x14ac:dyDescent="0.25">
      <c r="A61" s="29" t="s">
        <v>66</v>
      </c>
      <c r="B61" s="29"/>
      <c r="C61" s="15">
        <f>ROUND(0.8181, 4)</f>
        <v>0.81810000000000005</v>
      </c>
      <c r="D61" s="15">
        <f>ROUND(0.8133, 4)</f>
        <v>0.81330000000000002</v>
      </c>
      <c r="E61" s="15">
        <f>ROUND(0.7608, 4)</f>
        <v>0.76080000000000003</v>
      </c>
      <c r="F61" s="8"/>
      <c r="G61" s="14" t="s">
        <v>67</v>
      </c>
      <c r="H61" s="34"/>
      <c r="I61" s="32"/>
      <c r="J61" s="32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A65" s="30" t="s">
        <v>68</v>
      </c>
      <c r="B65" s="30"/>
      <c r="C65" s="14" t="s">
        <v>2</v>
      </c>
      <c r="D65" s="14" t="s">
        <v>316</v>
      </c>
      <c r="E65" s="14" t="s">
        <v>70</v>
      </c>
      <c r="F65" s="14" t="s">
        <v>71</v>
      </c>
      <c r="G65" s="14" t="s">
        <v>72</v>
      </c>
      <c r="H65" s="13"/>
      <c r="I65" s="17"/>
      <c r="J65" s="17"/>
    </row>
    <row r="66" spans="1:10" x14ac:dyDescent="0.25">
      <c r="A66" s="29" t="s">
        <v>73</v>
      </c>
      <c r="B66" s="29"/>
      <c r="C66" s="16">
        <v>47.49</v>
      </c>
      <c r="D66" s="16">
        <v>64.87</v>
      </c>
      <c r="E66" s="16">
        <v>93.87</v>
      </c>
      <c r="F66" s="16">
        <v>57.16</v>
      </c>
      <c r="G66" s="16">
        <f>12/12*C66</f>
        <v>47.49</v>
      </c>
      <c r="H66" s="8"/>
      <c r="I66" s="9"/>
      <c r="J66" s="9"/>
    </row>
    <row r="67" spans="1:10" x14ac:dyDescent="0.25">
      <c r="A67" s="29" t="s">
        <v>74</v>
      </c>
      <c r="B67" s="29"/>
      <c r="C67" s="16">
        <v>48.73</v>
      </c>
      <c r="D67" s="16">
        <v>47.92</v>
      </c>
      <c r="E67" s="16">
        <v>62.84</v>
      </c>
      <c r="F67" s="16">
        <v>65.39</v>
      </c>
      <c r="G67" s="16">
        <f>12/12*C67</f>
        <v>48.73</v>
      </c>
      <c r="H67" s="8"/>
      <c r="I67" s="9"/>
      <c r="J67" s="9"/>
    </row>
    <row r="68" spans="1:10" x14ac:dyDescent="0.25">
      <c r="A68" s="29" t="s">
        <v>75</v>
      </c>
      <c r="B68" s="29"/>
      <c r="C68" s="16">
        <v>232.85</v>
      </c>
      <c r="D68" s="16">
        <v>241.01</v>
      </c>
      <c r="E68" s="16">
        <v>295.08999999999997</v>
      </c>
      <c r="F68" s="16">
        <v>289.06</v>
      </c>
      <c r="G68" s="16">
        <f>12/12*C68</f>
        <v>232.85</v>
      </c>
      <c r="H68" s="8"/>
      <c r="I68" s="9"/>
      <c r="J68" s="9"/>
    </row>
    <row r="69" spans="1:10" x14ac:dyDescent="0.25">
      <c r="A69" s="29" t="s">
        <v>76</v>
      </c>
      <c r="B69" s="29"/>
      <c r="C69" s="16">
        <v>81.99</v>
      </c>
      <c r="D69" s="16">
        <v>93.06</v>
      </c>
      <c r="E69" s="16">
        <v>118.05</v>
      </c>
      <c r="F69" s="16">
        <v>81.41</v>
      </c>
      <c r="G69" s="16">
        <f>12/12*C69</f>
        <v>81.99</v>
      </c>
      <c r="H69" s="8"/>
      <c r="I69" s="9"/>
      <c r="J69" s="9"/>
    </row>
    <row r="72" spans="1:10" x14ac:dyDescent="0.25">
      <c r="A72" s="28" t="s">
        <v>60</v>
      </c>
      <c r="B72" s="35"/>
    </row>
    <row r="73" spans="1:10" x14ac:dyDescent="0.25">
      <c r="A73" s="3" t="s">
        <v>77</v>
      </c>
      <c r="B73" s="1" t="s">
        <v>317</v>
      </c>
    </row>
    <row r="74" spans="1:10" x14ac:dyDescent="0.25">
      <c r="A74" s="3" t="s">
        <v>70</v>
      </c>
      <c r="B74" s="1" t="s">
        <v>79</v>
      </c>
    </row>
    <row r="75" spans="1:10" x14ac:dyDescent="0.25">
      <c r="A75" s="3" t="s">
        <v>71</v>
      </c>
      <c r="B75" s="1" t="s">
        <v>80</v>
      </c>
    </row>
    <row r="76" spans="1:10" x14ac:dyDescent="0.25">
      <c r="A76" s="3" t="s">
        <v>72</v>
      </c>
      <c r="B76" s="1" t="s">
        <v>81</v>
      </c>
    </row>
  </sheetData>
  <mergeCells count="19">
    <mergeCell ref="A67:B67"/>
    <mergeCell ref="A68:B68"/>
    <mergeCell ref="A69:B69"/>
    <mergeCell ref="A72:B72"/>
    <mergeCell ref="I60:I61"/>
    <mergeCell ref="J60:J61"/>
    <mergeCell ref="A61:B61"/>
    <mergeCell ref="A65:B65"/>
    <mergeCell ref="A66:B66"/>
    <mergeCell ref="A53:B53"/>
    <mergeCell ref="A54:B54"/>
    <mergeCell ref="A59:B59"/>
    <mergeCell ref="A60:B60"/>
    <mergeCell ref="H60:H61"/>
    <mergeCell ref="C7:G7"/>
    <mergeCell ref="A45:B45"/>
    <mergeCell ref="A46:B46"/>
    <mergeCell ref="A51:B51"/>
    <mergeCell ref="A52:B52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2:J76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4.285156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318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872</v>
      </c>
    </row>
    <row r="7" spans="1:10" x14ac:dyDescent="0.25">
      <c r="C7" s="28" t="s">
        <v>5</v>
      </c>
      <c r="D7" s="29"/>
      <c r="E7" s="29"/>
      <c r="F7" s="29"/>
      <c r="G7" s="29"/>
    </row>
    <row r="8" spans="1:10" x14ac:dyDescent="0.25">
      <c r="A8" s="25" t="s">
        <v>6</v>
      </c>
      <c r="B8" s="25" t="s">
        <v>7</v>
      </c>
      <c r="C8" s="27" t="s">
        <v>8</v>
      </c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19</v>
      </c>
      <c r="F9" s="10"/>
      <c r="G9" s="10">
        <f t="shared" ref="G9:G37" si="0">SUM(C9:F9)</f>
        <v>19</v>
      </c>
      <c r="H9" s="16">
        <f t="shared" ref="H9:H37" si="1">ROUND(G9/872,2)</f>
        <v>0.02</v>
      </c>
      <c r="I9" s="15">
        <f t="shared" ref="I9:I37" si="2">ROUND(G9/$G$38,3)</f>
        <v>0</v>
      </c>
      <c r="J9" s="15"/>
    </row>
    <row r="10" spans="1:10" x14ac:dyDescent="0.25">
      <c r="A10" s="1" t="s">
        <v>16</v>
      </c>
      <c r="B10" s="1" t="s">
        <v>19</v>
      </c>
      <c r="C10" s="10">
        <v>28060</v>
      </c>
      <c r="D10" s="10"/>
      <c r="E10" s="10">
        <v>3487</v>
      </c>
      <c r="F10" s="10">
        <v>80</v>
      </c>
      <c r="G10" s="10">
        <f t="shared" si="0"/>
        <v>31627</v>
      </c>
      <c r="H10" s="16">
        <f t="shared" si="1"/>
        <v>36.270000000000003</v>
      </c>
      <c r="I10" s="15">
        <f t="shared" si="2"/>
        <v>9.8000000000000004E-2</v>
      </c>
      <c r="J10" s="15">
        <f>ROUND(G10/27631.18-1,2)</f>
        <v>0.14000000000000001</v>
      </c>
    </row>
    <row r="11" spans="1:10" x14ac:dyDescent="0.25">
      <c r="A11" s="1" t="s">
        <v>16</v>
      </c>
      <c r="B11" s="1" t="s">
        <v>20</v>
      </c>
      <c r="C11" s="10">
        <v>35100</v>
      </c>
      <c r="D11" s="10"/>
      <c r="E11" s="10">
        <v>493</v>
      </c>
      <c r="F11" s="10"/>
      <c r="G11" s="10">
        <f t="shared" si="0"/>
        <v>35593</v>
      </c>
      <c r="H11" s="16">
        <f t="shared" si="1"/>
        <v>40.82</v>
      </c>
      <c r="I11" s="15">
        <f t="shared" si="2"/>
        <v>0.111</v>
      </c>
      <c r="J11" s="15">
        <f>ROUND(G11/38020-1,2)</f>
        <v>-0.06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78</v>
      </c>
      <c r="F12" s="10"/>
      <c r="G12" s="10">
        <f t="shared" si="0"/>
        <v>78</v>
      </c>
      <c r="H12" s="16">
        <f t="shared" si="1"/>
        <v>0.09</v>
      </c>
      <c r="I12" s="15">
        <f t="shared" si="2"/>
        <v>0</v>
      </c>
      <c r="J12" s="15"/>
    </row>
    <row r="13" spans="1:10" x14ac:dyDescent="0.25">
      <c r="A13" s="1" t="s">
        <v>16</v>
      </c>
      <c r="B13" s="1" t="s">
        <v>22</v>
      </c>
      <c r="C13" s="10"/>
      <c r="D13" s="10"/>
      <c r="E13" s="10">
        <v>1331</v>
      </c>
      <c r="F13" s="10"/>
      <c r="G13" s="10">
        <f t="shared" si="0"/>
        <v>1331</v>
      </c>
      <c r="H13" s="16">
        <f t="shared" si="1"/>
        <v>1.53</v>
      </c>
      <c r="I13" s="15">
        <f t="shared" si="2"/>
        <v>4.0000000000000001E-3</v>
      </c>
      <c r="J13" s="15"/>
    </row>
    <row r="14" spans="1:10" x14ac:dyDescent="0.25">
      <c r="A14" s="1" t="s">
        <v>16</v>
      </c>
      <c r="B14" s="1" t="s">
        <v>23</v>
      </c>
      <c r="C14" s="10"/>
      <c r="D14" s="10"/>
      <c r="E14" s="10">
        <v>24567</v>
      </c>
      <c r="F14" s="10"/>
      <c r="G14" s="10">
        <f t="shared" si="0"/>
        <v>24567</v>
      </c>
      <c r="H14" s="16">
        <f t="shared" si="1"/>
        <v>28.17</v>
      </c>
      <c r="I14" s="15">
        <f t="shared" si="2"/>
        <v>7.5999999999999998E-2</v>
      </c>
      <c r="J14" s="15">
        <f>ROUND(G14/6192.14-1,2)</f>
        <v>2.97</v>
      </c>
    </row>
    <row r="15" spans="1:10" x14ac:dyDescent="0.25">
      <c r="A15" s="1" t="s">
        <v>16</v>
      </c>
      <c r="B15" s="1" t="s">
        <v>24</v>
      </c>
      <c r="C15" s="10">
        <v>30960</v>
      </c>
      <c r="D15" s="10"/>
      <c r="E15" s="10">
        <v>9516</v>
      </c>
      <c r="F15" s="10"/>
      <c r="G15" s="10">
        <f t="shared" si="0"/>
        <v>40476</v>
      </c>
      <c r="H15" s="16">
        <f t="shared" si="1"/>
        <v>46.42</v>
      </c>
      <c r="I15" s="15">
        <f t="shared" si="2"/>
        <v>0.126</v>
      </c>
      <c r="J15" s="15">
        <f>ROUND(G15/32577.15-1,2)</f>
        <v>0.24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1412</v>
      </c>
      <c r="F16" s="10"/>
      <c r="G16" s="10">
        <f t="shared" si="0"/>
        <v>1412</v>
      </c>
      <c r="H16" s="16">
        <f t="shared" si="1"/>
        <v>1.62</v>
      </c>
      <c r="I16" s="15">
        <f t="shared" si="2"/>
        <v>4.0000000000000001E-3</v>
      </c>
      <c r="J16" s="15"/>
    </row>
    <row r="17" spans="1:10" x14ac:dyDescent="0.25">
      <c r="A17" s="1" t="s">
        <v>16</v>
      </c>
      <c r="B17" s="1" t="s">
        <v>26</v>
      </c>
      <c r="C17" s="10">
        <v>32850</v>
      </c>
      <c r="D17" s="10"/>
      <c r="E17" s="10"/>
      <c r="F17" s="10">
        <v>10</v>
      </c>
      <c r="G17" s="10">
        <f t="shared" si="0"/>
        <v>32860</v>
      </c>
      <c r="H17" s="16">
        <f t="shared" si="1"/>
        <v>37.68</v>
      </c>
      <c r="I17" s="15">
        <f t="shared" si="2"/>
        <v>0.10199999999999999</v>
      </c>
      <c r="J17" s="15">
        <f>ROUND(G17/34290-1,2)</f>
        <v>-0.04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315</v>
      </c>
      <c r="F18" s="10"/>
      <c r="G18" s="10">
        <f t="shared" si="0"/>
        <v>315</v>
      </c>
      <c r="H18" s="16">
        <f t="shared" si="1"/>
        <v>0.36</v>
      </c>
      <c r="I18" s="15">
        <f t="shared" si="2"/>
        <v>1E-3</v>
      </c>
      <c r="J18" s="15"/>
    </row>
    <row r="19" spans="1:10" x14ac:dyDescent="0.25">
      <c r="A19" s="1" t="s">
        <v>16</v>
      </c>
      <c r="B19" s="1" t="s">
        <v>28</v>
      </c>
      <c r="C19" s="10"/>
      <c r="D19" s="10"/>
      <c r="E19" s="10">
        <v>196</v>
      </c>
      <c r="F19" s="10"/>
      <c r="G19" s="10">
        <f t="shared" si="0"/>
        <v>196</v>
      </c>
      <c r="H19" s="16">
        <f t="shared" si="1"/>
        <v>0.22</v>
      </c>
      <c r="I19" s="15">
        <f t="shared" si="2"/>
        <v>1E-3</v>
      </c>
      <c r="J19" s="15"/>
    </row>
    <row r="20" spans="1:10" x14ac:dyDescent="0.25">
      <c r="A20" s="1" t="s">
        <v>16</v>
      </c>
      <c r="B20" s="1" t="s">
        <v>42</v>
      </c>
      <c r="C20" s="10"/>
      <c r="D20" s="10"/>
      <c r="E20" s="10">
        <v>29</v>
      </c>
      <c r="F20" s="10"/>
      <c r="G20" s="10">
        <f t="shared" si="0"/>
        <v>29</v>
      </c>
      <c r="H20" s="16">
        <f t="shared" si="1"/>
        <v>0.03</v>
      </c>
      <c r="I20" s="15">
        <f t="shared" si="2"/>
        <v>0</v>
      </c>
      <c r="J20" s="15"/>
    </row>
    <row r="21" spans="1:10" x14ac:dyDescent="0.25">
      <c r="A21" s="1" t="s">
        <v>16</v>
      </c>
      <c r="B21" s="1" t="s">
        <v>29</v>
      </c>
      <c r="C21" s="10"/>
      <c r="D21" s="10"/>
      <c r="E21" s="10">
        <v>667</v>
      </c>
      <c r="F21" s="10"/>
      <c r="G21" s="10">
        <f t="shared" si="0"/>
        <v>667</v>
      </c>
      <c r="H21" s="16">
        <f t="shared" si="1"/>
        <v>0.76</v>
      </c>
      <c r="I21" s="15">
        <f t="shared" si="2"/>
        <v>2E-3</v>
      </c>
      <c r="J21" s="15">
        <f>ROUND(G21/1053.75-1,2)</f>
        <v>-0.37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206</v>
      </c>
      <c r="F22" s="10"/>
      <c r="G22" s="10">
        <f t="shared" si="0"/>
        <v>206</v>
      </c>
      <c r="H22" s="16">
        <f t="shared" si="1"/>
        <v>0.24</v>
      </c>
      <c r="I22" s="15">
        <f t="shared" si="2"/>
        <v>1E-3</v>
      </c>
      <c r="J22" s="15">
        <f>ROUND(G22/104.12-1,2)</f>
        <v>0.98</v>
      </c>
    </row>
    <row r="23" spans="1:10" x14ac:dyDescent="0.25">
      <c r="A23" s="1" t="s">
        <v>16</v>
      </c>
      <c r="B23" s="1" t="s">
        <v>31</v>
      </c>
      <c r="C23" s="10"/>
      <c r="D23" s="10"/>
      <c r="E23" s="10">
        <v>184</v>
      </c>
      <c r="F23" s="10"/>
      <c r="G23" s="10">
        <f t="shared" si="0"/>
        <v>184</v>
      </c>
      <c r="H23" s="16">
        <f t="shared" si="1"/>
        <v>0.21</v>
      </c>
      <c r="I23" s="15">
        <f t="shared" si="2"/>
        <v>1E-3</v>
      </c>
      <c r="J23" s="15">
        <f>ROUND(G23/30-1,2)</f>
        <v>5.13</v>
      </c>
    </row>
    <row r="24" spans="1:10" x14ac:dyDescent="0.25">
      <c r="A24" s="1" t="s">
        <v>16</v>
      </c>
      <c r="B24" s="1" t="s">
        <v>32</v>
      </c>
      <c r="C24" s="10"/>
      <c r="D24" s="10"/>
      <c r="E24" s="10">
        <v>526</v>
      </c>
      <c r="F24" s="10"/>
      <c r="G24" s="10">
        <f t="shared" si="0"/>
        <v>526</v>
      </c>
      <c r="H24" s="16">
        <f t="shared" si="1"/>
        <v>0.6</v>
      </c>
      <c r="I24" s="15">
        <f t="shared" si="2"/>
        <v>2E-3</v>
      </c>
      <c r="J24" s="15"/>
    </row>
    <row r="25" spans="1:10" x14ac:dyDescent="0.25">
      <c r="A25" s="1" t="s">
        <v>16</v>
      </c>
      <c r="B25" s="1" t="s">
        <v>33</v>
      </c>
      <c r="C25" s="10"/>
      <c r="D25" s="10"/>
      <c r="E25" s="10">
        <v>81</v>
      </c>
      <c r="F25" s="10"/>
      <c r="G25" s="10">
        <f t="shared" si="0"/>
        <v>81</v>
      </c>
      <c r="H25" s="16">
        <f t="shared" si="1"/>
        <v>0.09</v>
      </c>
      <c r="I25" s="15">
        <f t="shared" si="2"/>
        <v>0</v>
      </c>
      <c r="J25" s="15"/>
    </row>
    <row r="26" spans="1:10" x14ac:dyDescent="0.25">
      <c r="A26" s="1" t="s">
        <v>16</v>
      </c>
      <c r="B26" s="1" t="s">
        <v>37</v>
      </c>
      <c r="C26" s="10"/>
      <c r="D26" s="10"/>
      <c r="E26" s="10">
        <v>1197</v>
      </c>
      <c r="F26" s="10"/>
      <c r="G26" s="10">
        <f t="shared" si="0"/>
        <v>1197</v>
      </c>
      <c r="H26" s="16">
        <f t="shared" si="1"/>
        <v>1.37</v>
      </c>
      <c r="I26" s="15">
        <f t="shared" si="2"/>
        <v>4.0000000000000001E-3</v>
      </c>
      <c r="J26" s="15">
        <f>ROUND(G26/220.47-1,2)</f>
        <v>4.43</v>
      </c>
    </row>
    <row r="27" spans="1:10" x14ac:dyDescent="0.25">
      <c r="A27" s="1" t="s">
        <v>16</v>
      </c>
      <c r="B27" s="1" t="s">
        <v>43</v>
      </c>
      <c r="C27" s="10"/>
      <c r="D27" s="10"/>
      <c r="E27" s="10">
        <v>1181</v>
      </c>
      <c r="F27" s="10"/>
      <c r="G27" s="10">
        <f t="shared" si="0"/>
        <v>1181</v>
      </c>
      <c r="H27" s="16">
        <f t="shared" si="1"/>
        <v>1.35</v>
      </c>
      <c r="I27" s="15">
        <f t="shared" si="2"/>
        <v>4.0000000000000001E-3</v>
      </c>
      <c r="J27" s="15"/>
    </row>
    <row r="28" spans="1:10" x14ac:dyDescent="0.25">
      <c r="A28" s="1" t="s">
        <v>16</v>
      </c>
      <c r="B28" s="1" t="s">
        <v>38</v>
      </c>
      <c r="C28" s="10"/>
      <c r="D28" s="10"/>
      <c r="E28" s="10">
        <v>25065</v>
      </c>
      <c r="F28" s="10"/>
      <c r="G28" s="10">
        <f t="shared" si="0"/>
        <v>25065</v>
      </c>
      <c r="H28" s="16">
        <f t="shared" si="1"/>
        <v>28.74</v>
      </c>
      <c r="I28" s="15">
        <f t="shared" si="2"/>
        <v>7.8E-2</v>
      </c>
      <c r="J28" s="15">
        <f>ROUND(G28/8212.37-1,2)</f>
        <v>2.0499999999999998</v>
      </c>
    </row>
    <row r="29" spans="1:10" x14ac:dyDescent="0.25">
      <c r="A29" s="1" t="s">
        <v>16</v>
      </c>
      <c r="B29" s="1" t="s">
        <v>40</v>
      </c>
      <c r="C29" s="10"/>
      <c r="D29" s="10"/>
      <c r="E29" s="10">
        <v>9104</v>
      </c>
      <c r="F29" s="10"/>
      <c r="G29" s="10">
        <f t="shared" si="0"/>
        <v>9104</v>
      </c>
      <c r="H29" s="16">
        <f t="shared" si="1"/>
        <v>10.44</v>
      </c>
      <c r="I29" s="15">
        <f t="shared" si="2"/>
        <v>2.8000000000000001E-2</v>
      </c>
      <c r="J29" s="15">
        <f>ROUND(G29/3584.75-1,2)</f>
        <v>1.54</v>
      </c>
    </row>
    <row r="30" spans="1:10" x14ac:dyDescent="0.25">
      <c r="A30" s="1" t="s">
        <v>16</v>
      </c>
      <c r="B30" s="1" t="s">
        <v>41</v>
      </c>
      <c r="C30" s="10"/>
      <c r="D30" s="10"/>
      <c r="E30" s="10">
        <v>16448</v>
      </c>
      <c r="F30" s="10"/>
      <c r="G30" s="10">
        <f t="shared" si="0"/>
        <v>16448</v>
      </c>
      <c r="H30" s="16">
        <f t="shared" si="1"/>
        <v>18.86</v>
      </c>
      <c r="I30" s="15">
        <f t="shared" si="2"/>
        <v>5.0999999999999997E-2</v>
      </c>
      <c r="J30" s="15">
        <f>ROUND(G30/704.07-1,2)</f>
        <v>22.36</v>
      </c>
    </row>
    <row r="31" spans="1:10" x14ac:dyDescent="0.25">
      <c r="A31" s="1" t="s">
        <v>16</v>
      </c>
      <c r="B31" s="1" t="s">
        <v>36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>
        <f>ROUND(G31/328.12-1,2)</f>
        <v>-1</v>
      </c>
    </row>
    <row r="32" spans="1:10" x14ac:dyDescent="0.25">
      <c r="A32" s="1" t="s">
        <v>16</v>
      </c>
      <c r="B32" s="1" t="s">
        <v>35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/>
    </row>
    <row r="33" spans="1:10" x14ac:dyDescent="0.25">
      <c r="A33" s="1" t="s">
        <v>16</v>
      </c>
      <c r="B33" s="1" t="s">
        <v>39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/>
    </row>
    <row r="34" spans="1:10" x14ac:dyDescent="0.25">
      <c r="A34" s="1" t="s">
        <v>44</v>
      </c>
      <c r="B34" s="1" t="s">
        <v>45</v>
      </c>
      <c r="C34" s="10">
        <v>77590</v>
      </c>
      <c r="D34" s="10"/>
      <c r="E34" s="10"/>
      <c r="F34" s="10">
        <v>40</v>
      </c>
      <c r="G34" s="10">
        <f t="shared" si="0"/>
        <v>77630</v>
      </c>
      <c r="H34" s="16">
        <f t="shared" si="1"/>
        <v>89.03</v>
      </c>
      <c r="I34" s="15">
        <f t="shared" si="2"/>
        <v>0.24099999999999999</v>
      </c>
      <c r="J34" s="15">
        <f>ROUND(G34/84310-1,2)</f>
        <v>-0.08</v>
      </c>
    </row>
    <row r="35" spans="1:10" x14ac:dyDescent="0.25">
      <c r="A35" s="1" t="s">
        <v>44</v>
      </c>
      <c r="B35" s="1" t="s">
        <v>47</v>
      </c>
      <c r="C35" s="10"/>
      <c r="D35" s="10"/>
      <c r="E35" s="10"/>
      <c r="F35" s="10">
        <v>6370</v>
      </c>
      <c r="G35" s="10">
        <f t="shared" si="0"/>
        <v>6370</v>
      </c>
      <c r="H35" s="16">
        <f t="shared" si="1"/>
        <v>7.31</v>
      </c>
      <c r="I35" s="15">
        <f t="shared" si="2"/>
        <v>0.02</v>
      </c>
      <c r="J35" s="15"/>
    </row>
    <row r="36" spans="1:10" x14ac:dyDescent="0.25">
      <c r="A36" s="1" t="s">
        <v>44</v>
      </c>
      <c r="B36" s="1" t="s">
        <v>46</v>
      </c>
      <c r="C36" s="10"/>
      <c r="D36" s="10"/>
      <c r="E36" s="10">
        <v>14827</v>
      </c>
      <c r="F36" s="10"/>
      <c r="G36" s="10">
        <f t="shared" si="0"/>
        <v>14827</v>
      </c>
      <c r="H36" s="16">
        <f t="shared" si="1"/>
        <v>17</v>
      </c>
      <c r="I36" s="15">
        <f t="shared" si="2"/>
        <v>4.5999999999999999E-2</v>
      </c>
      <c r="J36" s="15">
        <f>ROUND(G36/4719.52-1,2)</f>
        <v>2.14</v>
      </c>
    </row>
    <row r="37" spans="1:10" x14ac:dyDescent="0.25">
      <c r="A37" s="1" t="s">
        <v>48</v>
      </c>
      <c r="B37" s="1" t="s">
        <v>51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30" t="s">
        <v>12</v>
      </c>
      <c r="B38" s="30"/>
      <c r="C38" s="11">
        <f t="shared" ref="C38:H38" si="3">SUM(C8:C37)</f>
        <v>204560</v>
      </c>
      <c r="D38" s="11">
        <f t="shared" si="3"/>
        <v>0</v>
      </c>
      <c r="E38" s="11">
        <f t="shared" si="3"/>
        <v>110929</v>
      </c>
      <c r="F38" s="11">
        <f t="shared" si="3"/>
        <v>6500</v>
      </c>
      <c r="G38" s="11">
        <f t="shared" si="3"/>
        <v>321989</v>
      </c>
      <c r="H38" s="14">
        <f t="shared" si="3"/>
        <v>369.23000000000008</v>
      </c>
      <c r="I38" s="17"/>
      <c r="J38" s="17"/>
    </row>
    <row r="39" spans="1:10" x14ac:dyDescent="0.25">
      <c r="A39" s="30" t="s">
        <v>14</v>
      </c>
      <c r="B39" s="30"/>
      <c r="C39" s="12">
        <f>ROUND(C38/G38,2)</f>
        <v>0.64</v>
      </c>
      <c r="D39" s="12">
        <f>ROUND(D38/G38,2)</f>
        <v>0</v>
      </c>
      <c r="E39" s="12">
        <f>ROUND(E38/G38,2)</f>
        <v>0.34</v>
      </c>
      <c r="F39" s="12">
        <f>ROUND(F38/G38,2)</f>
        <v>0.02</v>
      </c>
      <c r="G39" s="13"/>
      <c r="H39" s="13"/>
      <c r="I39" s="17"/>
      <c r="J39" s="17"/>
    </row>
    <row r="40" spans="1:10" x14ac:dyDescent="0.25">
      <c r="A40" s="2" t="s">
        <v>52</v>
      </c>
      <c r="B40" s="2"/>
      <c r="C40" s="13"/>
      <c r="D40" s="13"/>
      <c r="E40" s="13"/>
      <c r="F40" s="13"/>
      <c r="G40" s="13"/>
      <c r="H40" s="13"/>
      <c r="I40" s="17"/>
      <c r="J40" s="17"/>
    </row>
    <row r="41" spans="1:10" x14ac:dyDescent="0.25">
      <c r="C41" s="8"/>
      <c r="D41" s="8"/>
      <c r="E41" s="8"/>
      <c r="F41" s="8"/>
      <c r="G41" s="8"/>
      <c r="H41" s="8"/>
      <c r="I41" s="9"/>
      <c r="J41" s="9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A44" s="30" t="s">
        <v>53</v>
      </c>
      <c r="B44" s="30"/>
      <c r="C44" s="11" t="s">
        <v>8</v>
      </c>
      <c r="D44" s="11" t="s">
        <v>9</v>
      </c>
      <c r="E44" s="11" t="s">
        <v>10</v>
      </c>
      <c r="F44" s="11" t="s">
        <v>11</v>
      </c>
      <c r="G44" s="11" t="s">
        <v>12</v>
      </c>
      <c r="H44" s="14" t="s">
        <v>13</v>
      </c>
      <c r="I44" s="17"/>
      <c r="J44" s="17"/>
    </row>
    <row r="45" spans="1:10" x14ac:dyDescent="0.25">
      <c r="A45" s="29" t="s">
        <v>54</v>
      </c>
      <c r="B45" s="29"/>
      <c r="C45" s="10">
        <v>126970</v>
      </c>
      <c r="D45" s="10">
        <v>0</v>
      </c>
      <c r="E45" s="10">
        <v>96102</v>
      </c>
      <c r="F45" s="10">
        <v>90</v>
      </c>
      <c r="G45" s="10">
        <f>SUM(C45:F45)</f>
        <v>223162</v>
      </c>
      <c r="H45" s="16">
        <f>ROUND(G45/872,2)</f>
        <v>255.92</v>
      </c>
      <c r="I45" s="9"/>
      <c r="J45" s="9"/>
    </row>
    <row r="46" spans="1:10" x14ac:dyDescent="0.25">
      <c r="A46" s="29" t="s">
        <v>55</v>
      </c>
      <c r="B46" s="29"/>
      <c r="C46" s="10">
        <v>77590</v>
      </c>
      <c r="D46" s="10">
        <v>0</v>
      </c>
      <c r="E46" s="10">
        <v>14827</v>
      </c>
      <c r="F46" s="10">
        <v>6410</v>
      </c>
      <c r="G46" s="10">
        <f>SUM(C46:F46)</f>
        <v>98827</v>
      </c>
      <c r="H46" s="16">
        <f>ROUND(G46/872,2)</f>
        <v>113.33</v>
      </c>
      <c r="I46" s="9"/>
      <c r="J46" s="9"/>
    </row>
    <row r="47" spans="1:10" x14ac:dyDescent="0.25">
      <c r="A47" s="29" t="s">
        <v>56</v>
      </c>
      <c r="B47" s="29"/>
      <c r="C47" s="10">
        <v>0</v>
      </c>
      <c r="D47" s="10">
        <v>0</v>
      </c>
      <c r="E47" s="10">
        <v>0</v>
      </c>
      <c r="F47" s="10">
        <v>0</v>
      </c>
      <c r="G47" s="10">
        <f>SUM(C47:F47)</f>
        <v>0</v>
      </c>
      <c r="H47" s="16">
        <f>ROUND(G47/872,2)</f>
        <v>0</v>
      </c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A52" s="30" t="s">
        <v>57</v>
      </c>
      <c r="B52" s="30"/>
      <c r="C52" s="14" t="s">
        <v>2</v>
      </c>
      <c r="D52" s="14">
        <v>2023</v>
      </c>
      <c r="E52" s="14" t="s">
        <v>59</v>
      </c>
      <c r="F52" s="13"/>
      <c r="G52" s="14" t="s">
        <v>60</v>
      </c>
      <c r="H52" s="14" t="s">
        <v>2</v>
      </c>
      <c r="I52" s="12" t="s">
        <v>61</v>
      </c>
      <c r="J52" s="12" t="s">
        <v>59</v>
      </c>
    </row>
    <row r="53" spans="1:10" x14ac:dyDescent="0.25">
      <c r="A53" s="29" t="s">
        <v>58</v>
      </c>
      <c r="B53" s="29"/>
      <c r="C53" s="15">
        <f>ROUND(0.7314, 4)</f>
        <v>0.73140000000000005</v>
      </c>
      <c r="D53" s="15">
        <f>ROUND(0.6403, 4)</f>
        <v>0.64029999999999998</v>
      </c>
      <c r="E53" s="15">
        <f>ROUND(0.777, 4)</f>
        <v>0.77700000000000002</v>
      </c>
      <c r="F53" s="8"/>
      <c r="G53" s="14" t="s">
        <v>62</v>
      </c>
      <c r="H53" s="33" t="s">
        <v>63</v>
      </c>
      <c r="I53" s="31" t="s">
        <v>64</v>
      </c>
      <c r="J53" s="31" t="s">
        <v>65</v>
      </c>
    </row>
    <row r="54" spans="1:10" x14ac:dyDescent="0.25">
      <c r="A54" s="29" t="s">
        <v>66</v>
      </c>
      <c r="B54" s="29"/>
      <c r="C54" s="15">
        <f>ROUND(0.6917, 4)</f>
        <v>0.69169999999999998</v>
      </c>
      <c r="D54" s="15">
        <f>ROUND(0.5967, 4)</f>
        <v>0.59670000000000001</v>
      </c>
      <c r="E54" s="15">
        <f>ROUND(0.7608, 4)</f>
        <v>0.76080000000000003</v>
      </c>
      <c r="F54" s="8"/>
      <c r="G54" s="14" t="s">
        <v>67</v>
      </c>
      <c r="H54" s="34"/>
      <c r="I54" s="32"/>
      <c r="J54" s="32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21"/>
      <c r="H57" s="8"/>
      <c r="I57" s="9"/>
      <c r="J57" s="9"/>
    </row>
    <row r="58" spans="1:10" x14ac:dyDescent="0.25">
      <c r="A58" s="30" t="s">
        <v>68</v>
      </c>
      <c r="B58" s="30"/>
      <c r="C58" s="14" t="s">
        <v>2</v>
      </c>
      <c r="D58" s="14" t="s">
        <v>319</v>
      </c>
      <c r="E58" s="14" t="s">
        <v>70</v>
      </c>
      <c r="F58" s="14" t="s">
        <v>71</v>
      </c>
      <c r="G58" s="20" t="s">
        <v>72</v>
      </c>
      <c r="H58" s="13"/>
      <c r="I58" s="17"/>
      <c r="J58" s="17"/>
    </row>
    <row r="59" spans="1:10" x14ac:dyDescent="0.25">
      <c r="A59" s="29" t="s">
        <v>73</v>
      </c>
      <c r="B59" s="29"/>
      <c r="C59" s="16">
        <v>89.03</v>
      </c>
      <c r="D59" s="16">
        <v>88.86</v>
      </c>
      <c r="E59" s="16">
        <v>93.87</v>
      </c>
      <c r="F59" s="16">
        <v>57.16</v>
      </c>
      <c r="G59" s="16">
        <f>12/12*C59</f>
        <v>89.03</v>
      </c>
      <c r="H59" s="8"/>
      <c r="I59" s="9"/>
      <c r="J59" s="9"/>
    </row>
    <row r="60" spans="1:10" x14ac:dyDescent="0.25">
      <c r="A60" s="29" t="s">
        <v>74</v>
      </c>
      <c r="B60" s="29"/>
      <c r="C60" s="16">
        <v>37.68</v>
      </c>
      <c r="D60" s="16">
        <v>45.54</v>
      </c>
      <c r="E60" s="16">
        <v>62.84</v>
      </c>
      <c r="F60" s="16">
        <v>65.39</v>
      </c>
      <c r="G60" s="16">
        <f>12/12*C60</f>
        <v>37.68</v>
      </c>
      <c r="H60" s="8"/>
      <c r="I60" s="9"/>
      <c r="J60" s="9"/>
    </row>
    <row r="61" spans="1:10" x14ac:dyDescent="0.25">
      <c r="A61" s="29" t="s">
        <v>75</v>
      </c>
      <c r="B61" s="29"/>
      <c r="C61" s="16">
        <v>255.92</v>
      </c>
      <c r="D61" s="16">
        <v>215.76</v>
      </c>
      <c r="E61" s="16">
        <v>295.08999999999997</v>
      </c>
      <c r="F61" s="16">
        <v>289.06</v>
      </c>
      <c r="G61" s="16">
        <f>12/12*C61</f>
        <v>255.92</v>
      </c>
      <c r="H61" s="8"/>
      <c r="I61" s="9"/>
      <c r="J61" s="9"/>
    </row>
    <row r="62" spans="1:10" x14ac:dyDescent="0.25">
      <c r="A62" s="29" t="s">
        <v>76</v>
      </c>
      <c r="B62" s="29"/>
      <c r="C62" s="16">
        <v>113.33</v>
      </c>
      <c r="D62" s="16">
        <v>106.97</v>
      </c>
      <c r="E62" s="16">
        <v>118.05</v>
      </c>
      <c r="F62" s="16">
        <v>81.41</v>
      </c>
      <c r="G62" s="16">
        <f>12/12*C62</f>
        <v>113.33</v>
      </c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A65" s="28" t="s">
        <v>60</v>
      </c>
      <c r="B65" s="35"/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3" t="s">
        <v>77</v>
      </c>
      <c r="B66" s="1" t="s">
        <v>320</v>
      </c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70</v>
      </c>
      <c r="B67" s="1" t="s">
        <v>79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71</v>
      </c>
      <c r="B68" s="1" t="s">
        <v>80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72</v>
      </c>
      <c r="B69" s="1" t="s">
        <v>81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  <row r="71" spans="1:10" x14ac:dyDescent="0.25"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  <row r="76" spans="1:10" x14ac:dyDescent="0.25">
      <c r="C76" s="8"/>
      <c r="D76" s="8"/>
      <c r="E76" s="8"/>
      <c r="F76" s="8"/>
      <c r="G76" s="8"/>
      <c r="H76" s="8"/>
      <c r="I76" s="9"/>
      <c r="J76" s="9"/>
    </row>
  </sheetData>
  <mergeCells count="19">
    <mergeCell ref="A60:B60"/>
    <mergeCell ref="A61:B61"/>
    <mergeCell ref="A62:B62"/>
    <mergeCell ref="A65:B65"/>
    <mergeCell ref="I53:I54"/>
    <mergeCell ref="J53:J54"/>
    <mergeCell ref="A54:B54"/>
    <mergeCell ref="A58:B58"/>
    <mergeCell ref="A59:B59"/>
    <mergeCell ref="A46:B46"/>
    <mergeCell ref="A47:B47"/>
    <mergeCell ref="A52:B52"/>
    <mergeCell ref="A53:B53"/>
    <mergeCell ref="H53:H54"/>
    <mergeCell ref="C7:G7"/>
    <mergeCell ref="A38:B38"/>
    <mergeCell ref="A39:B39"/>
    <mergeCell ref="A44:B44"/>
    <mergeCell ref="A45:B45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2:J76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0.8554687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321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1228</v>
      </c>
    </row>
    <row r="7" spans="1:10" x14ac:dyDescent="0.25">
      <c r="C7" s="28" t="s">
        <v>5</v>
      </c>
      <c r="D7" s="29"/>
      <c r="E7" s="29"/>
      <c r="F7" s="29"/>
      <c r="G7" s="29"/>
    </row>
    <row r="8" spans="1:10" x14ac:dyDescent="0.25">
      <c r="A8" s="25" t="s">
        <v>6</v>
      </c>
      <c r="B8" s="25" t="s">
        <v>7</v>
      </c>
      <c r="C8" s="27" t="s">
        <v>8</v>
      </c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25</v>
      </c>
      <c r="F9" s="10"/>
      <c r="G9" s="10">
        <f t="shared" ref="G9:G44" si="0">SUM(C9:F9)</f>
        <v>25</v>
      </c>
      <c r="H9" s="16">
        <f t="shared" ref="H9:H44" si="1">ROUND(G9/1228,2)</f>
        <v>0.02</v>
      </c>
      <c r="I9" s="15">
        <f t="shared" ref="I9:I44" si="2">ROUND(G9/$G$45,3)</f>
        <v>0</v>
      </c>
      <c r="J9" s="15">
        <f>ROUND(G9/125-1,2)</f>
        <v>-0.8</v>
      </c>
    </row>
    <row r="10" spans="1:10" x14ac:dyDescent="0.25">
      <c r="A10" s="1" t="s">
        <v>16</v>
      </c>
      <c r="B10" s="1" t="s">
        <v>19</v>
      </c>
      <c r="C10" s="10">
        <v>43350</v>
      </c>
      <c r="D10" s="10"/>
      <c r="E10" s="10">
        <v>5736</v>
      </c>
      <c r="F10" s="10"/>
      <c r="G10" s="10">
        <f t="shared" si="0"/>
        <v>49086</v>
      </c>
      <c r="H10" s="16">
        <f t="shared" si="1"/>
        <v>39.97</v>
      </c>
      <c r="I10" s="15">
        <f t="shared" si="2"/>
        <v>8.3000000000000004E-2</v>
      </c>
      <c r="J10" s="15">
        <f>ROUND(G10/61388.06-1,2)</f>
        <v>-0.2</v>
      </c>
    </row>
    <row r="11" spans="1:10" x14ac:dyDescent="0.25">
      <c r="A11" s="1" t="s">
        <v>16</v>
      </c>
      <c r="B11" s="1" t="s">
        <v>20</v>
      </c>
      <c r="C11" s="10">
        <v>57750</v>
      </c>
      <c r="D11" s="10"/>
      <c r="E11" s="10"/>
      <c r="F11" s="10"/>
      <c r="G11" s="10">
        <f t="shared" si="0"/>
        <v>57750</v>
      </c>
      <c r="H11" s="16">
        <f t="shared" si="1"/>
        <v>47.03</v>
      </c>
      <c r="I11" s="15">
        <f t="shared" si="2"/>
        <v>9.8000000000000004E-2</v>
      </c>
      <c r="J11" s="15">
        <f>ROUND(G11/63405-1,2)</f>
        <v>-0.09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185</v>
      </c>
      <c r="F12" s="10"/>
      <c r="G12" s="10">
        <f t="shared" si="0"/>
        <v>185</v>
      </c>
      <c r="H12" s="16">
        <f t="shared" si="1"/>
        <v>0.15</v>
      </c>
      <c r="I12" s="15">
        <f t="shared" si="2"/>
        <v>0</v>
      </c>
      <c r="J12" s="15">
        <f>ROUND(G12/344.28-1,2)</f>
        <v>-0.46</v>
      </c>
    </row>
    <row r="13" spans="1:10" x14ac:dyDescent="0.25">
      <c r="A13" s="1" t="s">
        <v>16</v>
      </c>
      <c r="B13" s="1" t="s">
        <v>22</v>
      </c>
      <c r="C13" s="10"/>
      <c r="D13" s="10"/>
      <c r="E13" s="10">
        <v>1395</v>
      </c>
      <c r="F13" s="10"/>
      <c r="G13" s="10">
        <f t="shared" si="0"/>
        <v>1395</v>
      </c>
      <c r="H13" s="16">
        <f t="shared" si="1"/>
        <v>1.1399999999999999</v>
      </c>
      <c r="I13" s="15">
        <f t="shared" si="2"/>
        <v>2E-3</v>
      </c>
      <c r="J13" s="15">
        <f>ROUND(G13/2045.72-1,2)</f>
        <v>-0.32</v>
      </c>
    </row>
    <row r="14" spans="1:10" x14ac:dyDescent="0.25">
      <c r="A14" s="1" t="s">
        <v>16</v>
      </c>
      <c r="B14" s="1" t="s">
        <v>23</v>
      </c>
      <c r="C14" s="10"/>
      <c r="D14" s="10"/>
      <c r="E14" s="10">
        <v>48765</v>
      </c>
      <c r="F14" s="10"/>
      <c r="G14" s="10">
        <f t="shared" si="0"/>
        <v>48765</v>
      </c>
      <c r="H14" s="16">
        <f t="shared" si="1"/>
        <v>39.71</v>
      </c>
      <c r="I14" s="15">
        <f t="shared" si="2"/>
        <v>8.2000000000000003E-2</v>
      </c>
      <c r="J14" s="15">
        <f>ROUND(G14/121735.97-1,2)</f>
        <v>-0.6</v>
      </c>
    </row>
    <row r="15" spans="1:10" x14ac:dyDescent="0.25">
      <c r="A15" s="1" t="s">
        <v>16</v>
      </c>
      <c r="B15" s="1" t="s">
        <v>24</v>
      </c>
      <c r="C15" s="10">
        <v>55290</v>
      </c>
      <c r="D15" s="10"/>
      <c r="E15" s="10">
        <v>18741</v>
      </c>
      <c r="F15" s="10"/>
      <c r="G15" s="10">
        <f t="shared" si="0"/>
        <v>74031</v>
      </c>
      <c r="H15" s="16">
        <f t="shared" si="1"/>
        <v>60.29</v>
      </c>
      <c r="I15" s="15">
        <f t="shared" si="2"/>
        <v>0.125</v>
      </c>
      <c r="J15" s="15">
        <f>ROUND(G15/101196.67-1,2)</f>
        <v>-0.27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4828</v>
      </c>
      <c r="F16" s="10"/>
      <c r="G16" s="10">
        <f t="shared" si="0"/>
        <v>4828</v>
      </c>
      <c r="H16" s="16">
        <f t="shared" si="1"/>
        <v>3.93</v>
      </c>
      <c r="I16" s="15">
        <f t="shared" si="2"/>
        <v>8.0000000000000002E-3</v>
      </c>
      <c r="J16" s="15">
        <f>ROUND(G16/11570-1,2)</f>
        <v>-0.57999999999999996</v>
      </c>
    </row>
    <row r="17" spans="1:10" x14ac:dyDescent="0.25">
      <c r="A17" s="1" t="s">
        <v>16</v>
      </c>
      <c r="B17" s="1" t="s">
        <v>26</v>
      </c>
      <c r="C17" s="10">
        <v>38220</v>
      </c>
      <c r="D17" s="10"/>
      <c r="E17" s="10"/>
      <c r="F17" s="10"/>
      <c r="G17" s="10">
        <f t="shared" si="0"/>
        <v>38220</v>
      </c>
      <c r="H17" s="16">
        <f t="shared" si="1"/>
        <v>31.12</v>
      </c>
      <c r="I17" s="15">
        <f t="shared" si="2"/>
        <v>6.5000000000000002E-2</v>
      </c>
      <c r="J17" s="15">
        <f>ROUND(G17/39160-1,2)</f>
        <v>-0.02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603</v>
      </c>
      <c r="F18" s="10"/>
      <c r="G18" s="10">
        <f t="shared" si="0"/>
        <v>603</v>
      </c>
      <c r="H18" s="16">
        <f t="shared" si="1"/>
        <v>0.49</v>
      </c>
      <c r="I18" s="15">
        <f t="shared" si="2"/>
        <v>1E-3</v>
      </c>
      <c r="J18" s="15">
        <f>ROUND(G18/1831-1,2)</f>
        <v>-0.67</v>
      </c>
    </row>
    <row r="19" spans="1:10" x14ac:dyDescent="0.25">
      <c r="A19" s="1" t="s">
        <v>16</v>
      </c>
      <c r="B19" s="1" t="s">
        <v>28</v>
      </c>
      <c r="C19" s="10"/>
      <c r="D19" s="10"/>
      <c r="E19" s="10">
        <v>276</v>
      </c>
      <c r="F19" s="10"/>
      <c r="G19" s="10">
        <f t="shared" si="0"/>
        <v>276</v>
      </c>
      <c r="H19" s="16">
        <f t="shared" si="1"/>
        <v>0.22</v>
      </c>
      <c r="I19" s="15">
        <f t="shared" si="2"/>
        <v>0</v>
      </c>
      <c r="J19" s="15">
        <f>ROUND(G19/979-1,2)</f>
        <v>-0.72</v>
      </c>
    </row>
    <row r="20" spans="1:10" x14ac:dyDescent="0.25">
      <c r="A20" s="1" t="s">
        <v>16</v>
      </c>
      <c r="B20" s="1" t="s">
        <v>42</v>
      </c>
      <c r="C20" s="10"/>
      <c r="D20" s="10"/>
      <c r="E20" s="10">
        <v>67</v>
      </c>
      <c r="F20" s="10"/>
      <c r="G20" s="10">
        <f t="shared" si="0"/>
        <v>67</v>
      </c>
      <c r="H20" s="16">
        <f t="shared" si="1"/>
        <v>0.05</v>
      </c>
      <c r="I20" s="15">
        <f t="shared" si="2"/>
        <v>0</v>
      </c>
      <c r="J20" s="15">
        <f>ROUND(G20/51.48-1,2)</f>
        <v>0.3</v>
      </c>
    </row>
    <row r="21" spans="1:10" x14ac:dyDescent="0.25">
      <c r="A21" s="1" t="s">
        <v>16</v>
      </c>
      <c r="B21" s="1" t="s">
        <v>29</v>
      </c>
      <c r="C21" s="10"/>
      <c r="D21" s="10"/>
      <c r="E21" s="10">
        <v>794</v>
      </c>
      <c r="F21" s="10"/>
      <c r="G21" s="10">
        <f t="shared" si="0"/>
        <v>794</v>
      </c>
      <c r="H21" s="16">
        <f t="shared" si="1"/>
        <v>0.65</v>
      </c>
      <c r="I21" s="15">
        <f t="shared" si="2"/>
        <v>1E-3</v>
      </c>
      <c r="J21" s="15">
        <f>ROUND(G21/4605.39-1,2)</f>
        <v>-0.83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310</v>
      </c>
      <c r="F22" s="10"/>
      <c r="G22" s="10">
        <f t="shared" si="0"/>
        <v>310</v>
      </c>
      <c r="H22" s="16">
        <f t="shared" si="1"/>
        <v>0.25</v>
      </c>
      <c r="I22" s="15">
        <f t="shared" si="2"/>
        <v>1E-3</v>
      </c>
      <c r="J22" s="15">
        <f>ROUND(G22/935.6-1,2)</f>
        <v>-0.67</v>
      </c>
    </row>
    <row r="23" spans="1:10" x14ac:dyDescent="0.25">
      <c r="A23" s="1" t="s">
        <v>16</v>
      </c>
      <c r="B23" s="1" t="s">
        <v>31</v>
      </c>
      <c r="C23" s="10"/>
      <c r="D23" s="10"/>
      <c r="E23" s="10">
        <v>71</v>
      </c>
      <c r="F23" s="10"/>
      <c r="G23" s="10">
        <f t="shared" si="0"/>
        <v>71</v>
      </c>
      <c r="H23" s="16">
        <f t="shared" si="1"/>
        <v>0.06</v>
      </c>
      <c r="I23" s="15">
        <f t="shared" si="2"/>
        <v>0</v>
      </c>
      <c r="J23" s="15"/>
    </row>
    <row r="24" spans="1:10" x14ac:dyDescent="0.25">
      <c r="A24" s="1" t="s">
        <v>16</v>
      </c>
      <c r="B24" s="1" t="s">
        <v>32</v>
      </c>
      <c r="C24" s="10"/>
      <c r="D24" s="10"/>
      <c r="E24" s="10">
        <v>1820</v>
      </c>
      <c r="F24" s="10"/>
      <c r="G24" s="10">
        <f t="shared" si="0"/>
        <v>1820</v>
      </c>
      <c r="H24" s="16">
        <f t="shared" si="1"/>
        <v>1.48</v>
      </c>
      <c r="I24" s="15">
        <f t="shared" si="2"/>
        <v>3.0000000000000001E-3</v>
      </c>
      <c r="J24" s="15">
        <f>ROUND(G24/2902.37-1,2)</f>
        <v>-0.37</v>
      </c>
    </row>
    <row r="25" spans="1:10" x14ac:dyDescent="0.25">
      <c r="A25" s="1" t="s">
        <v>16</v>
      </c>
      <c r="B25" s="1" t="s">
        <v>33</v>
      </c>
      <c r="C25" s="10"/>
      <c r="D25" s="10">
        <v>87</v>
      </c>
      <c r="E25" s="10">
        <v>92</v>
      </c>
      <c r="F25" s="10"/>
      <c r="G25" s="10">
        <f t="shared" si="0"/>
        <v>179</v>
      </c>
      <c r="H25" s="16">
        <f t="shared" si="1"/>
        <v>0.15</v>
      </c>
      <c r="I25" s="15">
        <f t="shared" si="2"/>
        <v>0</v>
      </c>
      <c r="J25" s="15">
        <f>ROUND(G25/362.73-1,2)</f>
        <v>-0.51</v>
      </c>
    </row>
    <row r="26" spans="1:10" x14ac:dyDescent="0.25">
      <c r="A26" s="1" t="s">
        <v>16</v>
      </c>
      <c r="B26" s="1" t="s">
        <v>34</v>
      </c>
      <c r="C26" s="10"/>
      <c r="D26" s="10"/>
      <c r="E26" s="10">
        <v>133</v>
      </c>
      <c r="F26" s="10"/>
      <c r="G26" s="10">
        <f t="shared" si="0"/>
        <v>133</v>
      </c>
      <c r="H26" s="16">
        <f t="shared" si="1"/>
        <v>0.11</v>
      </c>
      <c r="I26" s="15">
        <f t="shared" si="2"/>
        <v>0</v>
      </c>
      <c r="J26" s="15"/>
    </row>
    <row r="27" spans="1:10" x14ac:dyDescent="0.25">
      <c r="A27" s="1" t="s">
        <v>16</v>
      </c>
      <c r="B27" s="1" t="s">
        <v>35</v>
      </c>
      <c r="C27" s="10"/>
      <c r="D27" s="10"/>
      <c r="E27" s="10">
        <v>199</v>
      </c>
      <c r="F27" s="10"/>
      <c r="G27" s="10">
        <f t="shared" si="0"/>
        <v>199</v>
      </c>
      <c r="H27" s="16">
        <f t="shared" si="1"/>
        <v>0.16</v>
      </c>
      <c r="I27" s="15">
        <f t="shared" si="2"/>
        <v>0</v>
      </c>
      <c r="J27" s="15"/>
    </row>
    <row r="28" spans="1:10" x14ac:dyDescent="0.25">
      <c r="A28" s="1" t="s">
        <v>16</v>
      </c>
      <c r="B28" s="1" t="s">
        <v>43</v>
      </c>
      <c r="C28" s="10"/>
      <c r="D28" s="10"/>
      <c r="E28" s="10">
        <v>1384</v>
      </c>
      <c r="F28" s="10"/>
      <c r="G28" s="10">
        <f t="shared" si="0"/>
        <v>1384</v>
      </c>
      <c r="H28" s="16">
        <f t="shared" si="1"/>
        <v>1.1299999999999999</v>
      </c>
      <c r="I28" s="15">
        <f t="shared" si="2"/>
        <v>2E-3</v>
      </c>
      <c r="J28" s="15">
        <f>ROUND(G28/14975-1,2)</f>
        <v>-0.91</v>
      </c>
    </row>
    <row r="29" spans="1:10" x14ac:dyDescent="0.25">
      <c r="A29" s="1" t="s">
        <v>16</v>
      </c>
      <c r="B29" s="1" t="s">
        <v>37</v>
      </c>
      <c r="C29" s="10"/>
      <c r="D29" s="10"/>
      <c r="E29" s="10">
        <v>2469</v>
      </c>
      <c r="F29" s="10"/>
      <c r="G29" s="10">
        <f t="shared" si="0"/>
        <v>2469</v>
      </c>
      <c r="H29" s="16">
        <f t="shared" si="1"/>
        <v>2.0099999999999998</v>
      </c>
      <c r="I29" s="15">
        <f t="shared" si="2"/>
        <v>4.0000000000000001E-3</v>
      </c>
      <c r="J29" s="15">
        <f>ROUND(G29/9523.66-1,2)</f>
        <v>-0.74</v>
      </c>
    </row>
    <row r="30" spans="1:10" x14ac:dyDescent="0.25">
      <c r="A30" s="1" t="s">
        <v>16</v>
      </c>
      <c r="B30" s="1" t="s">
        <v>38</v>
      </c>
      <c r="C30" s="10"/>
      <c r="D30" s="10"/>
      <c r="E30" s="10">
        <v>48116</v>
      </c>
      <c r="F30" s="10"/>
      <c r="G30" s="10">
        <f t="shared" si="0"/>
        <v>48116</v>
      </c>
      <c r="H30" s="16">
        <f t="shared" si="1"/>
        <v>39.18</v>
      </c>
      <c r="I30" s="15">
        <f t="shared" si="2"/>
        <v>8.1000000000000003E-2</v>
      </c>
      <c r="J30" s="15">
        <f>ROUND(G30/127228.73-1,2)</f>
        <v>-0.62</v>
      </c>
    </row>
    <row r="31" spans="1:10" x14ac:dyDescent="0.25">
      <c r="A31" s="1" t="s">
        <v>16</v>
      </c>
      <c r="B31" s="1" t="s">
        <v>39</v>
      </c>
      <c r="C31" s="10"/>
      <c r="D31" s="10"/>
      <c r="E31" s="10">
        <v>3734</v>
      </c>
      <c r="F31" s="10"/>
      <c r="G31" s="10">
        <f t="shared" si="0"/>
        <v>3734</v>
      </c>
      <c r="H31" s="16">
        <f t="shared" si="1"/>
        <v>3.04</v>
      </c>
      <c r="I31" s="15">
        <f t="shared" si="2"/>
        <v>6.0000000000000001E-3</v>
      </c>
      <c r="J31" s="15">
        <f>ROUND(G31/8151.35-1,2)</f>
        <v>-0.54</v>
      </c>
    </row>
    <row r="32" spans="1:10" x14ac:dyDescent="0.25">
      <c r="A32" s="1" t="s">
        <v>16</v>
      </c>
      <c r="B32" s="1" t="s">
        <v>40</v>
      </c>
      <c r="C32" s="10"/>
      <c r="D32" s="10"/>
      <c r="E32" s="10">
        <v>12195</v>
      </c>
      <c r="F32" s="10"/>
      <c r="G32" s="10">
        <f t="shared" si="0"/>
        <v>12195</v>
      </c>
      <c r="H32" s="16">
        <f t="shared" si="1"/>
        <v>9.93</v>
      </c>
      <c r="I32" s="15">
        <f t="shared" si="2"/>
        <v>2.1000000000000001E-2</v>
      </c>
      <c r="J32" s="15">
        <f>ROUND(G32/34057.41-1,2)</f>
        <v>-0.64</v>
      </c>
    </row>
    <row r="33" spans="1:10" x14ac:dyDescent="0.25">
      <c r="A33" s="1" t="s">
        <v>16</v>
      </c>
      <c r="B33" s="1" t="s">
        <v>41</v>
      </c>
      <c r="C33" s="10"/>
      <c r="D33" s="10"/>
      <c r="E33" s="10">
        <v>14833</v>
      </c>
      <c r="F33" s="10"/>
      <c r="G33" s="10">
        <f t="shared" si="0"/>
        <v>14833</v>
      </c>
      <c r="H33" s="16">
        <f t="shared" si="1"/>
        <v>12.08</v>
      </c>
      <c r="I33" s="15">
        <f t="shared" si="2"/>
        <v>2.5000000000000001E-2</v>
      </c>
      <c r="J33" s="15">
        <f>ROUND(G33/36639.47-1,2)</f>
        <v>-0.6</v>
      </c>
    </row>
    <row r="34" spans="1:10" x14ac:dyDescent="0.25">
      <c r="A34" s="1" t="s">
        <v>16</v>
      </c>
      <c r="B34" s="1" t="s">
        <v>18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ROUND(G34/4600-1,2)</f>
        <v>-1</v>
      </c>
    </row>
    <row r="35" spans="1:10" x14ac:dyDescent="0.25">
      <c r="A35" s="1" t="s">
        <v>16</v>
      </c>
      <c r="B35" s="1" t="s">
        <v>243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>
        <f>ROUND(G35/1540-1,2)</f>
        <v>-1</v>
      </c>
    </row>
    <row r="36" spans="1:10" x14ac:dyDescent="0.25">
      <c r="A36" s="1" t="s">
        <v>16</v>
      </c>
      <c r="B36" s="1" t="s">
        <v>36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>
        <f>ROUND(G36/2953.26-1,2)</f>
        <v>-1</v>
      </c>
    </row>
    <row r="37" spans="1:10" x14ac:dyDescent="0.25">
      <c r="A37" s="1" t="s">
        <v>16</v>
      </c>
      <c r="B37" s="1" t="s">
        <v>95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>
        <f>ROUND(G37/60-1,2)</f>
        <v>-1</v>
      </c>
    </row>
    <row r="38" spans="1:10" x14ac:dyDescent="0.25">
      <c r="A38" s="1" t="s">
        <v>16</v>
      </c>
      <c r="B38" s="1" t="s">
        <v>96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>
        <f>ROUND(G38/65-1,2)</f>
        <v>-1</v>
      </c>
    </row>
    <row r="39" spans="1:10" x14ac:dyDescent="0.25">
      <c r="A39" s="1" t="s">
        <v>44</v>
      </c>
      <c r="B39" s="1" t="s">
        <v>45</v>
      </c>
      <c r="C39" s="10">
        <v>204040</v>
      </c>
      <c r="D39" s="10"/>
      <c r="E39" s="10"/>
      <c r="F39" s="10"/>
      <c r="G39" s="10">
        <f t="shared" si="0"/>
        <v>204040</v>
      </c>
      <c r="H39" s="16">
        <f t="shared" si="1"/>
        <v>166.16</v>
      </c>
      <c r="I39" s="15">
        <f t="shared" si="2"/>
        <v>0.34499999999999997</v>
      </c>
      <c r="J39" s="15">
        <f>ROUND(G39/202180-1,2)</f>
        <v>0.01</v>
      </c>
    </row>
    <row r="40" spans="1:10" x14ac:dyDescent="0.25">
      <c r="A40" s="1" t="s">
        <v>44</v>
      </c>
      <c r="B40" s="1" t="s">
        <v>46</v>
      </c>
      <c r="C40" s="10"/>
      <c r="D40" s="10"/>
      <c r="E40" s="10">
        <v>25836</v>
      </c>
      <c r="F40" s="10"/>
      <c r="G40" s="10">
        <f t="shared" si="0"/>
        <v>25836</v>
      </c>
      <c r="H40" s="16">
        <f t="shared" si="1"/>
        <v>21.04</v>
      </c>
      <c r="I40" s="15">
        <f t="shared" si="2"/>
        <v>4.3999999999999997E-2</v>
      </c>
      <c r="J40" s="15">
        <f>ROUND(G40/51837.92-1,2)</f>
        <v>-0.5</v>
      </c>
    </row>
    <row r="41" spans="1:10" x14ac:dyDescent="0.25">
      <c r="A41" s="1" t="s">
        <v>44</v>
      </c>
      <c r="B41" s="1" t="s">
        <v>47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/>
    </row>
    <row r="42" spans="1:10" x14ac:dyDescent="0.25">
      <c r="A42" s="1" t="s">
        <v>48</v>
      </c>
      <c r="B42" s="1" t="s">
        <v>49</v>
      </c>
      <c r="C42" s="10"/>
      <c r="D42" s="10"/>
      <c r="E42" s="10"/>
      <c r="F42" s="10"/>
      <c r="G42" s="10">
        <f t="shared" si="0"/>
        <v>0</v>
      </c>
      <c r="H42" s="16">
        <f t="shared" si="1"/>
        <v>0</v>
      </c>
      <c r="I42" s="15">
        <f t="shared" si="2"/>
        <v>0</v>
      </c>
      <c r="J42" s="15">
        <f>ROUND(G42/12-1,2)</f>
        <v>-1</v>
      </c>
    </row>
    <row r="43" spans="1:10" x14ac:dyDescent="0.25">
      <c r="A43" s="1" t="s">
        <v>48</v>
      </c>
      <c r="B43" s="1" t="s">
        <v>50</v>
      </c>
      <c r="C43" s="10"/>
      <c r="D43" s="10"/>
      <c r="E43" s="10"/>
      <c r="F43" s="10"/>
      <c r="G43" s="10">
        <f t="shared" si="0"/>
        <v>0</v>
      </c>
      <c r="H43" s="16">
        <f t="shared" si="1"/>
        <v>0</v>
      </c>
      <c r="I43" s="15">
        <f t="shared" si="2"/>
        <v>0</v>
      </c>
      <c r="J43" s="15">
        <f>ROUND(G43/270-1,2)</f>
        <v>-1</v>
      </c>
    </row>
    <row r="44" spans="1:10" x14ac:dyDescent="0.25">
      <c r="A44" s="1" t="s">
        <v>48</v>
      </c>
      <c r="B44" s="1" t="s">
        <v>51</v>
      </c>
      <c r="C44" s="10"/>
      <c r="D44" s="10"/>
      <c r="E44" s="10"/>
      <c r="F44" s="10"/>
      <c r="G44" s="10">
        <f t="shared" si="0"/>
        <v>0</v>
      </c>
      <c r="H44" s="16">
        <f t="shared" si="1"/>
        <v>0</v>
      </c>
      <c r="I44" s="15">
        <f t="shared" si="2"/>
        <v>0</v>
      </c>
      <c r="J44" s="15">
        <f>ROUND(G44/33-1,2)</f>
        <v>-1</v>
      </c>
    </row>
    <row r="45" spans="1:10" x14ac:dyDescent="0.25">
      <c r="A45" s="30" t="s">
        <v>12</v>
      </c>
      <c r="B45" s="30"/>
      <c r="C45" s="11">
        <f t="shared" ref="C45:H45" si="3">SUM(C8:C44)</f>
        <v>398650</v>
      </c>
      <c r="D45" s="11">
        <f t="shared" si="3"/>
        <v>87</v>
      </c>
      <c r="E45" s="11">
        <f t="shared" si="3"/>
        <v>192607</v>
      </c>
      <c r="F45" s="11">
        <f t="shared" si="3"/>
        <v>0</v>
      </c>
      <c r="G45" s="11">
        <f t="shared" si="3"/>
        <v>591344</v>
      </c>
      <c r="H45" s="14">
        <f t="shared" si="3"/>
        <v>481.55</v>
      </c>
      <c r="I45" s="17"/>
      <c r="J45" s="17"/>
    </row>
    <row r="46" spans="1:10" x14ac:dyDescent="0.25">
      <c r="A46" s="30" t="s">
        <v>14</v>
      </c>
      <c r="B46" s="30"/>
      <c r="C46" s="12">
        <f>ROUND(C45/G45,2)</f>
        <v>0.67</v>
      </c>
      <c r="D46" s="12">
        <f>ROUND(D45/G45,2)</f>
        <v>0</v>
      </c>
      <c r="E46" s="12">
        <f>ROUND(E45/G45,2)</f>
        <v>0.33</v>
      </c>
      <c r="F46" s="12">
        <f>ROUND(F45/G45,2)</f>
        <v>0</v>
      </c>
      <c r="G46" s="13"/>
      <c r="H46" s="13"/>
      <c r="I46" s="17"/>
      <c r="J46" s="17"/>
    </row>
    <row r="47" spans="1:10" x14ac:dyDescent="0.25">
      <c r="A47" s="2" t="s">
        <v>52</v>
      </c>
      <c r="B47" s="2"/>
      <c r="C47" s="13"/>
      <c r="D47" s="13"/>
      <c r="E47" s="13"/>
      <c r="F47" s="13"/>
      <c r="G47" s="13"/>
      <c r="H47" s="13"/>
      <c r="I47" s="17"/>
      <c r="J47" s="17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A51" s="30" t="s">
        <v>53</v>
      </c>
      <c r="B51" s="30"/>
      <c r="C51" s="11" t="s">
        <v>8</v>
      </c>
      <c r="D51" s="11" t="s">
        <v>9</v>
      </c>
      <c r="E51" s="11" t="s">
        <v>10</v>
      </c>
      <c r="F51" s="11" t="s">
        <v>11</v>
      </c>
      <c r="G51" s="11" t="s">
        <v>12</v>
      </c>
      <c r="H51" s="14" t="s">
        <v>13</v>
      </c>
      <c r="I51" s="17"/>
      <c r="J51" s="17"/>
    </row>
    <row r="52" spans="1:10" x14ac:dyDescent="0.25">
      <c r="A52" s="29" t="s">
        <v>54</v>
      </c>
      <c r="B52" s="29"/>
      <c r="C52" s="10">
        <v>194610</v>
      </c>
      <c r="D52" s="10">
        <v>87</v>
      </c>
      <c r="E52" s="10">
        <v>166771</v>
      </c>
      <c r="F52" s="10">
        <v>0</v>
      </c>
      <c r="G52" s="10">
        <f>SUM(C52:F52)</f>
        <v>361468</v>
      </c>
      <c r="H52" s="16">
        <f>ROUND(G52/1228,2)</f>
        <v>294.36</v>
      </c>
      <c r="I52" s="9"/>
      <c r="J52" s="9"/>
    </row>
    <row r="53" spans="1:10" x14ac:dyDescent="0.25">
      <c r="A53" s="29" t="s">
        <v>55</v>
      </c>
      <c r="B53" s="29"/>
      <c r="C53" s="10">
        <v>204040</v>
      </c>
      <c r="D53" s="10">
        <v>0</v>
      </c>
      <c r="E53" s="10">
        <v>25836</v>
      </c>
      <c r="F53" s="10">
        <v>0</v>
      </c>
      <c r="G53" s="10">
        <f>SUM(C53:F53)</f>
        <v>229876</v>
      </c>
      <c r="H53" s="16">
        <f>ROUND(G53/1228,2)</f>
        <v>187.2</v>
      </c>
      <c r="I53" s="9"/>
      <c r="J53" s="9"/>
    </row>
    <row r="54" spans="1:10" x14ac:dyDescent="0.25">
      <c r="A54" s="29" t="s">
        <v>56</v>
      </c>
      <c r="B54" s="29"/>
      <c r="C54" s="10">
        <v>0</v>
      </c>
      <c r="D54" s="10">
        <v>0</v>
      </c>
      <c r="E54" s="10">
        <v>0</v>
      </c>
      <c r="F54" s="10">
        <v>0</v>
      </c>
      <c r="G54" s="10">
        <f>SUM(C54:F54)</f>
        <v>0</v>
      </c>
      <c r="H54" s="16">
        <f>ROUND(G54/1228,2)</f>
        <v>0</v>
      </c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21"/>
      <c r="H57" s="8"/>
      <c r="I57" s="9"/>
      <c r="J57" s="9"/>
    </row>
    <row r="58" spans="1:10" x14ac:dyDescent="0.25">
      <c r="C58" s="8"/>
      <c r="D58" s="8"/>
      <c r="E58" s="8"/>
      <c r="F58" s="8"/>
      <c r="G58" s="21"/>
      <c r="H58" s="8"/>
      <c r="I58" s="9"/>
      <c r="J58" s="9"/>
    </row>
    <row r="59" spans="1:10" x14ac:dyDescent="0.25">
      <c r="A59" s="30" t="s">
        <v>57</v>
      </c>
      <c r="B59" s="30"/>
      <c r="C59" s="14" t="s">
        <v>2</v>
      </c>
      <c r="D59" s="14">
        <v>2023</v>
      </c>
      <c r="E59" s="14" t="s">
        <v>59</v>
      </c>
      <c r="F59" s="13"/>
      <c r="G59" s="14" t="s">
        <v>60</v>
      </c>
      <c r="H59" s="14" t="s">
        <v>2</v>
      </c>
      <c r="I59" s="12" t="s">
        <v>61</v>
      </c>
      <c r="J59" s="12" t="s">
        <v>59</v>
      </c>
    </row>
    <row r="60" spans="1:10" x14ac:dyDescent="0.25">
      <c r="A60" s="29" t="s">
        <v>58</v>
      </c>
      <c r="B60" s="29"/>
      <c r="C60" s="15">
        <f>ROUND(0.6217, 4)</f>
        <v>0.62170000000000003</v>
      </c>
      <c r="D60" s="15">
        <f>ROUND(0.7347, 4)</f>
        <v>0.73470000000000002</v>
      </c>
      <c r="E60" s="15">
        <f>ROUND(0.777, 4)</f>
        <v>0.77700000000000002</v>
      </c>
      <c r="F60" s="8"/>
      <c r="G60" s="14" t="s">
        <v>62</v>
      </c>
      <c r="H60" s="33" t="s">
        <v>63</v>
      </c>
      <c r="I60" s="31" t="s">
        <v>64</v>
      </c>
      <c r="J60" s="31" t="s">
        <v>65</v>
      </c>
    </row>
    <row r="61" spans="1:10" x14ac:dyDescent="0.25">
      <c r="A61" s="29" t="s">
        <v>66</v>
      </c>
      <c r="B61" s="29"/>
      <c r="C61" s="15">
        <f>ROUND(0.588, 4)</f>
        <v>0.58799999999999997</v>
      </c>
      <c r="D61" s="15">
        <f>ROUND(0.7053, 4)</f>
        <v>0.70530000000000004</v>
      </c>
      <c r="E61" s="15">
        <f>ROUND(0.7608, 4)</f>
        <v>0.76080000000000003</v>
      </c>
      <c r="F61" s="8"/>
      <c r="G61" s="14" t="s">
        <v>67</v>
      </c>
      <c r="H61" s="34"/>
      <c r="I61" s="32"/>
      <c r="J61" s="32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A65" s="30" t="s">
        <v>68</v>
      </c>
      <c r="B65" s="30"/>
      <c r="C65" s="14" t="s">
        <v>2</v>
      </c>
      <c r="D65" s="14" t="s">
        <v>322</v>
      </c>
      <c r="E65" s="14" t="s">
        <v>70</v>
      </c>
      <c r="F65" s="14" t="s">
        <v>71</v>
      </c>
      <c r="G65" s="14" t="s">
        <v>72</v>
      </c>
      <c r="H65" s="13"/>
      <c r="I65" s="17"/>
      <c r="J65" s="17"/>
    </row>
    <row r="66" spans="1:10" x14ac:dyDescent="0.25">
      <c r="A66" s="29" t="s">
        <v>73</v>
      </c>
      <c r="B66" s="29"/>
      <c r="C66" s="16">
        <v>166.16</v>
      </c>
      <c r="D66" s="16">
        <v>119.28</v>
      </c>
      <c r="E66" s="16">
        <v>93.87</v>
      </c>
      <c r="F66" s="16">
        <v>57.16</v>
      </c>
      <c r="G66" s="16">
        <f>12/12*C66</f>
        <v>166.16</v>
      </c>
      <c r="H66" s="8"/>
      <c r="I66" s="9"/>
      <c r="J66" s="9"/>
    </row>
    <row r="67" spans="1:10" x14ac:dyDescent="0.25">
      <c r="A67" s="29" t="s">
        <v>74</v>
      </c>
      <c r="B67" s="29"/>
      <c r="C67" s="16">
        <v>31.12</v>
      </c>
      <c r="D67" s="16">
        <v>48.03</v>
      </c>
      <c r="E67" s="16">
        <v>62.84</v>
      </c>
      <c r="F67" s="16">
        <v>65.39</v>
      </c>
      <c r="G67" s="16">
        <f>12/12*C67</f>
        <v>31.12</v>
      </c>
      <c r="H67" s="8"/>
      <c r="I67" s="9"/>
      <c r="J67" s="9"/>
    </row>
    <row r="68" spans="1:10" x14ac:dyDescent="0.25">
      <c r="A68" s="29" t="s">
        <v>75</v>
      </c>
      <c r="B68" s="29"/>
      <c r="C68" s="16">
        <v>294.36</v>
      </c>
      <c r="D68" s="16">
        <v>393.4</v>
      </c>
      <c r="E68" s="16">
        <v>295.08999999999997</v>
      </c>
      <c r="F68" s="16">
        <v>289.06</v>
      </c>
      <c r="G68" s="16">
        <f>12/12*C68</f>
        <v>294.36</v>
      </c>
      <c r="H68" s="8"/>
      <c r="I68" s="9"/>
      <c r="J68" s="9"/>
    </row>
    <row r="69" spans="1:10" x14ac:dyDescent="0.25">
      <c r="A69" s="29" t="s">
        <v>76</v>
      </c>
      <c r="B69" s="29"/>
      <c r="C69" s="1">
        <v>187.2</v>
      </c>
      <c r="D69" s="1">
        <v>143.94</v>
      </c>
      <c r="E69" s="1">
        <v>118.05</v>
      </c>
      <c r="F69" s="1">
        <v>81.41</v>
      </c>
      <c r="G69" s="1">
        <f>12/12*C69</f>
        <v>187.2</v>
      </c>
    </row>
    <row r="72" spans="1:10" x14ac:dyDescent="0.25">
      <c r="A72" s="28" t="s">
        <v>60</v>
      </c>
      <c r="B72" s="35"/>
    </row>
    <row r="73" spans="1:10" x14ac:dyDescent="0.25">
      <c r="A73" s="3" t="s">
        <v>77</v>
      </c>
      <c r="B73" s="1" t="s">
        <v>323</v>
      </c>
    </row>
    <row r="74" spans="1:10" x14ac:dyDescent="0.25">
      <c r="A74" s="3" t="s">
        <v>70</v>
      </c>
      <c r="B74" s="1" t="s">
        <v>79</v>
      </c>
    </row>
    <row r="75" spans="1:10" x14ac:dyDescent="0.25">
      <c r="A75" s="3" t="s">
        <v>71</v>
      </c>
      <c r="B75" s="1" t="s">
        <v>80</v>
      </c>
    </row>
    <row r="76" spans="1:10" x14ac:dyDescent="0.25">
      <c r="A76" s="3" t="s">
        <v>72</v>
      </c>
      <c r="B76" s="1" t="s">
        <v>81</v>
      </c>
    </row>
  </sheetData>
  <mergeCells count="19">
    <mergeCell ref="A67:B67"/>
    <mergeCell ref="A68:B68"/>
    <mergeCell ref="A69:B69"/>
    <mergeCell ref="A72:B72"/>
    <mergeCell ref="I60:I61"/>
    <mergeCell ref="J60:J61"/>
    <mergeCell ref="A61:B61"/>
    <mergeCell ref="A65:B65"/>
    <mergeCell ref="A66:B66"/>
    <mergeCell ref="A53:B53"/>
    <mergeCell ref="A54:B54"/>
    <mergeCell ref="A59:B59"/>
    <mergeCell ref="A60:B60"/>
    <mergeCell ref="H60:H61"/>
    <mergeCell ref="C7:G7"/>
    <mergeCell ref="A45:B45"/>
    <mergeCell ref="A46:B46"/>
    <mergeCell ref="A51:B51"/>
    <mergeCell ref="A52:B52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2:J68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2.425781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324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568</v>
      </c>
    </row>
    <row r="7" spans="1:10" x14ac:dyDescent="0.25">
      <c r="C7" s="28" t="s">
        <v>5</v>
      </c>
      <c r="D7" s="29"/>
      <c r="E7" s="29"/>
      <c r="F7" s="29"/>
      <c r="G7" s="29"/>
    </row>
    <row r="8" spans="1:10" x14ac:dyDescent="0.25">
      <c r="A8" s="25" t="s">
        <v>6</v>
      </c>
      <c r="B8" s="25" t="s">
        <v>7</v>
      </c>
      <c r="C8" s="27" t="s">
        <v>8</v>
      </c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</row>
    <row r="9" spans="1:10" x14ac:dyDescent="0.25">
      <c r="A9" s="1" t="s">
        <v>16</v>
      </c>
      <c r="B9" s="1" t="s">
        <v>19</v>
      </c>
      <c r="C9" s="10">
        <v>18250</v>
      </c>
      <c r="D9" s="10"/>
      <c r="E9" s="10"/>
      <c r="F9" s="10"/>
      <c r="G9" s="10">
        <f t="shared" ref="G9:G36" si="0">SUM(C9:F9)</f>
        <v>18250</v>
      </c>
      <c r="H9" s="16">
        <f t="shared" ref="H9:H36" si="1">ROUND(G9/568,2)</f>
        <v>32.130000000000003</v>
      </c>
      <c r="I9" s="15">
        <f t="shared" ref="I9:I36" si="2">ROUND(G9/$G$37,3)</f>
        <v>9.2999999999999999E-2</v>
      </c>
      <c r="J9" s="15">
        <f>ROUND(G9/21230-1,2)</f>
        <v>-0.14000000000000001</v>
      </c>
    </row>
    <row r="10" spans="1:10" x14ac:dyDescent="0.25">
      <c r="A10" s="1" t="s">
        <v>16</v>
      </c>
      <c r="B10" s="1" t="s">
        <v>20</v>
      </c>
      <c r="C10" s="10">
        <v>31190</v>
      </c>
      <c r="D10" s="10"/>
      <c r="E10" s="10"/>
      <c r="F10" s="10"/>
      <c r="G10" s="10">
        <f t="shared" si="0"/>
        <v>31190</v>
      </c>
      <c r="H10" s="16">
        <f t="shared" si="1"/>
        <v>54.91</v>
      </c>
      <c r="I10" s="15">
        <f t="shared" si="2"/>
        <v>0.16</v>
      </c>
      <c r="J10" s="15">
        <f>ROUND(G10/30590-1,2)</f>
        <v>0.02</v>
      </c>
    </row>
    <row r="11" spans="1:10" x14ac:dyDescent="0.25">
      <c r="A11" s="1" t="s">
        <v>16</v>
      </c>
      <c r="B11" s="1" t="s">
        <v>95</v>
      </c>
      <c r="C11" s="10"/>
      <c r="D11" s="10"/>
      <c r="E11" s="10"/>
      <c r="F11" s="10">
        <v>30</v>
      </c>
      <c r="G11" s="10">
        <f t="shared" si="0"/>
        <v>30</v>
      </c>
      <c r="H11" s="16">
        <f t="shared" si="1"/>
        <v>0.05</v>
      </c>
      <c r="I11" s="15">
        <f t="shared" si="2"/>
        <v>0</v>
      </c>
      <c r="J11" s="15">
        <f>ROUND(G11/43-1,2)</f>
        <v>-0.3</v>
      </c>
    </row>
    <row r="12" spans="1:10" x14ac:dyDescent="0.25">
      <c r="A12" s="1" t="s">
        <v>16</v>
      </c>
      <c r="B12" s="1" t="s">
        <v>21</v>
      </c>
      <c r="C12" s="10"/>
      <c r="D12" s="10"/>
      <c r="E12" s="10"/>
      <c r="F12" s="10">
        <v>47</v>
      </c>
      <c r="G12" s="10">
        <f t="shared" si="0"/>
        <v>47</v>
      </c>
      <c r="H12" s="16">
        <f t="shared" si="1"/>
        <v>0.08</v>
      </c>
      <c r="I12" s="15">
        <f t="shared" si="2"/>
        <v>0</v>
      </c>
      <c r="J12" s="15">
        <f>ROUND(G12/34-1,2)</f>
        <v>0.38</v>
      </c>
    </row>
    <row r="13" spans="1:10" x14ac:dyDescent="0.25">
      <c r="A13" s="1" t="s">
        <v>16</v>
      </c>
      <c r="B13" s="1" t="s">
        <v>24</v>
      </c>
      <c r="C13" s="10">
        <v>20340</v>
      </c>
      <c r="D13" s="10"/>
      <c r="E13" s="10"/>
      <c r="F13" s="10"/>
      <c r="G13" s="10">
        <f t="shared" si="0"/>
        <v>20340</v>
      </c>
      <c r="H13" s="16">
        <f t="shared" si="1"/>
        <v>35.81</v>
      </c>
      <c r="I13" s="15">
        <f t="shared" si="2"/>
        <v>0.104</v>
      </c>
      <c r="J13" s="15">
        <f>ROUND(G13/19240-1,2)</f>
        <v>0.06</v>
      </c>
    </row>
    <row r="14" spans="1:10" x14ac:dyDescent="0.25">
      <c r="A14" s="1" t="s">
        <v>16</v>
      </c>
      <c r="B14" s="1" t="s">
        <v>25</v>
      </c>
      <c r="C14" s="10"/>
      <c r="D14" s="10"/>
      <c r="E14" s="10">
        <v>1000</v>
      </c>
      <c r="F14" s="10"/>
      <c r="G14" s="10">
        <f t="shared" si="0"/>
        <v>1000</v>
      </c>
      <c r="H14" s="16">
        <f t="shared" si="1"/>
        <v>1.76</v>
      </c>
      <c r="I14" s="15">
        <f t="shared" si="2"/>
        <v>5.0000000000000001E-3</v>
      </c>
      <c r="J14" s="15"/>
    </row>
    <row r="15" spans="1:10" x14ac:dyDescent="0.25">
      <c r="A15" s="1" t="s">
        <v>16</v>
      </c>
      <c r="B15" s="1" t="s">
        <v>26</v>
      </c>
      <c r="C15" s="10">
        <v>28080</v>
      </c>
      <c r="D15" s="10"/>
      <c r="E15" s="10"/>
      <c r="F15" s="10">
        <v>240</v>
      </c>
      <c r="G15" s="10">
        <f t="shared" si="0"/>
        <v>28320</v>
      </c>
      <c r="H15" s="16">
        <f t="shared" si="1"/>
        <v>49.86</v>
      </c>
      <c r="I15" s="15">
        <f t="shared" si="2"/>
        <v>0.14499999999999999</v>
      </c>
      <c r="J15" s="15">
        <f>ROUND(G15/25920-1,2)</f>
        <v>0.09</v>
      </c>
    </row>
    <row r="16" spans="1:10" x14ac:dyDescent="0.25">
      <c r="A16" s="1" t="s">
        <v>16</v>
      </c>
      <c r="B16" s="1" t="s">
        <v>27</v>
      </c>
      <c r="C16" s="10"/>
      <c r="D16" s="10"/>
      <c r="E16" s="10">
        <v>999</v>
      </c>
      <c r="F16" s="10"/>
      <c r="G16" s="10">
        <f t="shared" si="0"/>
        <v>999</v>
      </c>
      <c r="H16" s="16">
        <f t="shared" si="1"/>
        <v>1.76</v>
      </c>
      <c r="I16" s="15">
        <f t="shared" si="2"/>
        <v>5.0000000000000001E-3</v>
      </c>
      <c r="J16" s="15">
        <f>ROUND(G16/920-1,2)</f>
        <v>0.09</v>
      </c>
    </row>
    <row r="17" spans="1:10" x14ac:dyDescent="0.25">
      <c r="A17" s="1" t="s">
        <v>16</v>
      </c>
      <c r="B17" s="1" t="s">
        <v>42</v>
      </c>
      <c r="C17" s="10"/>
      <c r="D17" s="10"/>
      <c r="E17" s="10">
        <v>20</v>
      </c>
      <c r="F17" s="10"/>
      <c r="G17" s="10">
        <f t="shared" si="0"/>
        <v>20</v>
      </c>
      <c r="H17" s="16">
        <f t="shared" si="1"/>
        <v>0.04</v>
      </c>
      <c r="I17" s="15">
        <f t="shared" si="2"/>
        <v>0</v>
      </c>
      <c r="J17" s="15">
        <f>ROUND(G17/20-1,2)</f>
        <v>0</v>
      </c>
    </row>
    <row r="18" spans="1:10" x14ac:dyDescent="0.25">
      <c r="A18" s="1" t="s">
        <v>16</v>
      </c>
      <c r="B18" s="1" t="s">
        <v>30</v>
      </c>
      <c r="C18" s="10"/>
      <c r="D18" s="10"/>
      <c r="E18" s="10">
        <v>90</v>
      </c>
      <c r="F18" s="10">
        <v>40</v>
      </c>
      <c r="G18" s="10">
        <f t="shared" si="0"/>
        <v>130</v>
      </c>
      <c r="H18" s="16">
        <f t="shared" si="1"/>
        <v>0.23</v>
      </c>
      <c r="I18" s="15">
        <f t="shared" si="2"/>
        <v>1E-3</v>
      </c>
      <c r="J18" s="15">
        <f>ROUND(G18/180-1,2)</f>
        <v>-0.28000000000000003</v>
      </c>
    </row>
    <row r="19" spans="1:10" x14ac:dyDescent="0.25">
      <c r="A19" s="1" t="s">
        <v>16</v>
      </c>
      <c r="B19" s="1" t="s">
        <v>31</v>
      </c>
      <c r="C19" s="10"/>
      <c r="D19" s="10"/>
      <c r="E19" s="10">
        <v>80</v>
      </c>
      <c r="F19" s="10">
        <v>50</v>
      </c>
      <c r="G19" s="10">
        <f t="shared" si="0"/>
        <v>130</v>
      </c>
      <c r="H19" s="16">
        <f t="shared" si="1"/>
        <v>0.23</v>
      </c>
      <c r="I19" s="15">
        <f t="shared" si="2"/>
        <v>1E-3</v>
      </c>
      <c r="J19" s="15">
        <f>ROUND(G19/240-1,2)</f>
        <v>-0.46</v>
      </c>
    </row>
    <row r="20" spans="1:10" x14ac:dyDescent="0.25">
      <c r="A20" s="1" t="s">
        <v>16</v>
      </c>
      <c r="B20" s="1" t="s">
        <v>32</v>
      </c>
      <c r="C20" s="10"/>
      <c r="D20" s="10"/>
      <c r="E20" s="10"/>
      <c r="F20" s="10">
        <v>565</v>
      </c>
      <c r="G20" s="10">
        <f t="shared" si="0"/>
        <v>565</v>
      </c>
      <c r="H20" s="16">
        <f t="shared" si="1"/>
        <v>0.99</v>
      </c>
      <c r="I20" s="15">
        <f t="shared" si="2"/>
        <v>3.0000000000000001E-3</v>
      </c>
      <c r="J20" s="15">
        <f>ROUND(G20/440-1,2)</f>
        <v>0.28000000000000003</v>
      </c>
    </row>
    <row r="21" spans="1:10" x14ac:dyDescent="0.25">
      <c r="A21" s="1" t="s">
        <v>16</v>
      </c>
      <c r="B21" s="1" t="s">
        <v>33</v>
      </c>
      <c r="C21" s="10"/>
      <c r="D21" s="10">
        <v>52</v>
      </c>
      <c r="E21" s="10"/>
      <c r="F21" s="10"/>
      <c r="G21" s="10">
        <f t="shared" si="0"/>
        <v>52</v>
      </c>
      <c r="H21" s="16">
        <f t="shared" si="1"/>
        <v>0.09</v>
      </c>
      <c r="I21" s="15">
        <f t="shared" si="2"/>
        <v>0</v>
      </c>
      <c r="J21" s="15">
        <f>ROUND(G21/48-1,2)</f>
        <v>0.08</v>
      </c>
    </row>
    <row r="22" spans="1:10" x14ac:dyDescent="0.25">
      <c r="A22" s="1" t="s">
        <v>16</v>
      </c>
      <c r="B22" s="1" t="s">
        <v>35</v>
      </c>
      <c r="C22" s="10"/>
      <c r="D22" s="10">
        <v>25</v>
      </c>
      <c r="E22" s="10"/>
      <c r="F22" s="10">
        <v>303</v>
      </c>
      <c r="G22" s="10">
        <f t="shared" si="0"/>
        <v>328</v>
      </c>
      <c r="H22" s="16">
        <f t="shared" si="1"/>
        <v>0.57999999999999996</v>
      </c>
      <c r="I22" s="15">
        <f t="shared" si="2"/>
        <v>2E-3</v>
      </c>
      <c r="J22" s="15">
        <f>ROUND(G22/441-1,2)</f>
        <v>-0.26</v>
      </c>
    </row>
    <row r="23" spans="1:10" x14ac:dyDescent="0.25">
      <c r="A23" s="1" t="s">
        <v>16</v>
      </c>
      <c r="B23" s="1" t="s">
        <v>36</v>
      </c>
      <c r="C23" s="10"/>
      <c r="D23" s="10"/>
      <c r="E23" s="10"/>
      <c r="F23" s="10">
        <v>130</v>
      </c>
      <c r="G23" s="10">
        <f t="shared" si="0"/>
        <v>130</v>
      </c>
      <c r="H23" s="16">
        <f t="shared" si="1"/>
        <v>0.23</v>
      </c>
      <c r="I23" s="15">
        <f t="shared" si="2"/>
        <v>1E-3</v>
      </c>
      <c r="J23" s="15">
        <f>ROUND(G23/630-1,2)</f>
        <v>-0.79</v>
      </c>
    </row>
    <row r="24" spans="1:10" x14ac:dyDescent="0.25">
      <c r="A24" s="1" t="s">
        <v>16</v>
      </c>
      <c r="B24" s="1" t="s">
        <v>43</v>
      </c>
      <c r="C24" s="10"/>
      <c r="D24" s="10"/>
      <c r="E24" s="10"/>
      <c r="F24" s="10">
        <v>460</v>
      </c>
      <c r="G24" s="10">
        <f t="shared" si="0"/>
        <v>460</v>
      </c>
      <c r="H24" s="16">
        <f t="shared" si="1"/>
        <v>0.81</v>
      </c>
      <c r="I24" s="15">
        <f t="shared" si="2"/>
        <v>2E-3</v>
      </c>
      <c r="J24" s="15">
        <f>ROUND(G24/675-1,2)</f>
        <v>-0.32</v>
      </c>
    </row>
    <row r="25" spans="1:10" x14ac:dyDescent="0.25">
      <c r="A25" s="1" t="s">
        <v>16</v>
      </c>
      <c r="B25" s="1" t="s">
        <v>37</v>
      </c>
      <c r="C25" s="10"/>
      <c r="D25" s="10"/>
      <c r="E25" s="10"/>
      <c r="F25" s="10">
        <v>960</v>
      </c>
      <c r="G25" s="10">
        <f t="shared" si="0"/>
        <v>960</v>
      </c>
      <c r="H25" s="16">
        <f t="shared" si="1"/>
        <v>1.69</v>
      </c>
      <c r="I25" s="15">
        <f t="shared" si="2"/>
        <v>5.0000000000000001E-3</v>
      </c>
      <c r="J25" s="15">
        <f>ROUND(G25/1210-1,2)</f>
        <v>-0.21</v>
      </c>
    </row>
    <row r="26" spans="1:10" x14ac:dyDescent="0.25">
      <c r="A26" s="1" t="s">
        <v>16</v>
      </c>
      <c r="B26" s="1" t="s">
        <v>38</v>
      </c>
      <c r="C26" s="10"/>
      <c r="D26" s="10"/>
      <c r="E26" s="10">
        <v>15980</v>
      </c>
      <c r="F26" s="10"/>
      <c r="G26" s="10">
        <f t="shared" si="0"/>
        <v>15980</v>
      </c>
      <c r="H26" s="16">
        <f t="shared" si="1"/>
        <v>28.13</v>
      </c>
      <c r="I26" s="15">
        <f t="shared" si="2"/>
        <v>8.2000000000000003E-2</v>
      </c>
      <c r="J26" s="15">
        <f>ROUND(G26/16040-1,2)</f>
        <v>0</v>
      </c>
    </row>
    <row r="27" spans="1:10" x14ac:dyDescent="0.25">
      <c r="A27" s="1" t="s">
        <v>16</v>
      </c>
      <c r="B27" s="1" t="s">
        <v>39</v>
      </c>
      <c r="C27" s="10"/>
      <c r="D27" s="10"/>
      <c r="E27" s="10">
        <v>2770</v>
      </c>
      <c r="F27" s="10"/>
      <c r="G27" s="10">
        <f t="shared" si="0"/>
        <v>2770</v>
      </c>
      <c r="H27" s="16">
        <f t="shared" si="1"/>
        <v>4.88</v>
      </c>
      <c r="I27" s="15">
        <f t="shared" si="2"/>
        <v>1.4E-2</v>
      </c>
      <c r="J27" s="15">
        <f>ROUND(G27/1430-1,2)</f>
        <v>0.94</v>
      </c>
    </row>
    <row r="28" spans="1:10" x14ac:dyDescent="0.25">
      <c r="A28" s="1" t="s">
        <v>16</v>
      </c>
      <c r="B28" s="1" t="s">
        <v>40</v>
      </c>
      <c r="C28" s="10"/>
      <c r="D28" s="10"/>
      <c r="E28" s="10">
        <v>5170</v>
      </c>
      <c r="F28" s="10"/>
      <c r="G28" s="10">
        <f t="shared" si="0"/>
        <v>5170</v>
      </c>
      <c r="H28" s="16">
        <f t="shared" si="1"/>
        <v>9.1</v>
      </c>
      <c r="I28" s="15">
        <f t="shared" si="2"/>
        <v>2.5999999999999999E-2</v>
      </c>
      <c r="J28" s="15">
        <f>ROUND(G28/3070-1,2)</f>
        <v>0.68</v>
      </c>
    </row>
    <row r="29" spans="1:10" x14ac:dyDescent="0.25">
      <c r="A29" s="1" t="s">
        <v>16</v>
      </c>
      <c r="B29" s="1" t="s">
        <v>29</v>
      </c>
      <c r="C29" s="10"/>
      <c r="D29" s="10"/>
      <c r="E29" s="10"/>
      <c r="F29" s="10"/>
      <c r="G29" s="10">
        <f t="shared" si="0"/>
        <v>0</v>
      </c>
      <c r="H29" s="16">
        <f t="shared" si="1"/>
        <v>0</v>
      </c>
      <c r="I29" s="15">
        <f t="shared" si="2"/>
        <v>0</v>
      </c>
      <c r="J29" s="15">
        <f>ROUND(G29/940-1,2)</f>
        <v>-1</v>
      </c>
    </row>
    <row r="30" spans="1:10" x14ac:dyDescent="0.25">
      <c r="A30" s="1" t="s">
        <v>16</v>
      </c>
      <c r="B30" s="1" t="s">
        <v>34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/>
    </row>
    <row r="31" spans="1:10" x14ac:dyDescent="0.25">
      <c r="A31" s="1" t="s">
        <v>16</v>
      </c>
      <c r="B31" s="1" t="s">
        <v>22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/>
    </row>
    <row r="32" spans="1:10" x14ac:dyDescent="0.25">
      <c r="A32" s="1" t="s">
        <v>44</v>
      </c>
      <c r="B32" s="1" t="s">
        <v>45</v>
      </c>
      <c r="C32" s="10">
        <v>58070</v>
      </c>
      <c r="D32" s="10"/>
      <c r="E32" s="10"/>
      <c r="F32" s="10"/>
      <c r="G32" s="10">
        <f t="shared" si="0"/>
        <v>58070</v>
      </c>
      <c r="H32" s="16">
        <f t="shared" si="1"/>
        <v>102.24</v>
      </c>
      <c r="I32" s="15">
        <f t="shared" si="2"/>
        <v>0.29699999999999999</v>
      </c>
      <c r="J32" s="15">
        <f>ROUND(G32/60435-1,2)</f>
        <v>-0.04</v>
      </c>
    </row>
    <row r="33" spans="1:10" x14ac:dyDescent="0.25">
      <c r="A33" s="1" t="s">
        <v>44</v>
      </c>
      <c r="B33" s="1" t="s">
        <v>46</v>
      </c>
      <c r="C33" s="10"/>
      <c r="D33" s="10"/>
      <c r="E33" s="10">
        <v>10540</v>
      </c>
      <c r="F33" s="10"/>
      <c r="G33" s="10">
        <f t="shared" si="0"/>
        <v>10540</v>
      </c>
      <c r="H33" s="16">
        <f t="shared" si="1"/>
        <v>18.559999999999999</v>
      </c>
      <c r="I33" s="15">
        <f t="shared" si="2"/>
        <v>5.3999999999999999E-2</v>
      </c>
      <c r="J33" s="15">
        <f>ROUND(G33/5760-1,2)</f>
        <v>0.83</v>
      </c>
    </row>
    <row r="34" spans="1:10" x14ac:dyDescent="0.25">
      <c r="A34" s="1" t="s">
        <v>44</v>
      </c>
      <c r="B34" s="1" t="s">
        <v>47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/>
    </row>
    <row r="35" spans="1:10" x14ac:dyDescent="0.25">
      <c r="A35" s="1" t="s">
        <v>48</v>
      </c>
      <c r="B35" s="1" t="s">
        <v>49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48</v>
      </c>
      <c r="B36" s="1" t="s">
        <v>86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/>
    </row>
    <row r="37" spans="1:10" x14ac:dyDescent="0.25">
      <c r="A37" s="30" t="s">
        <v>12</v>
      </c>
      <c r="B37" s="30"/>
      <c r="C37" s="11">
        <f t="shared" ref="C37:H37" si="3">SUM(C8:C36)</f>
        <v>155930</v>
      </c>
      <c r="D37" s="11">
        <f t="shared" si="3"/>
        <v>77</v>
      </c>
      <c r="E37" s="11">
        <f t="shared" si="3"/>
        <v>36649</v>
      </c>
      <c r="F37" s="11">
        <f t="shared" si="3"/>
        <v>2825</v>
      </c>
      <c r="G37" s="11">
        <f t="shared" si="3"/>
        <v>195481</v>
      </c>
      <c r="H37" s="14">
        <f t="shared" si="3"/>
        <v>344.15999999999997</v>
      </c>
      <c r="I37" s="17"/>
      <c r="J37" s="17"/>
    </row>
    <row r="38" spans="1:10" x14ac:dyDescent="0.25">
      <c r="A38" s="30" t="s">
        <v>14</v>
      </c>
      <c r="B38" s="30"/>
      <c r="C38" s="12">
        <f>ROUND(C37/G37,2)</f>
        <v>0.8</v>
      </c>
      <c r="D38" s="12">
        <f>ROUND(D37/G37,2)</f>
        <v>0</v>
      </c>
      <c r="E38" s="12">
        <f>ROUND(E37/G37,2)</f>
        <v>0.19</v>
      </c>
      <c r="F38" s="12">
        <f>ROUND(F37/G37,2)</f>
        <v>0.01</v>
      </c>
      <c r="G38" s="13"/>
      <c r="H38" s="13"/>
      <c r="I38" s="17"/>
      <c r="J38" s="17"/>
    </row>
    <row r="39" spans="1:10" x14ac:dyDescent="0.25">
      <c r="A39" s="2" t="s">
        <v>52</v>
      </c>
      <c r="B39" s="2"/>
      <c r="C39" s="13"/>
      <c r="D39" s="13"/>
      <c r="E39" s="13"/>
      <c r="F39" s="13"/>
      <c r="G39" s="13"/>
      <c r="H39" s="13"/>
      <c r="I39" s="17"/>
      <c r="J39" s="17"/>
    </row>
    <row r="40" spans="1:10" x14ac:dyDescent="0.25">
      <c r="C40" s="8"/>
      <c r="D40" s="8"/>
      <c r="E40" s="8"/>
      <c r="F40" s="8"/>
      <c r="G40" s="8"/>
      <c r="H40" s="8"/>
      <c r="I40" s="9"/>
      <c r="J40" s="9"/>
    </row>
    <row r="41" spans="1:10" x14ac:dyDescent="0.25">
      <c r="C41" s="8"/>
      <c r="D41" s="8"/>
      <c r="E41" s="8"/>
      <c r="F41" s="8"/>
      <c r="G41" s="8"/>
      <c r="H41" s="8"/>
      <c r="I41" s="9"/>
      <c r="J41" s="9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A43" s="30" t="s">
        <v>53</v>
      </c>
      <c r="B43" s="30"/>
      <c r="C43" s="11" t="s">
        <v>8</v>
      </c>
      <c r="D43" s="11" t="s">
        <v>9</v>
      </c>
      <c r="E43" s="11" t="s">
        <v>10</v>
      </c>
      <c r="F43" s="11" t="s">
        <v>11</v>
      </c>
      <c r="G43" s="11" t="s">
        <v>12</v>
      </c>
      <c r="H43" s="14" t="s">
        <v>13</v>
      </c>
      <c r="I43" s="17"/>
      <c r="J43" s="17"/>
    </row>
    <row r="44" spans="1:10" x14ac:dyDescent="0.25">
      <c r="A44" s="29" t="s">
        <v>54</v>
      </c>
      <c r="B44" s="29"/>
      <c r="C44" s="10">
        <v>97860</v>
      </c>
      <c r="D44" s="10">
        <v>77</v>
      </c>
      <c r="E44" s="10">
        <v>26109</v>
      </c>
      <c r="F44" s="10">
        <v>2825</v>
      </c>
      <c r="G44" s="10">
        <f>SUM(C44:F44)</f>
        <v>126871</v>
      </c>
      <c r="H44" s="16">
        <f>ROUND(G44/568,2)</f>
        <v>223.36</v>
      </c>
      <c r="I44" s="9"/>
      <c r="J44" s="9"/>
    </row>
    <row r="45" spans="1:10" x14ac:dyDescent="0.25">
      <c r="A45" s="29" t="s">
        <v>55</v>
      </c>
      <c r="B45" s="29"/>
      <c r="C45" s="10">
        <v>58070</v>
      </c>
      <c r="D45" s="10">
        <v>0</v>
      </c>
      <c r="E45" s="10">
        <v>10540</v>
      </c>
      <c r="F45" s="10">
        <v>0</v>
      </c>
      <c r="G45" s="10">
        <f>SUM(C45:F45)</f>
        <v>68610</v>
      </c>
      <c r="H45" s="16">
        <f>ROUND(G45/568,2)</f>
        <v>120.79</v>
      </c>
      <c r="I45" s="9"/>
      <c r="J45" s="9"/>
    </row>
    <row r="46" spans="1:10" x14ac:dyDescent="0.25">
      <c r="A46" s="29" t="s">
        <v>56</v>
      </c>
      <c r="B46" s="29"/>
      <c r="C46" s="10">
        <v>0</v>
      </c>
      <c r="D46" s="10">
        <v>0</v>
      </c>
      <c r="E46" s="10">
        <v>0</v>
      </c>
      <c r="F46" s="10">
        <v>0</v>
      </c>
      <c r="G46" s="10">
        <f>SUM(C46:F46)</f>
        <v>0</v>
      </c>
      <c r="H46" s="16">
        <f>ROUND(G46/568,2)</f>
        <v>0</v>
      </c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A51" s="30" t="s">
        <v>57</v>
      </c>
      <c r="B51" s="30"/>
      <c r="C51" s="14" t="s">
        <v>2</v>
      </c>
      <c r="D51" s="14">
        <v>2023</v>
      </c>
      <c r="E51" s="14" t="s">
        <v>59</v>
      </c>
      <c r="F51" s="13"/>
      <c r="G51" s="14" t="s">
        <v>60</v>
      </c>
      <c r="H51" s="14" t="s">
        <v>2</v>
      </c>
      <c r="I51" s="12" t="s">
        <v>61</v>
      </c>
      <c r="J51" s="12" t="s">
        <v>59</v>
      </c>
    </row>
    <row r="52" spans="1:10" x14ac:dyDescent="0.25">
      <c r="A52" s="29" t="s">
        <v>58</v>
      </c>
      <c r="B52" s="29"/>
      <c r="C52" s="15">
        <f>ROUND(0.6971, 4)</f>
        <v>0.69710000000000005</v>
      </c>
      <c r="D52" s="15">
        <f>ROUND(0.6779, 4)</f>
        <v>0.67789999999999995</v>
      </c>
      <c r="E52" s="15">
        <f>ROUND(0.777, 4)</f>
        <v>0.77700000000000002</v>
      </c>
      <c r="F52" s="8"/>
      <c r="G52" s="14" t="s">
        <v>62</v>
      </c>
      <c r="H52" s="33" t="s">
        <v>63</v>
      </c>
      <c r="I52" s="31" t="s">
        <v>64</v>
      </c>
      <c r="J52" s="31" t="s">
        <v>65</v>
      </c>
    </row>
    <row r="53" spans="1:10" x14ac:dyDescent="0.25">
      <c r="A53" s="29" t="s">
        <v>66</v>
      </c>
      <c r="B53" s="29"/>
      <c r="C53" s="15">
        <f>ROUND(0.6851, 4)</f>
        <v>0.68510000000000004</v>
      </c>
      <c r="D53" s="15">
        <f>ROUND(0.6635, 4)</f>
        <v>0.66349999999999998</v>
      </c>
      <c r="E53" s="15">
        <f>ROUND(0.7608, 4)</f>
        <v>0.76080000000000003</v>
      </c>
      <c r="F53" s="8"/>
      <c r="G53" s="14" t="s">
        <v>67</v>
      </c>
      <c r="H53" s="34"/>
      <c r="I53" s="32"/>
      <c r="J53" s="32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A57" s="30" t="s">
        <v>68</v>
      </c>
      <c r="B57" s="30"/>
      <c r="C57" s="14" t="s">
        <v>2</v>
      </c>
      <c r="D57" s="14" t="s">
        <v>325</v>
      </c>
      <c r="E57" s="14" t="s">
        <v>70</v>
      </c>
      <c r="F57" s="14" t="s">
        <v>71</v>
      </c>
      <c r="G57" s="20" t="s">
        <v>72</v>
      </c>
      <c r="H57" s="13"/>
      <c r="I57" s="17"/>
      <c r="J57" s="17"/>
    </row>
    <row r="58" spans="1:10" x14ac:dyDescent="0.25">
      <c r="A58" s="29" t="s">
        <v>73</v>
      </c>
      <c r="B58" s="29"/>
      <c r="C58" s="16">
        <v>102.24</v>
      </c>
      <c r="D58" s="16">
        <v>105.5</v>
      </c>
      <c r="E58" s="16">
        <v>93.87</v>
      </c>
      <c r="F58" s="16">
        <v>57.16</v>
      </c>
      <c r="G58" s="22">
        <f>12/12*C58</f>
        <v>102.24</v>
      </c>
      <c r="H58" s="8"/>
      <c r="I58" s="9"/>
      <c r="J58" s="9"/>
    </row>
    <row r="59" spans="1:10" x14ac:dyDescent="0.25">
      <c r="A59" s="29" t="s">
        <v>74</v>
      </c>
      <c r="B59" s="29"/>
      <c r="C59" s="16">
        <v>49.86</v>
      </c>
      <c r="D59" s="16">
        <v>46.39</v>
      </c>
      <c r="E59" s="16">
        <v>62.84</v>
      </c>
      <c r="F59" s="16">
        <v>65.39</v>
      </c>
      <c r="G59" s="16">
        <f>12/12*C59</f>
        <v>49.86</v>
      </c>
      <c r="H59" s="8"/>
      <c r="I59" s="9"/>
      <c r="J59" s="9"/>
    </row>
    <row r="60" spans="1:10" x14ac:dyDescent="0.25">
      <c r="A60" s="29" t="s">
        <v>75</v>
      </c>
      <c r="B60" s="29"/>
      <c r="C60" s="16">
        <v>223.36</v>
      </c>
      <c r="D60" s="16">
        <v>208.33</v>
      </c>
      <c r="E60" s="16">
        <v>295.08999999999997</v>
      </c>
      <c r="F60" s="16">
        <v>289.06</v>
      </c>
      <c r="G60" s="16">
        <f>12/12*C60</f>
        <v>223.36</v>
      </c>
      <c r="H60" s="8"/>
      <c r="I60" s="9"/>
      <c r="J60" s="9"/>
    </row>
    <row r="61" spans="1:10" x14ac:dyDescent="0.25">
      <c r="A61" s="29" t="s">
        <v>76</v>
      </c>
      <c r="B61" s="29"/>
      <c r="C61" s="16">
        <v>120.79</v>
      </c>
      <c r="D61" s="16">
        <v>121.17</v>
      </c>
      <c r="E61" s="16">
        <v>118.05</v>
      </c>
      <c r="F61" s="16">
        <v>81.41</v>
      </c>
      <c r="G61" s="16">
        <f>12/12*C61</f>
        <v>120.79</v>
      </c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A64" s="28" t="s">
        <v>60</v>
      </c>
      <c r="B64" s="35"/>
      <c r="C64" s="8"/>
      <c r="D64" s="8"/>
      <c r="E64" s="8"/>
      <c r="F64" s="8"/>
      <c r="G64" s="8"/>
      <c r="H64" s="8"/>
      <c r="I64" s="9"/>
      <c r="J64" s="9"/>
    </row>
    <row r="65" spans="1:10" x14ac:dyDescent="0.25">
      <c r="A65" s="3" t="s">
        <v>77</v>
      </c>
      <c r="B65" s="1" t="s">
        <v>326</v>
      </c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3" t="s">
        <v>70</v>
      </c>
      <c r="B66" s="1" t="s">
        <v>79</v>
      </c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71</v>
      </c>
      <c r="B67" s="1" t="s">
        <v>80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72</v>
      </c>
      <c r="B68" s="1" t="s">
        <v>81</v>
      </c>
    </row>
  </sheetData>
  <mergeCells count="19">
    <mergeCell ref="A59:B59"/>
    <mergeCell ref="A60:B60"/>
    <mergeCell ref="A61:B61"/>
    <mergeCell ref="A64:B64"/>
    <mergeCell ref="I52:I53"/>
    <mergeCell ref="J52:J53"/>
    <mergeCell ref="A53:B53"/>
    <mergeCell ref="A57:B57"/>
    <mergeCell ref="A58:B58"/>
    <mergeCell ref="A45:B45"/>
    <mergeCell ref="A46:B46"/>
    <mergeCell ref="A51:B51"/>
    <mergeCell ref="A52:B52"/>
    <mergeCell ref="H52:H53"/>
    <mergeCell ref="C7:G7"/>
    <mergeCell ref="A37:B37"/>
    <mergeCell ref="A38:B38"/>
    <mergeCell ref="A43:B43"/>
    <mergeCell ref="A44:B4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2:J79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3.8554687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327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8842</v>
      </c>
    </row>
    <row r="7" spans="1:10" x14ac:dyDescent="0.25">
      <c r="C7" s="28" t="s">
        <v>5</v>
      </c>
      <c r="D7" s="29"/>
      <c r="E7" s="29"/>
      <c r="F7" s="29"/>
      <c r="G7" s="29"/>
    </row>
    <row r="8" spans="1:10" x14ac:dyDescent="0.25">
      <c r="A8" s="25" t="s">
        <v>6</v>
      </c>
      <c r="B8" s="25" t="s">
        <v>7</v>
      </c>
      <c r="C8" s="27" t="s">
        <v>8</v>
      </c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114</v>
      </c>
      <c r="F9" s="10"/>
      <c r="G9" s="10">
        <f t="shared" ref="G9:G35" si="0">SUM(C9:F9)</f>
        <v>114</v>
      </c>
      <c r="H9" s="16">
        <f t="shared" ref="H9:H35" si="1">ROUND(G9/8842,2)</f>
        <v>0.01</v>
      </c>
      <c r="I9" s="15">
        <f t="shared" ref="I9:I35" si="2">ROUND(G9/$G$36,3)</f>
        <v>0</v>
      </c>
      <c r="J9" s="15">
        <f>ROUND(G9/215-1,2)</f>
        <v>-0.47</v>
      </c>
    </row>
    <row r="10" spans="1:10" x14ac:dyDescent="0.25">
      <c r="A10" s="1" t="s">
        <v>16</v>
      </c>
      <c r="B10" s="1" t="s">
        <v>19</v>
      </c>
      <c r="C10" s="10"/>
      <c r="D10" s="10"/>
      <c r="E10" s="10">
        <v>1440</v>
      </c>
      <c r="F10" s="10"/>
      <c r="G10" s="10">
        <f t="shared" si="0"/>
        <v>1440</v>
      </c>
      <c r="H10" s="16">
        <f t="shared" si="1"/>
        <v>0.16</v>
      </c>
      <c r="I10" s="15">
        <f t="shared" si="2"/>
        <v>1E-3</v>
      </c>
      <c r="J10" s="15">
        <f>ROUND(G10/2440-1,2)</f>
        <v>-0.41</v>
      </c>
    </row>
    <row r="11" spans="1:10" x14ac:dyDescent="0.25">
      <c r="A11" s="1" t="s">
        <v>16</v>
      </c>
      <c r="B11" s="1" t="s">
        <v>95</v>
      </c>
      <c r="C11" s="10"/>
      <c r="D11" s="10"/>
      <c r="E11" s="10">
        <v>367</v>
      </c>
      <c r="F11" s="10"/>
      <c r="G11" s="10">
        <f t="shared" si="0"/>
        <v>367</v>
      </c>
      <c r="H11" s="16">
        <f t="shared" si="1"/>
        <v>0.04</v>
      </c>
      <c r="I11" s="15">
        <f t="shared" si="2"/>
        <v>0</v>
      </c>
      <c r="J11" s="15">
        <f>ROUND(G11/293-1,2)</f>
        <v>0.25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441</v>
      </c>
      <c r="F12" s="10"/>
      <c r="G12" s="10">
        <f t="shared" si="0"/>
        <v>441</v>
      </c>
      <c r="H12" s="16">
        <f t="shared" si="1"/>
        <v>0.05</v>
      </c>
      <c r="I12" s="15">
        <f t="shared" si="2"/>
        <v>0</v>
      </c>
      <c r="J12" s="15">
        <f>ROUND(G12/403-1,2)</f>
        <v>0.09</v>
      </c>
    </row>
    <row r="13" spans="1:10" x14ac:dyDescent="0.25">
      <c r="A13" s="1" t="s">
        <v>16</v>
      </c>
      <c r="B13" s="1" t="s">
        <v>22</v>
      </c>
      <c r="C13" s="10"/>
      <c r="D13" s="10"/>
      <c r="E13" s="10">
        <v>5400</v>
      </c>
      <c r="F13" s="10"/>
      <c r="G13" s="10">
        <f t="shared" si="0"/>
        <v>5400</v>
      </c>
      <c r="H13" s="16">
        <f t="shared" si="1"/>
        <v>0.61</v>
      </c>
      <c r="I13" s="15">
        <f t="shared" si="2"/>
        <v>6.0000000000000001E-3</v>
      </c>
      <c r="J13" s="15">
        <f>ROUND(G13/2880-1,2)</f>
        <v>0.88</v>
      </c>
    </row>
    <row r="14" spans="1:10" x14ac:dyDescent="0.25">
      <c r="A14" s="1" t="s">
        <v>16</v>
      </c>
      <c r="B14" s="1" t="s">
        <v>23</v>
      </c>
      <c r="C14" s="10"/>
      <c r="D14" s="10"/>
      <c r="E14" s="10">
        <v>71600</v>
      </c>
      <c r="F14" s="10"/>
      <c r="G14" s="10">
        <f t="shared" si="0"/>
        <v>71600</v>
      </c>
      <c r="H14" s="16">
        <f t="shared" si="1"/>
        <v>8.1</v>
      </c>
      <c r="I14" s="15">
        <f t="shared" si="2"/>
        <v>7.3999999999999996E-2</v>
      </c>
      <c r="J14" s="15">
        <f>ROUND(G14/77740-1,2)</f>
        <v>-0.08</v>
      </c>
    </row>
    <row r="15" spans="1:10" x14ac:dyDescent="0.25">
      <c r="A15" s="1" t="s">
        <v>16</v>
      </c>
      <c r="B15" s="1" t="s">
        <v>24</v>
      </c>
      <c r="C15" s="10"/>
      <c r="D15" s="10"/>
      <c r="E15" s="10">
        <v>25580</v>
      </c>
      <c r="F15" s="10"/>
      <c r="G15" s="10">
        <f t="shared" si="0"/>
        <v>25580</v>
      </c>
      <c r="H15" s="16">
        <f t="shared" si="1"/>
        <v>2.89</v>
      </c>
      <c r="I15" s="15">
        <f t="shared" si="2"/>
        <v>2.5999999999999999E-2</v>
      </c>
      <c r="J15" s="15">
        <f>ROUND(G15/15110-1,2)</f>
        <v>0.69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10040</v>
      </c>
      <c r="F16" s="10"/>
      <c r="G16" s="10">
        <f t="shared" si="0"/>
        <v>10040</v>
      </c>
      <c r="H16" s="16">
        <f t="shared" si="1"/>
        <v>1.1399999999999999</v>
      </c>
      <c r="I16" s="15">
        <f t="shared" si="2"/>
        <v>0.01</v>
      </c>
      <c r="J16" s="15">
        <f>ROUND(G16/9510-1,2)</f>
        <v>0.06</v>
      </c>
    </row>
    <row r="17" spans="1:10" x14ac:dyDescent="0.25">
      <c r="A17" s="1" t="s">
        <v>16</v>
      </c>
      <c r="B17" s="1" t="s">
        <v>27</v>
      </c>
      <c r="C17" s="10"/>
      <c r="D17" s="10"/>
      <c r="E17" s="10">
        <v>483</v>
      </c>
      <c r="F17" s="10"/>
      <c r="G17" s="10">
        <f t="shared" si="0"/>
        <v>483</v>
      </c>
      <c r="H17" s="16">
        <f t="shared" si="1"/>
        <v>0.05</v>
      </c>
      <c r="I17" s="15">
        <f t="shared" si="2"/>
        <v>0</v>
      </c>
      <c r="J17" s="15">
        <f>ROUND(G17/253-1,2)</f>
        <v>0.91</v>
      </c>
    </row>
    <row r="18" spans="1:10" x14ac:dyDescent="0.25">
      <c r="A18" s="1" t="s">
        <v>16</v>
      </c>
      <c r="B18" s="1" t="s">
        <v>28</v>
      </c>
      <c r="C18" s="10"/>
      <c r="D18" s="10"/>
      <c r="E18" s="10">
        <v>191</v>
      </c>
      <c r="F18" s="10"/>
      <c r="G18" s="10">
        <f t="shared" si="0"/>
        <v>191</v>
      </c>
      <c r="H18" s="16">
        <f t="shared" si="1"/>
        <v>0.02</v>
      </c>
      <c r="I18" s="15">
        <f t="shared" si="2"/>
        <v>0</v>
      </c>
      <c r="J18" s="15">
        <f>ROUND(G18/204-1,2)</f>
        <v>-0.06</v>
      </c>
    </row>
    <row r="19" spans="1:10" x14ac:dyDescent="0.25">
      <c r="A19" s="1" t="s">
        <v>16</v>
      </c>
      <c r="B19" s="1" t="s">
        <v>42</v>
      </c>
      <c r="C19" s="10"/>
      <c r="D19" s="10"/>
      <c r="E19" s="10">
        <v>200</v>
      </c>
      <c r="F19" s="10"/>
      <c r="G19" s="10">
        <f t="shared" si="0"/>
        <v>200</v>
      </c>
      <c r="H19" s="16">
        <f t="shared" si="1"/>
        <v>0.02</v>
      </c>
      <c r="I19" s="15">
        <f t="shared" si="2"/>
        <v>0</v>
      </c>
      <c r="J19" s="15"/>
    </row>
    <row r="20" spans="1:10" x14ac:dyDescent="0.25">
      <c r="A20" s="1" t="s">
        <v>16</v>
      </c>
      <c r="B20" s="1" t="s">
        <v>29</v>
      </c>
      <c r="C20" s="10"/>
      <c r="D20" s="10"/>
      <c r="E20" s="10">
        <v>5980</v>
      </c>
      <c r="F20" s="10"/>
      <c r="G20" s="10">
        <f t="shared" si="0"/>
        <v>5980</v>
      </c>
      <c r="H20" s="16">
        <f t="shared" si="1"/>
        <v>0.68</v>
      </c>
      <c r="I20" s="15">
        <f t="shared" si="2"/>
        <v>6.0000000000000001E-3</v>
      </c>
      <c r="J20" s="15">
        <f>ROUND(G20/18260-1,2)</f>
        <v>-0.67</v>
      </c>
    </row>
    <row r="21" spans="1:10" x14ac:dyDescent="0.25">
      <c r="A21" s="1" t="s">
        <v>16</v>
      </c>
      <c r="B21" s="1" t="s">
        <v>30</v>
      </c>
      <c r="C21" s="10"/>
      <c r="D21" s="10"/>
      <c r="E21" s="10">
        <v>2660</v>
      </c>
      <c r="F21" s="10"/>
      <c r="G21" s="10">
        <f t="shared" si="0"/>
        <v>2660</v>
      </c>
      <c r="H21" s="16">
        <f t="shared" si="1"/>
        <v>0.3</v>
      </c>
      <c r="I21" s="15">
        <f t="shared" si="2"/>
        <v>3.0000000000000001E-3</v>
      </c>
      <c r="J21" s="15">
        <f>ROUND(G21/2320-1,2)</f>
        <v>0.15</v>
      </c>
    </row>
    <row r="22" spans="1:10" x14ac:dyDescent="0.25">
      <c r="A22" s="1" t="s">
        <v>16</v>
      </c>
      <c r="B22" s="1" t="s">
        <v>31</v>
      </c>
      <c r="C22" s="10"/>
      <c r="D22" s="10"/>
      <c r="E22" s="10">
        <v>180</v>
      </c>
      <c r="F22" s="10"/>
      <c r="G22" s="10">
        <f t="shared" si="0"/>
        <v>180</v>
      </c>
      <c r="H22" s="16">
        <f t="shared" si="1"/>
        <v>0.02</v>
      </c>
      <c r="I22" s="15">
        <f t="shared" si="2"/>
        <v>0</v>
      </c>
      <c r="J22" s="15"/>
    </row>
    <row r="23" spans="1:10" x14ac:dyDescent="0.25">
      <c r="A23" s="1" t="s">
        <v>16</v>
      </c>
      <c r="B23" s="1" t="s">
        <v>32</v>
      </c>
      <c r="C23" s="10"/>
      <c r="D23" s="10"/>
      <c r="E23" s="10">
        <v>4309</v>
      </c>
      <c r="F23" s="10"/>
      <c r="G23" s="10">
        <f t="shared" si="0"/>
        <v>4309</v>
      </c>
      <c r="H23" s="16">
        <f t="shared" si="1"/>
        <v>0.49</v>
      </c>
      <c r="I23" s="15">
        <f t="shared" si="2"/>
        <v>4.0000000000000001E-3</v>
      </c>
      <c r="J23" s="15">
        <f>ROUND(G23/4250-1,2)</f>
        <v>0.01</v>
      </c>
    </row>
    <row r="24" spans="1:10" x14ac:dyDescent="0.25">
      <c r="A24" s="1" t="s">
        <v>16</v>
      </c>
      <c r="B24" s="1" t="s">
        <v>33</v>
      </c>
      <c r="C24" s="10"/>
      <c r="D24" s="10">
        <v>89</v>
      </c>
      <c r="E24" s="10">
        <v>84</v>
      </c>
      <c r="F24" s="10"/>
      <c r="G24" s="10">
        <f t="shared" si="0"/>
        <v>173</v>
      </c>
      <c r="H24" s="16">
        <f t="shared" si="1"/>
        <v>0.02</v>
      </c>
      <c r="I24" s="15">
        <f t="shared" si="2"/>
        <v>0</v>
      </c>
      <c r="J24" s="15">
        <f>ROUND(G24/185-1,2)</f>
        <v>-0.06</v>
      </c>
    </row>
    <row r="25" spans="1:10" x14ac:dyDescent="0.25">
      <c r="A25" s="1" t="s">
        <v>16</v>
      </c>
      <c r="B25" s="1" t="s">
        <v>35</v>
      </c>
      <c r="C25" s="10"/>
      <c r="D25" s="10"/>
      <c r="E25" s="10">
        <v>1125</v>
      </c>
      <c r="F25" s="10"/>
      <c r="G25" s="10">
        <f t="shared" si="0"/>
        <v>1125</v>
      </c>
      <c r="H25" s="16">
        <f t="shared" si="1"/>
        <v>0.13</v>
      </c>
      <c r="I25" s="15">
        <f t="shared" si="2"/>
        <v>1E-3</v>
      </c>
      <c r="J25" s="15">
        <f>ROUND(G25/504-1,2)</f>
        <v>1.23</v>
      </c>
    </row>
    <row r="26" spans="1:10" x14ac:dyDescent="0.25">
      <c r="A26" s="1" t="s">
        <v>16</v>
      </c>
      <c r="B26" s="1" t="s">
        <v>34</v>
      </c>
      <c r="C26" s="10"/>
      <c r="D26" s="10"/>
      <c r="E26" s="10">
        <v>2870</v>
      </c>
      <c r="F26" s="10"/>
      <c r="G26" s="10">
        <f t="shared" si="0"/>
        <v>2870</v>
      </c>
      <c r="H26" s="16">
        <f t="shared" si="1"/>
        <v>0.32</v>
      </c>
      <c r="I26" s="15">
        <f t="shared" si="2"/>
        <v>3.0000000000000001E-3</v>
      </c>
      <c r="J26" s="15">
        <f>ROUND(G26/5722-1,2)</f>
        <v>-0.5</v>
      </c>
    </row>
    <row r="27" spans="1:10" x14ac:dyDescent="0.25">
      <c r="A27" s="1" t="s">
        <v>16</v>
      </c>
      <c r="B27" s="1" t="s">
        <v>37</v>
      </c>
      <c r="C27" s="10"/>
      <c r="D27" s="10"/>
      <c r="E27" s="10">
        <v>11790</v>
      </c>
      <c r="F27" s="10"/>
      <c r="G27" s="10">
        <f t="shared" si="0"/>
        <v>11790</v>
      </c>
      <c r="H27" s="16">
        <f t="shared" si="1"/>
        <v>1.33</v>
      </c>
      <c r="I27" s="15">
        <f t="shared" si="2"/>
        <v>1.2E-2</v>
      </c>
      <c r="J27" s="15">
        <f>ROUND(G27/22410-1,2)</f>
        <v>-0.47</v>
      </c>
    </row>
    <row r="28" spans="1:10" x14ac:dyDescent="0.25">
      <c r="A28" s="1" t="s">
        <v>16</v>
      </c>
      <c r="B28" s="1" t="s">
        <v>38</v>
      </c>
      <c r="C28" s="10"/>
      <c r="D28" s="10"/>
      <c r="E28" s="10">
        <v>210420</v>
      </c>
      <c r="F28" s="10"/>
      <c r="G28" s="10">
        <f t="shared" si="0"/>
        <v>210420</v>
      </c>
      <c r="H28" s="16">
        <f t="shared" si="1"/>
        <v>23.8</v>
      </c>
      <c r="I28" s="15">
        <f t="shared" si="2"/>
        <v>0.217</v>
      </c>
      <c r="J28" s="15">
        <f>ROUND(G28/175685-1,2)</f>
        <v>0.2</v>
      </c>
    </row>
    <row r="29" spans="1:10" x14ac:dyDescent="0.25">
      <c r="A29" s="1" t="s">
        <v>16</v>
      </c>
      <c r="B29" s="1" t="s">
        <v>39</v>
      </c>
      <c r="C29" s="10"/>
      <c r="D29" s="10"/>
      <c r="E29" s="10">
        <v>9270</v>
      </c>
      <c r="F29" s="10"/>
      <c r="G29" s="10">
        <f t="shared" si="0"/>
        <v>9270</v>
      </c>
      <c r="H29" s="16">
        <f t="shared" si="1"/>
        <v>1.05</v>
      </c>
      <c r="I29" s="15">
        <f t="shared" si="2"/>
        <v>0.01</v>
      </c>
      <c r="J29" s="15">
        <f>ROUND(G29/6710-1,2)</f>
        <v>0.38</v>
      </c>
    </row>
    <row r="30" spans="1:10" x14ac:dyDescent="0.25">
      <c r="A30" s="1" t="s">
        <v>16</v>
      </c>
      <c r="B30" s="1" t="s">
        <v>40</v>
      </c>
      <c r="C30" s="10"/>
      <c r="D30" s="10"/>
      <c r="E30" s="10">
        <v>45360</v>
      </c>
      <c r="F30" s="10"/>
      <c r="G30" s="10">
        <f t="shared" si="0"/>
        <v>45360</v>
      </c>
      <c r="H30" s="16">
        <f t="shared" si="1"/>
        <v>5.13</v>
      </c>
      <c r="I30" s="15">
        <f t="shared" si="2"/>
        <v>4.7E-2</v>
      </c>
      <c r="J30" s="15">
        <f>ROUND(G30/34670-1,2)</f>
        <v>0.31</v>
      </c>
    </row>
    <row r="31" spans="1:10" x14ac:dyDescent="0.25">
      <c r="A31" s="1" t="s">
        <v>16</v>
      </c>
      <c r="B31" s="1" t="s">
        <v>41</v>
      </c>
      <c r="C31" s="10"/>
      <c r="D31" s="10"/>
      <c r="E31" s="10">
        <v>467100</v>
      </c>
      <c r="F31" s="10"/>
      <c r="G31" s="10">
        <f t="shared" si="0"/>
        <v>467100</v>
      </c>
      <c r="H31" s="16">
        <f t="shared" si="1"/>
        <v>52.83</v>
      </c>
      <c r="I31" s="15">
        <f t="shared" si="2"/>
        <v>0.48099999999999998</v>
      </c>
      <c r="J31" s="15">
        <f>ROUND(G31/377150-1,2)</f>
        <v>0.24</v>
      </c>
    </row>
    <row r="32" spans="1:10" x14ac:dyDescent="0.25">
      <c r="A32" s="1" t="s">
        <v>16</v>
      </c>
      <c r="B32" s="1" t="s">
        <v>36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>
        <f>ROUND(G32/6050-1,2)</f>
        <v>-1</v>
      </c>
    </row>
    <row r="33" spans="1:10" x14ac:dyDescent="0.25">
      <c r="A33" s="1" t="s">
        <v>16</v>
      </c>
      <c r="B33" s="1" t="s">
        <v>43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>
        <f>ROUND(G33/16630-1,2)</f>
        <v>-1</v>
      </c>
    </row>
    <row r="34" spans="1:10" x14ac:dyDescent="0.25">
      <c r="A34" s="1" t="s">
        <v>44</v>
      </c>
      <c r="B34" s="1" t="s">
        <v>46</v>
      </c>
      <c r="C34" s="10"/>
      <c r="D34" s="10"/>
      <c r="E34" s="10">
        <v>94050</v>
      </c>
      <c r="F34" s="10"/>
      <c r="G34" s="10">
        <f t="shared" si="0"/>
        <v>94050</v>
      </c>
      <c r="H34" s="16">
        <f t="shared" si="1"/>
        <v>10.64</v>
      </c>
      <c r="I34" s="15">
        <f t="shared" si="2"/>
        <v>9.7000000000000003E-2</v>
      </c>
      <c r="J34" s="15">
        <f>ROUND(G34/79060-1,2)</f>
        <v>0.19</v>
      </c>
    </row>
    <row r="35" spans="1:10" x14ac:dyDescent="0.25">
      <c r="A35" s="1" t="s">
        <v>48</v>
      </c>
      <c r="B35" s="1" t="s">
        <v>51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30" t="s">
        <v>12</v>
      </c>
      <c r="B36" s="30"/>
      <c r="C36" s="11">
        <f t="shared" ref="C36:H36" si="3">SUM(C8:C35)</f>
        <v>0</v>
      </c>
      <c r="D36" s="11">
        <f t="shared" si="3"/>
        <v>89</v>
      </c>
      <c r="E36" s="11">
        <f t="shared" si="3"/>
        <v>971054</v>
      </c>
      <c r="F36" s="11">
        <f t="shared" si="3"/>
        <v>0</v>
      </c>
      <c r="G36" s="11">
        <f t="shared" si="3"/>
        <v>971143</v>
      </c>
      <c r="H36" s="14">
        <f t="shared" si="3"/>
        <v>109.83</v>
      </c>
      <c r="I36" s="17"/>
      <c r="J36" s="17"/>
    </row>
    <row r="37" spans="1:10" x14ac:dyDescent="0.25">
      <c r="A37" s="30" t="s">
        <v>14</v>
      </c>
      <c r="B37" s="30"/>
      <c r="C37" s="12">
        <f>ROUND(C36/G36,2)</f>
        <v>0</v>
      </c>
      <c r="D37" s="12">
        <f>ROUND(D36/G36,2)</f>
        <v>0</v>
      </c>
      <c r="E37" s="12">
        <f>ROUND(E36/G36,2)</f>
        <v>1</v>
      </c>
      <c r="F37" s="12">
        <f>ROUND(F36/G36,2)</f>
        <v>0</v>
      </c>
      <c r="G37" s="13"/>
      <c r="H37" s="13"/>
      <c r="I37" s="17"/>
      <c r="J37" s="17"/>
    </row>
    <row r="38" spans="1:10" x14ac:dyDescent="0.25">
      <c r="A38" s="2" t="s">
        <v>52</v>
      </c>
      <c r="B38" s="2"/>
      <c r="C38" s="13"/>
      <c r="D38" s="13"/>
      <c r="E38" s="13"/>
      <c r="F38" s="13"/>
      <c r="G38" s="13"/>
      <c r="H38" s="13"/>
      <c r="I38" s="17"/>
      <c r="J38" s="17"/>
    </row>
    <row r="39" spans="1:10" x14ac:dyDescent="0.25">
      <c r="C39" s="8"/>
      <c r="D39" s="8"/>
      <c r="E39" s="8"/>
      <c r="F39" s="8"/>
      <c r="G39" s="8"/>
      <c r="H39" s="8"/>
      <c r="I39" s="9"/>
      <c r="J39" s="9"/>
    </row>
    <row r="40" spans="1:10" x14ac:dyDescent="0.25">
      <c r="C40" s="8"/>
      <c r="D40" s="8"/>
      <c r="E40" s="8"/>
      <c r="F40" s="8"/>
      <c r="G40" s="8"/>
      <c r="H40" s="8"/>
      <c r="I40" s="9"/>
      <c r="J40" s="9"/>
    </row>
    <row r="41" spans="1:10" x14ac:dyDescent="0.25">
      <c r="C41" s="8"/>
      <c r="D41" s="8"/>
      <c r="E41" s="8"/>
      <c r="F41" s="8"/>
      <c r="G41" s="8"/>
      <c r="H41" s="8"/>
      <c r="I41" s="9"/>
      <c r="J41" s="9"/>
    </row>
    <row r="42" spans="1:10" x14ac:dyDescent="0.25">
      <c r="A42" s="30" t="s">
        <v>53</v>
      </c>
      <c r="B42" s="30"/>
      <c r="C42" s="11" t="s">
        <v>8</v>
      </c>
      <c r="D42" s="11" t="s">
        <v>9</v>
      </c>
      <c r="E42" s="11" t="s">
        <v>10</v>
      </c>
      <c r="F42" s="11" t="s">
        <v>11</v>
      </c>
      <c r="G42" s="11" t="s">
        <v>12</v>
      </c>
      <c r="H42" s="14" t="s">
        <v>13</v>
      </c>
      <c r="I42" s="17"/>
      <c r="J42" s="17"/>
    </row>
    <row r="43" spans="1:10" x14ac:dyDescent="0.25">
      <c r="A43" s="29" t="s">
        <v>54</v>
      </c>
      <c r="B43" s="29"/>
      <c r="C43" s="10">
        <v>0</v>
      </c>
      <c r="D43" s="10">
        <v>89</v>
      </c>
      <c r="E43" s="10">
        <v>877004</v>
      </c>
      <c r="F43" s="10">
        <v>0</v>
      </c>
      <c r="G43" s="10">
        <f>SUM(C43:F43)</f>
        <v>877093</v>
      </c>
      <c r="H43" s="16">
        <f>ROUND(G43/8842,2)</f>
        <v>99.2</v>
      </c>
      <c r="I43" s="9"/>
      <c r="J43" s="9"/>
    </row>
    <row r="44" spans="1:10" x14ac:dyDescent="0.25">
      <c r="A44" s="29" t="s">
        <v>55</v>
      </c>
      <c r="B44" s="29"/>
      <c r="C44" s="10">
        <v>0</v>
      </c>
      <c r="D44" s="10">
        <v>0</v>
      </c>
      <c r="E44" s="10">
        <v>94050</v>
      </c>
      <c r="F44" s="10">
        <v>0</v>
      </c>
      <c r="G44" s="10">
        <f>SUM(C44:F44)</f>
        <v>94050</v>
      </c>
      <c r="H44" s="16">
        <f>ROUND(G44/8842,2)</f>
        <v>10.64</v>
      </c>
      <c r="I44" s="9"/>
      <c r="J44" s="9"/>
    </row>
    <row r="45" spans="1:10" x14ac:dyDescent="0.25">
      <c r="A45" s="29" t="s">
        <v>56</v>
      </c>
      <c r="B45" s="29"/>
      <c r="C45" s="10">
        <v>0</v>
      </c>
      <c r="D45" s="10">
        <v>0</v>
      </c>
      <c r="E45" s="10">
        <v>0</v>
      </c>
      <c r="F45" s="10">
        <v>0</v>
      </c>
      <c r="G45" s="10">
        <f>SUM(C45:F45)</f>
        <v>0</v>
      </c>
      <c r="H45" s="16">
        <f>ROUND(G45/8842,2)</f>
        <v>0</v>
      </c>
      <c r="I45" s="9"/>
      <c r="J45" s="9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A50" s="30" t="s">
        <v>57</v>
      </c>
      <c r="B50" s="30"/>
      <c r="C50" s="14" t="s">
        <v>2</v>
      </c>
      <c r="D50" s="14">
        <v>2023</v>
      </c>
      <c r="E50" s="14" t="s">
        <v>59</v>
      </c>
      <c r="F50" s="13"/>
      <c r="G50" s="14" t="s">
        <v>60</v>
      </c>
      <c r="H50" s="14" t="s">
        <v>2</v>
      </c>
      <c r="I50" s="12" t="s">
        <v>61</v>
      </c>
      <c r="J50" s="12" t="s">
        <v>59</v>
      </c>
    </row>
    <row r="51" spans="1:10" x14ac:dyDescent="0.25">
      <c r="A51" s="29" t="s">
        <v>58</v>
      </c>
      <c r="B51" s="29"/>
      <c r="C51" s="15">
        <f>ROUND(0.9914, 4)</f>
        <v>0.99139999999999995</v>
      </c>
      <c r="D51" s="15">
        <f>ROUND(0.989, 4)</f>
        <v>0.98899999999999999</v>
      </c>
      <c r="E51" s="15">
        <f>ROUND(0.777, 4)</f>
        <v>0.77700000000000002</v>
      </c>
      <c r="F51" s="8"/>
      <c r="G51" s="14" t="s">
        <v>62</v>
      </c>
      <c r="H51" s="33" t="s">
        <v>63</v>
      </c>
      <c r="I51" s="31" t="s">
        <v>64</v>
      </c>
      <c r="J51" s="31" t="s">
        <v>65</v>
      </c>
    </row>
    <row r="52" spans="1:10" x14ac:dyDescent="0.25">
      <c r="A52" s="29" t="s">
        <v>66</v>
      </c>
      <c r="B52" s="29"/>
      <c r="C52" s="15">
        <f>ROUND(0.9908, 4)</f>
        <v>0.99080000000000001</v>
      </c>
      <c r="D52" s="15">
        <f>ROUND(0.9878, 4)</f>
        <v>0.98780000000000001</v>
      </c>
      <c r="E52" s="15">
        <f>ROUND(0.7608, 4)</f>
        <v>0.76080000000000003</v>
      </c>
      <c r="F52" s="8"/>
      <c r="G52" s="14" t="s">
        <v>67</v>
      </c>
      <c r="H52" s="34"/>
      <c r="I52" s="32"/>
      <c r="J52" s="32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A56" s="30" t="s">
        <v>68</v>
      </c>
      <c r="B56" s="30"/>
      <c r="C56" s="14" t="s">
        <v>2</v>
      </c>
      <c r="D56" s="14" t="s">
        <v>328</v>
      </c>
      <c r="E56" s="14" t="s">
        <v>70</v>
      </c>
      <c r="F56" s="14" t="s">
        <v>71</v>
      </c>
      <c r="G56" s="14" t="s">
        <v>72</v>
      </c>
      <c r="H56" s="13"/>
      <c r="I56" s="17"/>
      <c r="J56" s="17"/>
    </row>
    <row r="57" spans="1:10" x14ac:dyDescent="0.25">
      <c r="A57" s="29" t="s">
        <v>73</v>
      </c>
      <c r="B57" s="29"/>
      <c r="C57" s="16"/>
      <c r="D57" s="16"/>
      <c r="E57" s="16">
        <v>93.87</v>
      </c>
      <c r="F57" s="16">
        <v>57.16</v>
      </c>
      <c r="G57" s="22">
        <f>12/12*C57</f>
        <v>0</v>
      </c>
      <c r="H57" s="8"/>
      <c r="I57" s="9"/>
      <c r="J57" s="9"/>
    </row>
    <row r="58" spans="1:10" x14ac:dyDescent="0.25">
      <c r="A58" s="29" t="s">
        <v>74</v>
      </c>
      <c r="B58" s="29"/>
      <c r="C58" s="16"/>
      <c r="D58" s="16"/>
      <c r="E58" s="16">
        <v>62.84</v>
      </c>
      <c r="F58" s="16">
        <v>65.39</v>
      </c>
      <c r="G58" s="22">
        <f>12/12*C58</f>
        <v>0</v>
      </c>
      <c r="H58" s="8"/>
      <c r="I58" s="9"/>
      <c r="J58" s="9"/>
    </row>
    <row r="59" spans="1:10" x14ac:dyDescent="0.25">
      <c r="A59" s="29" t="s">
        <v>75</v>
      </c>
      <c r="B59" s="29"/>
      <c r="C59" s="16">
        <v>99.2</v>
      </c>
      <c r="D59" s="16">
        <v>92.8</v>
      </c>
      <c r="E59" s="16">
        <v>295.08999999999997</v>
      </c>
      <c r="F59" s="16">
        <v>289.06</v>
      </c>
      <c r="G59" s="16">
        <f>12/12*C59</f>
        <v>99.2</v>
      </c>
      <c r="H59" s="8"/>
      <c r="I59" s="9"/>
      <c r="J59" s="9"/>
    </row>
    <row r="60" spans="1:10" x14ac:dyDescent="0.25">
      <c r="A60" s="29" t="s">
        <v>76</v>
      </c>
      <c r="B60" s="29"/>
      <c r="C60" s="16">
        <v>10.64</v>
      </c>
      <c r="D60" s="16">
        <v>9.76</v>
      </c>
      <c r="E60" s="16">
        <v>118.05</v>
      </c>
      <c r="F60" s="16">
        <v>81.41</v>
      </c>
      <c r="G60" s="16">
        <f>12/12*C60</f>
        <v>10.64</v>
      </c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A63" s="28" t="s">
        <v>60</v>
      </c>
      <c r="B63" s="35"/>
      <c r="C63" s="8"/>
      <c r="D63" s="8"/>
      <c r="E63" s="8"/>
      <c r="F63" s="8"/>
      <c r="G63" s="8"/>
      <c r="H63" s="8"/>
      <c r="I63" s="9"/>
      <c r="J63" s="9"/>
    </row>
    <row r="64" spans="1:10" x14ac:dyDescent="0.25">
      <c r="A64" s="3" t="s">
        <v>77</v>
      </c>
      <c r="B64" s="1" t="s">
        <v>329</v>
      </c>
      <c r="C64" s="8"/>
      <c r="D64" s="8"/>
      <c r="E64" s="8"/>
      <c r="F64" s="8"/>
      <c r="G64" s="8"/>
      <c r="H64" s="8"/>
      <c r="I64" s="9"/>
      <c r="J64" s="9"/>
    </row>
    <row r="65" spans="1:10" x14ac:dyDescent="0.25">
      <c r="A65" s="3" t="s">
        <v>70</v>
      </c>
      <c r="B65" s="1" t="s">
        <v>79</v>
      </c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3" t="s">
        <v>71</v>
      </c>
      <c r="B66" s="1" t="s">
        <v>80</v>
      </c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72</v>
      </c>
      <c r="B67" s="1" t="s">
        <v>81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C68" s="8"/>
      <c r="D68" s="8"/>
      <c r="E68" s="8"/>
      <c r="F68" s="8"/>
      <c r="G68" s="8"/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  <row r="71" spans="1:10" x14ac:dyDescent="0.25"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  <row r="76" spans="1:10" x14ac:dyDescent="0.25">
      <c r="C76" s="8"/>
      <c r="D76" s="8"/>
      <c r="E76" s="8"/>
      <c r="F76" s="8"/>
      <c r="G76" s="8"/>
      <c r="H76" s="8"/>
      <c r="I76" s="9"/>
      <c r="J76" s="9"/>
    </row>
    <row r="77" spans="1:10" x14ac:dyDescent="0.25">
      <c r="C77" s="8"/>
      <c r="D77" s="8"/>
      <c r="E77" s="8"/>
      <c r="F77" s="8"/>
      <c r="G77" s="8"/>
      <c r="H77" s="8"/>
      <c r="I77" s="9"/>
      <c r="J77" s="9"/>
    </row>
    <row r="78" spans="1:10" x14ac:dyDescent="0.25">
      <c r="C78" s="8"/>
      <c r="D78" s="8"/>
      <c r="E78" s="8"/>
      <c r="F78" s="8"/>
      <c r="G78" s="8"/>
      <c r="H78" s="8"/>
      <c r="I78" s="9"/>
      <c r="J78" s="9"/>
    </row>
    <row r="79" spans="1:10" x14ac:dyDescent="0.25">
      <c r="C79" s="8"/>
      <c r="D79" s="8"/>
      <c r="E79" s="8"/>
      <c r="F79" s="8"/>
      <c r="G79" s="8"/>
      <c r="H79" s="8"/>
      <c r="I79" s="9"/>
      <c r="J79" s="9"/>
    </row>
  </sheetData>
  <mergeCells count="19">
    <mergeCell ref="A58:B58"/>
    <mergeCell ref="A59:B59"/>
    <mergeCell ref="A60:B60"/>
    <mergeCell ref="A63:B63"/>
    <mergeCell ref="I51:I52"/>
    <mergeCell ref="J51:J52"/>
    <mergeCell ref="A52:B52"/>
    <mergeCell ref="A56:B56"/>
    <mergeCell ref="A57:B57"/>
    <mergeCell ref="A44:B44"/>
    <mergeCell ref="A45:B45"/>
    <mergeCell ref="A50:B50"/>
    <mergeCell ref="A51:B51"/>
    <mergeCell ref="H51:H52"/>
    <mergeCell ref="C7:G7"/>
    <mergeCell ref="A36:B36"/>
    <mergeCell ref="A37:B37"/>
    <mergeCell ref="A42:B42"/>
    <mergeCell ref="A43:B4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2:J79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4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330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9781</v>
      </c>
    </row>
    <row r="7" spans="1:10" x14ac:dyDescent="0.25">
      <c r="C7" s="28" t="s">
        <v>5</v>
      </c>
      <c r="D7" s="29"/>
      <c r="E7" s="29"/>
      <c r="F7" s="29"/>
      <c r="G7" s="29"/>
    </row>
    <row r="8" spans="1:10" x14ac:dyDescent="0.25">
      <c r="A8" s="25" t="s">
        <v>6</v>
      </c>
      <c r="B8" s="25" t="s">
        <v>7</v>
      </c>
      <c r="C8" s="27" t="s">
        <v>8</v>
      </c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332</v>
      </c>
      <c r="F9" s="10"/>
      <c r="G9" s="10">
        <f t="shared" ref="G9:G47" si="0">SUM(C9:F9)</f>
        <v>332</v>
      </c>
      <c r="H9" s="16">
        <f t="shared" ref="H9:H47" si="1">ROUND(G9/9781,2)</f>
        <v>0.03</v>
      </c>
      <c r="I9" s="15">
        <f t="shared" ref="I9:I47" si="2">ROUND(G9/$G$48,3)</f>
        <v>0</v>
      </c>
      <c r="J9" s="15">
        <f>ROUND(G9/983-1,2)</f>
        <v>-0.66</v>
      </c>
    </row>
    <row r="10" spans="1:10" x14ac:dyDescent="0.25">
      <c r="A10" s="1" t="s">
        <v>16</v>
      </c>
      <c r="B10" s="1" t="s">
        <v>18</v>
      </c>
      <c r="C10" s="10">
        <v>960</v>
      </c>
      <c r="D10" s="10"/>
      <c r="E10" s="10">
        <v>39164</v>
      </c>
      <c r="F10" s="10">
        <v>4880</v>
      </c>
      <c r="G10" s="10">
        <f t="shared" si="0"/>
        <v>45004</v>
      </c>
      <c r="H10" s="16">
        <f t="shared" si="1"/>
        <v>4.5999999999999996</v>
      </c>
      <c r="I10" s="15">
        <f t="shared" si="2"/>
        <v>8.9999999999999993E-3</v>
      </c>
      <c r="J10" s="15">
        <f>ROUND(G10/61700-1,2)</f>
        <v>-0.27</v>
      </c>
    </row>
    <row r="11" spans="1:10" x14ac:dyDescent="0.25">
      <c r="A11" s="1" t="s">
        <v>16</v>
      </c>
      <c r="B11" s="1" t="s">
        <v>19</v>
      </c>
      <c r="C11" s="10">
        <v>325930</v>
      </c>
      <c r="D11" s="10"/>
      <c r="E11" s="10">
        <v>72715</v>
      </c>
      <c r="F11" s="10">
        <v>9500</v>
      </c>
      <c r="G11" s="10">
        <f t="shared" si="0"/>
        <v>408145</v>
      </c>
      <c r="H11" s="16">
        <f t="shared" si="1"/>
        <v>41.73</v>
      </c>
      <c r="I11" s="15">
        <f t="shared" si="2"/>
        <v>8.1000000000000003E-2</v>
      </c>
      <c r="J11" s="15">
        <f>ROUND(G11/433710.96-1,2)</f>
        <v>-0.06</v>
      </c>
    </row>
    <row r="12" spans="1:10" x14ac:dyDescent="0.25">
      <c r="A12" s="1" t="s">
        <v>16</v>
      </c>
      <c r="B12" s="1" t="s">
        <v>20</v>
      </c>
      <c r="C12" s="10">
        <v>422315</v>
      </c>
      <c r="D12" s="10"/>
      <c r="E12" s="10">
        <v>4722</v>
      </c>
      <c r="F12" s="10"/>
      <c r="G12" s="10">
        <f t="shared" si="0"/>
        <v>427037</v>
      </c>
      <c r="H12" s="16">
        <f t="shared" si="1"/>
        <v>43.66</v>
      </c>
      <c r="I12" s="15">
        <f t="shared" si="2"/>
        <v>8.4000000000000005E-2</v>
      </c>
      <c r="J12" s="15">
        <f>ROUND(G12/449915.12-1,2)</f>
        <v>-0.05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1028</v>
      </c>
      <c r="F13" s="10"/>
      <c r="G13" s="10">
        <f t="shared" si="0"/>
        <v>1028</v>
      </c>
      <c r="H13" s="16">
        <f t="shared" si="1"/>
        <v>0.11</v>
      </c>
      <c r="I13" s="15">
        <f t="shared" si="2"/>
        <v>0</v>
      </c>
      <c r="J13" s="15">
        <f>ROUND(G13/1163.66-1,2)</f>
        <v>-0.12</v>
      </c>
    </row>
    <row r="14" spans="1:10" x14ac:dyDescent="0.25">
      <c r="A14" s="1" t="s">
        <v>16</v>
      </c>
      <c r="B14" s="1" t="s">
        <v>22</v>
      </c>
      <c r="C14" s="10"/>
      <c r="D14" s="10"/>
      <c r="E14" s="10">
        <v>9286</v>
      </c>
      <c r="F14" s="10"/>
      <c r="G14" s="10">
        <f t="shared" si="0"/>
        <v>9286</v>
      </c>
      <c r="H14" s="16">
        <f t="shared" si="1"/>
        <v>0.95</v>
      </c>
      <c r="I14" s="15">
        <f t="shared" si="2"/>
        <v>2E-3</v>
      </c>
      <c r="J14" s="15">
        <f>ROUND(G14/6118.75-1,2)</f>
        <v>0.52</v>
      </c>
    </row>
    <row r="15" spans="1:10" x14ac:dyDescent="0.25">
      <c r="A15" s="1" t="s">
        <v>16</v>
      </c>
      <c r="B15" s="1" t="s">
        <v>98</v>
      </c>
      <c r="C15" s="10"/>
      <c r="D15" s="10"/>
      <c r="E15" s="10"/>
      <c r="F15" s="10">
        <v>192</v>
      </c>
      <c r="G15" s="10">
        <f t="shared" si="0"/>
        <v>192</v>
      </c>
      <c r="H15" s="16">
        <f t="shared" si="1"/>
        <v>0.02</v>
      </c>
      <c r="I15" s="15">
        <f t="shared" si="2"/>
        <v>0</v>
      </c>
      <c r="J15" s="15"/>
    </row>
    <row r="16" spans="1:10" x14ac:dyDescent="0.25">
      <c r="A16" s="1" t="s">
        <v>16</v>
      </c>
      <c r="B16" s="1" t="s">
        <v>23</v>
      </c>
      <c r="C16" s="10"/>
      <c r="D16" s="10"/>
      <c r="E16" s="10">
        <v>305835</v>
      </c>
      <c r="F16" s="10"/>
      <c r="G16" s="10">
        <f t="shared" si="0"/>
        <v>305835</v>
      </c>
      <c r="H16" s="16">
        <f t="shared" si="1"/>
        <v>31.27</v>
      </c>
      <c r="I16" s="15">
        <f t="shared" si="2"/>
        <v>0.06</v>
      </c>
      <c r="J16" s="15">
        <f>ROUND(G16/359583.98-1,2)</f>
        <v>-0.15</v>
      </c>
    </row>
    <row r="17" spans="1:10" x14ac:dyDescent="0.25">
      <c r="A17" s="1" t="s">
        <v>16</v>
      </c>
      <c r="B17" s="1" t="s">
        <v>24</v>
      </c>
      <c r="C17" s="10">
        <v>487960</v>
      </c>
      <c r="D17" s="10"/>
      <c r="E17" s="10">
        <v>169550</v>
      </c>
      <c r="F17" s="10">
        <v>5470</v>
      </c>
      <c r="G17" s="10">
        <f t="shared" si="0"/>
        <v>662980</v>
      </c>
      <c r="H17" s="16">
        <f t="shared" si="1"/>
        <v>67.78</v>
      </c>
      <c r="I17" s="15">
        <f t="shared" si="2"/>
        <v>0.13100000000000001</v>
      </c>
      <c r="J17" s="15">
        <f>ROUND(G17/728288.86-1,2)</f>
        <v>-0.09</v>
      </c>
    </row>
    <row r="18" spans="1:10" x14ac:dyDescent="0.25">
      <c r="A18" s="1" t="s">
        <v>16</v>
      </c>
      <c r="B18" s="1" t="s">
        <v>25</v>
      </c>
      <c r="C18" s="10"/>
      <c r="D18" s="10"/>
      <c r="E18" s="10">
        <v>19683</v>
      </c>
      <c r="F18" s="10"/>
      <c r="G18" s="10">
        <f t="shared" si="0"/>
        <v>19683</v>
      </c>
      <c r="H18" s="16">
        <f t="shared" si="1"/>
        <v>2.0099999999999998</v>
      </c>
      <c r="I18" s="15">
        <f t="shared" si="2"/>
        <v>4.0000000000000001E-3</v>
      </c>
      <c r="J18" s="15">
        <f>ROUND(G18/14670-1,2)</f>
        <v>0.34</v>
      </c>
    </row>
    <row r="19" spans="1:10" x14ac:dyDescent="0.25">
      <c r="A19" s="1" t="s">
        <v>16</v>
      </c>
      <c r="B19" s="1" t="s">
        <v>26</v>
      </c>
      <c r="C19" s="10">
        <v>685790</v>
      </c>
      <c r="D19" s="10"/>
      <c r="E19" s="10"/>
      <c r="F19" s="10">
        <v>1920</v>
      </c>
      <c r="G19" s="10">
        <f t="shared" si="0"/>
        <v>687710</v>
      </c>
      <c r="H19" s="16">
        <f t="shared" si="1"/>
        <v>70.31</v>
      </c>
      <c r="I19" s="15">
        <f t="shared" si="2"/>
        <v>0.13600000000000001</v>
      </c>
      <c r="J19" s="15">
        <f>ROUND(G19/655780-1,2)</f>
        <v>0.05</v>
      </c>
    </row>
    <row r="20" spans="1:10" x14ac:dyDescent="0.25">
      <c r="A20" s="1" t="s">
        <v>16</v>
      </c>
      <c r="B20" s="1" t="s">
        <v>27</v>
      </c>
      <c r="C20" s="10"/>
      <c r="D20" s="10"/>
      <c r="E20" s="10">
        <v>2649</v>
      </c>
      <c r="F20" s="10"/>
      <c r="G20" s="10">
        <f t="shared" si="0"/>
        <v>2649</v>
      </c>
      <c r="H20" s="16">
        <f t="shared" si="1"/>
        <v>0.27</v>
      </c>
      <c r="I20" s="15">
        <f t="shared" si="2"/>
        <v>1E-3</v>
      </c>
      <c r="J20" s="15">
        <f>ROUND(G20/3721-1,2)</f>
        <v>-0.28999999999999998</v>
      </c>
    </row>
    <row r="21" spans="1:10" x14ac:dyDescent="0.25">
      <c r="A21" s="1" t="s">
        <v>16</v>
      </c>
      <c r="B21" s="1" t="s">
        <v>28</v>
      </c>
      <c r="C21" s="10"/>
      <c r="D21" s="10"/>
      <c r="E21" s="10">
        <v>1093</v>
      </c>
      <c r="F21" s="10"/>
      <c r="G21" s="10">
        <f t="shared" si="0"/>
        <v>1093</v>
      </c>
      <c r="H21" s="16">
        <f t="shared" si="1"/>
        <v>0.11</v>
      </c>
      <c r="I21" s="15">
        <f t="shared" si="2"/>
        <v>0</v>
      </c>
      <c r="J21" s="15">
        <f>ROUND(G21/1727-1,2)</f>
        <v>-0.37</v>
      </c>
    </row>
    <row r="22" spans="1:10" x14ac:dyDescent="0.25">
      <c r="A22" s="1" t="s">
        <v>16</v>
      </c>
      <c r="B22" s="1" t="s">
        <v>29</v>
      </c>
      <c r="C22" s="10"/>
      <c r="D22" s="10"/>
      <c r="E22" s="10">
        <v>4974</v>
      </c>
      <c r="F22" s="10"/>
      <c r="G22" s="10">
        <f t="shared" si="0"/>
        <v>4974</v>
      </c>
      <c r="H22" s="16">
        <f t="shared" si="1"/>
        <v>0.51</v>
      </c>
      <c r="I22" s="15">
        <f t="shared" si="2"/>
        <v>1E-3</v>
      </c>
      <c r="J22" s="15">
        <f>ROUND(G22/22434.64-1,2)</f>
        <v>-0.78</v>
      </c>
    </row>
    <row r="23" spans="1:10" x14ac:dyDescent="0.25">
      <c r="A23" s="1" t="s">
        <v>16</v>
      </c>
      <c r="B23" s="1" t="s">
        <v>30</v>
      </c>
      <c r="C23" s="10"/>
      <c r="D23" s="10"/>
      <c r="E23" s="10">
        <v>4162</v>
      </c>
      <c r="F23" s="10"/>
      <c r="G23" s="10">
        <f t="shared" si="0"/>
        <v>4162</v>
      </c>
      <c r="H23" s="16">
        <f t="shared" si="1"/>
        <v>0.43</v>
      </c>
      <c r="I23" s="15">
        <f t="shared" si="2"/>
        <v>1E-3</v>
      </c>
      <c r="J23" s="15">
        <f>ROUND(G23/5505.86-1,2)</f>
        <v>-0.24</v>
      </c>
    </row>
    <row r="24" spans="1:10" x14ac:dyDescent="0.25">
      <c r="A24" s="1" t="s">
        <v>16</v>
      </c>
      <c r="B24" s="1" t="s">
        <v>31</v>
      </c>
      <c r="C24" s="10"/>
      <c r="D24" s="10"/>
      <c r="E24" s="10">
        <v>1472</v>
      </c>
      <c r="F24" s="10"/>
      <c r="G24" s="10">
        <f t="shared" si="0"/>
        <v>1472</v>
      </c>
      <c r="H24" s="16">
        <f t="shared" si="1"/>
        <v>0.15</v>
      </c>
      <c r="I24" s="15">
        <f t="shared" si="2"/>
        <v>0</v>
      </c>
      <c r="J24" s="15">
        <f>ROUND(G24/1274.62-1,2)</f>
        <v>0.15</v>
      </c>
    </row>
    <row r="25" spans="1:10" x14ac:dyDescent="0.25">
      <c r="A25" s="1" t="s">
        <v>16</v>
      </c>
      <c r="B25" s="1" t="s">
        <v>32</v>
      </c>
      <c r="C25" s="10"/>
      <c r="D25" s="10"/>
      <c r="E25" s="10">
        <v>4891</v>
      </c>
      <c r="F25" s="10"/>
      <c r="G25" s="10">
        <f t="shared" si="0"/>
        <v>4891</v>
      </c>
      <c r="H25" s="16">
        <f t="shared" si="1"/>
        <v>0.5</v>
      </c>
      <c r="I25" s="15">
        <f t="shared" si="2"/>
        <v>1E-3</v>
      </c>
      <c r="J25" s="15">
        <f>ROUND(G25/5895.57-1,2)</f>
        <v>-0.17</v>
      </c>
    </row>
    <row r="26" spans="1:10" x14ac:dyDescent="0.25">
      <c r="A26" s="1" t="s">
        <v>16</v>
      </c>
      <c r="B26" s="1" t="s">
        <v>33</v>
      </c>
      <c r="C26" s="10"/>
      <c r="D26" s="10">
        <v>590</v>
      </c>
      <c r="E26" s="10">
        <v>1598</v>
      </c>
      <c r="F26" s="10"/>
      <c r="G26" s="10">
        <f t="shared" si="0"/>
        <v>2188</v>
      </c>
      <c r="H26" s="16">
        <f t="shared" si="1"/>
        <v>0.22</v>
      </c>
      <c r="I26" s="15">
        <f t="shared" si="2"/>
        <v>0</v>
      </c>
      <c r="J26" s="15">
        <f>ROUND(G26/2440-1,2)</f>
        <v>-0.1</v>
      </c>
    </row>
    <row r="27" spans="1:10" x14ac:dyDescent="0.25">
      <c r="A27" s="1" t="s">
        <v>16</v>
      </c>
      <c r="B27" s="1" t="s">
        <v>34</v>
      </c>
      <c r="C27" s="10"/>
      <c r="D27" s="10"/>
      <c r="E27" s="10">
        <v>6312</v>
      </c>
      <c r="F27" s="10"/>
      <c r="G27" s="10">
        <f t="shared" si="0"/>
        <v>6312</v>
      </c>
      <c r="H27" s="16">
        <f t="shared" si="1"/>
        <v>0.65</v>
      </c>
      <c r="I27" s="15">
        <f t="shared" si="2"/>
        <v>1E-3</v>
      </c>
      <c r="J27" s="15">
        <f>ROUND(G27/7850-1,2)</f>
        <v>-0.2</v>
      </c>
    </row>
    <row r="28" spans="1:10" x14ac:dyDescent="0.25">
      <c r="A28" s="1" t="s">
        <v>16</v>
      </c>
      <c r="B28" s="1" t="s">
        <v>35</v>
      </c>
      <c r="C28" s="10"/>
      <c r="D28" s="10"/>
      <c r="E28" s="10">
        <v>1948</v>
      </c>
      <c r="F28" s="10"/>
      <c r="G28" s="10">
        <f t="shared" si="0"/>
        <v>1948</v>
      </c>
      <c r="H28" s="16">
        <f t="shared" si="1"/>
        <v>0.2</v>
      </c>
      <c r="I28" s="15">
        <f t="shared" si="2"/>
        <v>0</v>
      </c>
      <c r="J28" s="15">
        <f>ROUND(G28/1984.84-1,2)</f>
        <v>-0.02</v>
      </c>
    </row>
    <row r="29" spans="1:10" x14ac:dyDescent="0.25">
      <c r="A29" s="1" t="s">
        <v>16</v>
      </c>
      <c r="B29" s="1" t="s">
        <v>36</v>
      </c>
      <c r="C29" s="10"/>
      <c r="D29" s="10"/>
      <c r="E29" s="10">
        <v>1093</v>
      </c>
      <c r="F29" s="10"/>
      <c r="G29" s="10">
        <f t="shared" si="0"/>
        <v>1093</v>
      </c>
      <c r="H29" s="16">
        <f t="shared" si="1"/>
        <v>0.11</v>
      </c>
      <c r="I29" s="15">
        <f t="shared" si="2"/>
        <v>0</v>
      </c>
      <c r="J29" s="15">
        <f>ROUND(G29/13599.86-1,2)</f>
        <v>-0.92</v>
      </c>
    </row>
    <row r="30" spans="1:10" x14ac:dyDescent="0.25">
      <c r="A30" s="1" t="s">
        <v>16</v>
      </c>
      <c r="B30" s="1" t="s">
        <v>38</v>
      </c>
      <c r="C30" s="10"/>
      <c r="D30" s="10"/>
      <c r="E30" s="10">
        <v>365917</v>
      </c>
      <c r="F30" s="10"/>
      <c r="G30" s="10">
        <f t="shared" si="0"/>
        <v>365917</v>
      </c>
      <c r="H30" s="16">
        <f t="shared" si="1"/>
        <v>37.409999999999997</v>
      </c>
      <c r="I30" s="15">
        <f t="shared" si="2"/>
        <v>7.1999999999999995E-2</v>
      </c>
      <c r="J30" s="15">
        <f>ROUND(G30/406095.97-1,2)</f>
        <v>-0.1</v>
      </c>
    </row>
    <row r="31" spans="1:10" x14ac:dyDescent="0.25">
      <c r="A31" s="1" t="s">
        <v>16</v>
      </c>
      <c r="B31" s="1" t="s">
        <v>39</v>
      </c>
      <c r="C31" s="10"/>
      <c r="D31" s="10"/>
      <c r="E31" s="10">
        <v>29354</v>
      </c>
      <c r="F31" s="10"/>
      <c r="G31" s="10">
        <f t="shared" si="0"/>
        <v>29354</v>
      </c>
      <c r="H31" s="16">
        <f t="shared" si="1"/>
        <v>3</v>
      </c>
      <c r="I31" s="15">
        <f t="shared" si="2"/>
        <v>6.0000000000000001E-3</v>
      </c>
      <c r="J31" s="15">
        <f>ROUND(G31/33304.81-1,2)</f>
        <v>-0.12</v>
      </c>
    </row>
    <row r="32" spans="1:10" x14ac:dyDescent="0.25">
      <c r="A32" s="1" t="s">
        <v>16</v>
      </c>
      <c r="B32" s="1" t="s">
        <v>40</v>
      </c>
      <c r="C32" s="10"/>
      <c r="D32" s="10"/>
      <c r="E32" s="10">
        <v>118720</v>
      </c>
      <c r="F32" s="10"/>
      <c r="G32" s="10">
        <f t="shared" si="0"/>
        <v>118720</v>
      </c>
      <c r="H32" s="16">
        <f t="shared" si="1"/>
        <v>12.14</v>
      </c>
      <c r="I32" s="15">
        <f t="shared" si="2"/>
        <v>2.3E-2</v>
      </c>
      <c r="J32" s="15">
        <f>ROUND(G32/120081.93-1,2)</f>
        <v>-0.01</v>
      </c>
    </row>
    <row r="33" spans="1:10" x14ac:dyDescent="0.25">
      <c r="A33" s="1" t="s">
        <v>16</v>
      </c>
      <c r="B33" s="1" t="s">
        <v>41</v>
      </c>
      <c r="C33" s="10"/>
      <c r="D33" s="10"/>
      <c r="E33" s="10">
        <v>236742</v>
      </c>
      <c r="F33" s="10"/>
      <c r="G33" s="10">
        <f t="shared" si="0"/>
        <v>236742</v>
      </c>
      <c r="H33" s="16">
        <f t="shared" si="1"/>
        <v>24.2</v>
      </c>
      <c r="I33" s="15">
        <f t="shared" si="2"/>
        <v>4.7E-2</v>
      </c>
      <c r="J33" s="15">
        <f>ROUND(G33/279773.72-1,2)</f>
        <v>-0.15</v>
      </c>
    </row>
    <row r="34" spans="1:10" x14ac:dyDescent="0.25">
      <c r="A34" s="1" t="s">
        <v>16</v>
      </c>
      <c r="B34" s="1" t="s">
        <v>42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ROUND(G34/1055.39-1,2)</f>
        <v>-1</v>
      </c>
    </row>
    <row r="35" spans="1:10" x14ac:dyDescent="0.25">
      <c r="A35" s="1" t="s">
        <v>16</v>
      </c>
      <c r="B35" s="1" t="s">
        <v>43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>
        <f>ROUND(G35/57064-1,2)</f>
        <v>-1</v>
      </c>
    </row>
    <row r="36" spans="1:10" x14ac:dyDescent="0.25">
      <c r="A36" s="1" t="s">
        <v>16</v>
      </c>
      <c r="B36" s="1" t="s">
        <v>37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>
        <f>ROUND(G36/22896.78-1,2)</f>
        <v>-1</v>
      </c>
    </row>
    <row r="37" spans="1:10" x14ac:dyDescent="0.25">
      <c r="A37" s="1" t="s">
        <v>16</v>
      </c>
      <c r="B37" s="1" t="s">
        <v>96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1" t="s">
        <v>16</v>
      </c>
      <c r="B38" s="1" t="s">
        <v>120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1" t="s">
        <v>16</v>
      </c>
      <c r="B39" s="1" t="s">
        <v>129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>
        <f>ROUND(G39/163-1,2)</f>
        <v>-1</v>
      </c>
    </row>
    <row r="40" spans="1:10" x14ac:dyDescent="0.25">
      <c r="A40" s="1" t="s">
        <v>16</v>
      </c>
      <c r="B40" s="1" t="s">
        <v>116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/>
    </row>
    <row r="41" spans="1:10" x14ac:dyDescent="0.25">
      <c r="A41" s="1" t="s">
        <v>44</v>
      </c>
      <c r="B41" s="1" t="s">
        <v>45</v>
      </c>
      <c r="C41" s="10">
        <v>1309400</v>
      </c>
      <c r="D41" s="10"/>
      <c r="E41" s="10"/>
      <c r="F41" s="10">
        <v>4330</v>
      </c>
      <c r="G41" s="10">
        <f t="shared" si="0"/>
        <v>1313730</v>
      </c>
      <c r="H41" s="16">
        <f t="shared" si="1"/>
        <v>134.31</v>
      </c>
      <c r="I41" s="15">
        <f t="shared" si="2"/>
        <v>0.25900000000000001</v>
      </c>
      <c r="J41" s="15">
        <f>ROUND(G41/1239770-1,2)</f>
        <v>0.06</v>
      </c>
    </row>
    <row r="42" spans="1:10" x14ac:dyDescent="0.25">
      <c r="A42" s="1" t="s">
        <v>44</v>
      </c>
      <c r="B42" s="1" t="s">
        <v>47</v>
      </c>
      <c r="C42" s="10"/>
      <c r="D42" s="10"/>
      <c r="E42" s="10"/>
      <c r="F42" s="10">
        <v>141815</v>
      </c>
      <c r="G42" s="10">
        <f t="shared" si="0"/>
        <v>141815</v>
      </c>
      <c r="H42" s="16">
        <f t="shared" si="1"/>
        <v>14.5</v>
      </c>
      <c r="I42" s="15">
        <f t="shared" si="2"/>
        <v>2.8000000000000001E-2</v>
      </c>
      <c r="J42" s="15">
        <f>ROUND(G42/84835-1,2)</f>
        <v>0.67</v>
      </c>
    </row>
    <row r="43" spans="1:10" x14ac:dyDescent="0.25">
      <c r="A43" s="1" t="s">
        <v>44</v>
      </c>
      <c r="B43" s="1" t="s">
        <v>46</v>
      </c>
      <c r="C43" s="10"/>
      <c r="D43" s="10"/>
      <c r="E43" s="10">
        <v>262212</v>
      </c>
      <c r="F43" s="10"/>
      <c r="G43" s="10">
        <f t="shared" si="0"/>
        <v>262212</v>
      </c>
      <c r="H43" s="16">
        <f t="shared" si="1"/>
        <v>26.81</v>
      </c>
      <c r="I43" s="15">
        <f t="shared" si="2"/>
        <v>5.1999999999999998E-2</v>
      </c>
      <c r="J43" s="15">
        <f>ROUND(G43/308232.56-1,2)</f>
        <v>-0.15</v>
      </c>
    </row>
    <row r="44" spans="1:10" x14ac:dyDescent="0.25">
      <c r="A44" s="1" t="s">
        <v>48</v>
      </c>
      <c r="B44" s="1" t="s">
        <v>51</v>
      </c>
      <c r="C44" s="10"/>
      <c r="D44" s="10"/>
      <c r="E44" s="10"/>
      <c r="F44" s="10"/>
      <c r="G44" s="10">
        <f t="shared" si="0"/>
        <v>0</v>
      </c>
      <c r="H44" s="16">
        <f t="shared" si="1"/>
        <v>0</v>
      </c>
      <c r="I44" s="15">
        <f t="shared" si="2"/>
        <v>0</v>
      </c>
      <c r="J44" s="15">
        <f>ROUND(G44/13-1,2)</f>
        <v>-1</v>
      </c>
    </row>
    <row r="45" spans="1:10" x14ac:dyDescent="0.25">
      <c r="A45" s="1" t="s">
        <v>48</v>
      </c>
      <c r="B45" s="1" t="s">
        <v>86</v>
      </c>
      <c r="C45" s="10"/>
      <c r="D45" s="10"/>
      <c r="E45" s="10"/>
      <c r="F45" s="10"/>
      <c r="G45" s="10">
        <f t="shared" si="0"/>
        <v>0</v>
      </c>
      <c r="H45" s="16">
        <f t="shared" si="1"/>
        <v>0</v>
      </c>
      <c r="I45" s="15">
        <f t="shared" si="2"/>
        <v>0</v>
      </c>
      <c r="J45" s="15">
        <f>ROUND(G45/300-1,2)</f>
        <v>-1</v>
      </c>
    </row>
    <row r="46" spans="1:10" x14ac:dyDescent="0.25">
      <c r="A46" s="1" t="s">
        <v>48</v>
      </c>
      <c r="B46" s="1" t="s">
        <v>50</v>
      </c>
      <c r="C46" s="10"/>
      <c r="D46" s="10"/>
      <c r="E46" s="10"/>
      <c r="F46" s="10"/>
      <c r="G46" s="10">
        <f t="shared" si="0"/>
        <v>0</v>
      </c>
      <c r="H46" s="16">
        <f t="shared" si="1"/>
        <v>0</v>
      </c>
      <c r="I46" s="15">
        <f t="shared" si="2"/>
        <v>0</v>
      </c>
      <c r="J46" s="15">
        <f>ROUND(G46/280-1,2)</f>
        <v>-1</v>
      </c>
    </row>
    <row r="47" spans="1:10" x14ac:dyDescent="0.25">
      <c r="A47" s="1" t="s">
        <v>48</v>
      </c>
      <c r="B47" s="1" t="s">
        <v>168</v>
      </c>
      <c r="C47" s="10"/>
      <c r="D47" s="10"/>
      <c r="E47" s="10"/>
      <c r="F47" s="10"/>
      <c r="G47" s="10">
        <f t="shared" si="0"/>
        <v>0</v>
      </c>
      <c r="H47" s="16">
        <f t="shared" si="1"/>
        <v>0</v>
      </c>
      <c r="I47" s="15">
        <f t="shared" si="2"/>
        <v>0</v>
      </c>
      <c r="J47" s="15"/>
    </row>
    <row r="48" spans="1:10" x14ac:dyDescent="0.25">
      <c r="A48" s="30" t="s">
        <v>12</v>
      </c>
      <c r="B48" s="30"/>
      <c r="C48" s="11">
        <f t="shared" ref="C48:H48" si="3">SUM(C8:C47)</f>
        <v>3232355</v>
      </c>
      <c r="D48" s="11">
        <f t="shared" si="3"/>
        <v>590</v>
      </c>
      <c r="E48" s="11">
        <f t="shared" si="3"/>
        <v>1665452</v>
      </c>
      <c r="F48" s="11">
        <f t="shared" si="3"/>
        <v>168107</v>
      </c>
      <c r="G48" s="11">
        <f t="shared" si="3"/>
        <v>5066504</v>
      </c>
      <c r="H48" s="14">
        <f t="shared" si="3"/>
        <v>517.9899999999999</v>
      </c>
      <c r="I48" s="17"/>
      <c r="J48" s="17"/>
    </row>
    <row r="49" spans="1:10" x14ac:dyDescent="0.25">
      <c r="A49" s="30" t="s">
        <v>14</v>
      </c>
      <c r="B49" s="30"/>
      <c r="C49" s="12">
        <f>ROUND(C48/G48,2)</f>
        <v>0.64</v>
      </c>
      <c r="D49" s="12">
        <f>ROUND(D48/G48,2)</f>
        <v>0</v>
      </c>
      <c r="E49" s="12">
        <f>ROUND(E48/G48,2)</f>
        <v>0.33</v>
      </c>
      <c r="F49" s="12">
        <f>ROUND(F48/G48,2)</f>
        <v>0.03</v>
      </c>
      <c r="G49" s="13"/>
      <c r="H49" s="13"/>
      <c r="I49" s="17"/>
      <c r="J49" s="17"/>
    </row>
    <row r="50" spans="1:10" x14ac:dyDescent="0.25">
      <c r="A50" s="2" t="s">
        <v>52</v>
      </c>
      <c r="B50" s="2"/>
      <c r="C50" s="13"/>
      <c r="D50" s="13"/>
      <c r="E50" s="13"/>
      <c r="F50" s="13"/>
      <c r="G50" s="13"/>
      <c r="H50" s="13"/>
      <c r="I50" s="17"/>
      <c r="J50" s="17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A54" s="30" t="s">
        <v>53</v>
      </c>
      <c r="B54" s="30"/>
      <c r="C54" s="11" t="s">
        <v>8</v>
      </c>
      <c r="D54" s="11" t="s">
        <v>9</v>
      </c>
      <c r="E54" s="11" t="s">
        <v>10</v>
      </c>
      <c r="F54" s="11" t="s">
        <v>11</v>
      </c>
      <c r="G54" s="11" t="s">
        <v>12</v>
      </c>
      <c r="H54" s="14" t="s">
        <v>13</v>
      </c>
      <c r="I54" s="17"/>
      <c r="J54" s="17"/>
    </row>
    <row r="55" spans="1:10" x14ac:dyDescent="0.25">
      <c r="A55" s="29" t="s">
        <v>54</v>
      </c>
      <c r="B55" s="29"/>
      <c r="C55" s="10">
        <v>1922955</v>
      </c>
      <c r="D55" s="10">
        <v>590</v>
      </c>
      <c r="E55" s="10">
        <v>1403240</v>
      </c>
      <c r="F55" s="10">
        <v>21962</v>
      </c>
      <c r="G55" s="10">
        <f>SUM(C55:F55)</f>
        <v>3348747</v>
      </c>
      <c r="H55" s="16">
        <f>ROUND(G55/9781,2)</f>
        <v>342.37</v>
      </c>
      <c r="I55" s="9"/>
      <c r="J55" s="9"/>
    </row>
    <row r="56" spans="1:10" x14ac:dyDescent="0.25">
      <c r="A56" s="29" t="s">
        <v>55</v>
      </c>
      <c r="B56" s="29"/>
      <c r="C56" s="10">
        <v>1309400</v>
      </c>
      <c r="D56" s="10">
        <v>0</v>
      </c>
      <c r="E56" s="10">
        <v>262212</v>
      </c>
      <c r="F56" s="10">
        <v>146145</v>
      </c>
      <c r="G56" s="10">
        <f>SUM(C56:F56)</f>
        <v>1717757</v>
      </c>
      <c r="H56" s="16">
        <f>ROUND(G56/9781,2)</f>
        <v>175.62</v>
      </c>
      <c r="I56" s="9"/>
      <c r="J56" s="9"/>
    </row>
    <row r="57" spans="1:10" x14ac:dyDescent="0.25">
      <c r="A57" s="29" t="s">
        <v>56</v>
      </c>
      <c r="B57" s="29"/>
      <c r="C57" s="10">
        <v>0</v>
      </c>
      <c r="D57" s="10">
        <v>0</v>
      </c>
      <c r="E57" s="10">
        <v>0</v>
      </c>
      <c r="F57" s="10">
        <v>0</v>
      </c>
      <c r="G57" s="23">
        <f>SUM(C57:F57)</f>
        <v>0</v>
      </c>
      <c r="H57" s="16">
        <f>ROUND(G57/9781,2)</f>
        <v>0</v>
      </c>
      <c r="I57" s="9"/>
      <c r="J57" s="9"/>
    </row>
    <row r="58" spans="1:10" x14ac:dyDescent="0.25">
      <c r="C58" s="8"/>
      <c r="D58" s="8"/>
      <c r="E58" s="8"/>
      <c r="F58" s="8"/>
      <c r="G58" s="21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A62" s="30" t="s">
        <v>57</v>
      </c>
      <c r="B62" s="30"/>
      <c r="C62" s="14" t="s">
        <v>2</v>
      </c>
      <c r="D62" s="14">
        <v>2023</v>
      </c>
      <c r="E62" s="14" t="s">
        <v>59</v>
      </c>
      <c r="F62" s="13"/>
      <c r="G62" s="14" t="s">
        <v>60</v>
      </c>
      <c r="H62" s="14" t="s">
        <v>2</v>
      </c>
      <c r="I62" s="12" t="s">
        <v>61</v>
      </c>
      <c r="J62" s="12" t="s">
        <v>59</v>
      </c>
    </row>
    <row r="63" spans="1:10" x14ac:dyDescent="0.25">
      <c r="A63" s="29" t="s">
        <v>58</v>
      </c>
      <c r="B63" s="29"/>
      <c r="C63" s="15">
        <f>ROUND(0.7133, 4)</f>
        <v>0.71330000000000005</v>
      </c>
      <c r="D63" s="15">
        <f>ROUND(0.7412, 4)</f>
        <v>0.74119999999999997</v>
      </c>
      <c r="E63" s="15">
        <f>ROUND(0.777, 4)</f>
        <v>0.77700000000000002</v>
      </c>
      <c r="F63" s="8"/>
      <c r="G63" s="14" t="s">
        <v>62</v>
      </c>
      <c r="H63" s="33" t="s">
        <v>63</v>
      </c>
      <c r="I63" s="31" t="s">
        <v>64</v>
      </c>
      <c r="J63" s="31" t="s">
        <v>65</v>
      </c>
    </row>
    <row r="64" spans="1:10" x14ac:dyDescent="0.25">
      <c r="A64" s="29" t="s">
        <v>66</v>
      </c>
      <c r="B64" s="29"/>
      <c r="C64" s="15">
        <f>ROUND(0.6814, 4)</f>
        <v>0.68140000000000001</v>
      </c>
      <c r="D64" s="15">
        <f>ROUND(0.7088, 4)</f>
        <v>0.70879999999999999</v>
      </c>
      <c r="E64" s="15">
        <f>ROUND(0.7608, 4)</f>
        <v>0.76080000000000003</v>
      </c>
      <c r="F64" s="8"/>
      <c r="G64" s="14" t="s">
        <v>67</v>
      </c>
      <c r="H64" s="34"/>
      <c r="I64" s="32"/>
      <c r="J64" s="32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0" t="s">
        <v>68</v>
      </c>
      <c r="B68" s="30"/>
      <c r="C68" s="14" t="s">
        <v>2</v>
      </c>
      <c r="D68" s="14" t="s">
        <v>331</v>
      </c>
      <c r="E68" s="14" t="s">
        <v>70</v>
      </c>
      <c r="F68" s="14" t="s">
        <v>71</v>
      </c>
      <c r="G68" s="14" t="s">
        <v>72</v>
      </c>
      <c r="H68" s="13"/>
      <c r="I68" s="17"/>
      <c r="J68" s="17"/>
    </row>
    <row r="69" spans="1:10" x14ac:dyDescent="0.25">
      <c r="A69" s="29" t="s">
        <v>73</v>
      </c>
      <c r="B69" s="29"/>
      <c r="C69" s="16">
        <v>134.31</v>
      </c>
      <c r="D69" s="16">
        <v>125.54</v>
      </c>
      <c r="E69" s="16">
        <v>93.87</v>
      </c>
      <c r="F69" s="16">
        <v>57.16</v>
      </c>
      <c r="G69" s="16">
        <f>12/12*C69</f>
        <v>134.31</v>
      </c>
      <c r="H69" s="8"/>
      <c r="I69" s="9"/>
      <c r="J69" s="9"/>
    </row>
    <row r="70" spans="1:10" x14ac:dyDescent="0.25">
      <c r="A70" s="29" t="s">
        <v>74</v>
      </c>
      <c r="B70" s="29"/>
      <c r="C70" s="16">
        <v>70.31</v>
      </c>
      <c r="D70" s="16">
        <v>75.819999999999993</v>
      </c>
      <c r="E70" s="16">
        <v>62.84</v>
      </c>
      <c r="F70" s="16">
        <v>65.39</v>
      </c>
      <c r="G70" s="16">
        <f>12/12*C70</f>
        <v>70.31</v>
      </c>
      <c r="H70" s="8"/>
      <c r="I70" s="9"/>
      <c r="J70" s="9"/>
    </row>
    <row r="71" spans="1:10" x14ac:dyDescent="0.25">
      <c r="A71" s="29" t="s">
        <v>75</v>
      </c>
      <c r="B71" s="29"/>
      <c r="C71" s="16">
        <v>342.37</v>
      </c>
      <c r="D71" s="16">
        <v>369.83</v>
      </c>
      <c r="E71" s="16">
        <v>295.08999999999997</v>
      </c>
      <c r="F71" s="16">
        <v>289.06</v>
      </c>
      <c r="G71" s="16">
        <f>12/12*C71</f>
        <v>342.37</v>
      </c>
      <c r="H71" s="8"/>
      <c r="I71" s="9"/>
      <c r="J71" s="9"/>
    </row>
    <row r="72" spans="1:10" x14ac:dyDescent="0.25">
      <c r="A72" s="29" t="s">
        <v>76</v>
      </c>
      <c r="B72" s="29"/>
      <c r="C72" s="16">
        <v>175.62</v>
      </c>
      <c r="D72" s="16">
        <v>159.99</v>
      </c>
      <c r="E72" s="16">
        <v>118.05</v>
      </c>
      <c r="F72" s="16">
        <v>81.41</v>
      </c>
      <c r="G72" s="16">
        <f>12/12*C72</f>
        <v>175.62</v>
      </c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A75" s="28" t="s">
        <v>60</v>
      </c>
      <c r="B75" s="35"/>
      <c r="C75" s="8"/>
      <c r="D75" s="8"/>
      <c r="E75" s="8"/>
      <c r="F75" s="8"/>
      <c r="G75" s="8"/>
      <c r="H75" s="8"/>
      <c r="I75" s="9"/>
      <c r="J75" s="9"/>
    </row>
    <row r="76" spans="1:10" x14ac:dyDescent="0.25">
      <c r="A76" s="3" t="s">
        <v>77</v>
      </c>
      <c r="B76" s="1" t="s">
        <v>332</v>
      </c>
      <c r="C76" s="8"/>
      <c r="D76" s="8"/>
      <c r="E76" s="8"/>
      <c r="F76" s="8"/>
      <c r="G76" s="8"/>
      <c r="H76" s="8"/>
      <c r="I76" s="9"/>
      <c r="J76" s="9"/>
    </row>
    <row r="77" spans="1:10" x14ac:dyDescent="0.25">
      <c r="A77" s="3" t="s">
        <v>70</v>
      </c>
      <c r="B77" s="1" t="s">
        <v>79</v>
      </c>
    </row>
    <row r="78" spans="1:10" x14ac:dyDescent="0.25">
      <c r="A78" s="3" t="s">
        <v>71</v>
      </c>
      <c r="B78" s="1" t="s">
        <v>80</v>
      </c>
    </row>
    <row r="79" spans="1:10" x14ac:dyDescent="0.25">
      <c r="A79" s="3" t="s">
        <v>72</v>
      </c>
      <c r="B79" s="1" t="s">
        <v>81</v>
      </c>
    </row>
  </sheetData>
  <mergeCells count="19">
    <mergeCell ref="A70:B70"/>
    <mergeCell ref="A71:B71"/>
    <mergeCell ref="A72:B72"/>
    <mergeCell ref="A75:B75"/>
    <mergeCell ref="I63:I64"/>
    <mergeCell ref="J63:J64"/>
    <mergeCell ref="A64:B64"/>
    <mergeCell ref="A68:B68"/>
    <mergeCell ref="A69:B69"/>
    <mergeCell ref="A56:B56"/>
    <mergeCell ref="A57:B57"/>
    <mergeCell ref="A62:B62"/>
    <mergeCell ref="A63:B63"/>
    <mergeCell ref="H63:H64"/>
    <mergeCell ref="C7:G7"/>
    <mergeCell ref="A48:B48"/>
    <mergeCell ref="A49:B49"/>
    <mergeCell ref="A54:B54"/>
    <mergeCell ref="A55:B55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2:J76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4.425781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333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2084</v>
      </c>
    </row>
    <row r="7" spans="1:10" x14ac:dyDescent="0.25">
      <c r="C7" s="28" t="s">
        <v>5</v>
      </c>
      <c r="D7" s="29"/>
      <c r="E7" s="29"/>
      <c r="F7" s="29"/>
      <c r="G7" s="29"/>
    </row>
    <row r="8" spans="1:10" x14ac:dyDescent="0.25">
      <c r="A8" s="25" t="s">
        <v>6</v>
      </c>
      <c r="B8" s="25" t="s">
        <v>7</v>
      </c>
      <c r="C8" s="27" t="s">
        <v>8</v>
      </c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93</v>
      </c>
      <c r="F9" s="10"/>
      <c r="G9" s="10">
        <f t="shared" ref="G9:G44" si="0">SUM(C9:F9)</f>
        <v>93</v>
      </c>
      <c r="H9" s="16">
        <f t="shared" ref="H9:H44" si="1">ROUND(G9/2084,2)</f>
        <v>0.04</v>
      </c>
      <c r="I9" s="15">
        <f t="shared" ref="I9:I44" si="2">ROUND(G9/$G$45,3)</f>
        <v>0</v>
      </c>
      <c r="J9" s="15">
        <f>ROUND(G9/50-1,2)</f>
        <v>0.86</v>
      </c>
    </row>
    <row r="10" spans="1:10" x14ac:dyDescent="0.25">
      <c r="A10" s="1" t="s">
        <v>16</v>
      </c>
      <c r="B10" s="1" t="s">
        <v>19</v>
      </c>
      <c r="C10" s="10">
        <v>67005</v>
      </c>
      <c r="D10" s="10"/>
      <c r="E10" s="10"/>
      <c r="F10" s="10"/>
      <c r="G10" s="10">
        <f t="shared" si="0"/>
        <v>67005</v>
      </c>
      <c r="H10" s="16">
        <f t="shared" si="1"/>
        <v>32.15</v>
      </c>
      <c r="I10" s="15">
        <f t="shared" si="2"/>
        <v>7.2999999999999995E-2</v>
      </c>
      <c r="J10" s="15">
        <f>ROUND(G10/66730-1,2)</f>
        <v>0</v>
      </c>
    </row>
    <row r="11" spans="1:10" x14ac:dyDescent="0.25">
      <c r="A11" s="1" t="s">
        <v>16</v>
      </c>
      <c r="B11" s="1" t="s">
        <v>20</v>
      </c>
      <c r="C11" s="10">
        <v>102345</v>
      </c>
      <c r="D11" s="10"/>
      <c r="E11" s="10"/>
      <c r="F11" s="10"/>
      <c r="G11" s="10">
        <f t="shared" si="0"/>
        <v>102345</v>
      </c>
      <c r="H11" s="16">
        <f t="shared" si="1"/>
        <v>49.11</v>
      </c>
      <c r="I11" s="15">
        <f t="shared" si="2"/>
        <v>0.111</v>
      </c>
      <c r="J11" s="15">
        <f>ROUND(G11/104350-1,2)</f>
        <v>-0.02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167</v>
      </c>
      <c r="F12" s="10"/>
      <c r="G12" s="10">
        <f t="shared" si="0"/>
        <v>167</v>
      </c>
      <c r="H12" s="16">
        <f t="shared" si="1"/>
        <v>0.08</v>
      </c>
      <c r="I12" s="15">
        <f t="shared" si="2"/>
        <v>0</v>
      </c>
      <c r="J12" s="15">
        <f>ROUND(G12/190-1,2)</f>
        <v>-0.12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208</v>
      </c>
      <c r="F13" s="10"/>
      <c r="G13" s="10">
        <f t="shared" si="0"/>
        <v>208</v>
      </c>
      <c r="H13" s="16">
        <f t="shared" si="1"/>
        <v>0.1</v>
      </c>
      <c r="I13" s="15">
        <f t="shared" si="2"/>
        <v>0</v>
      </c>
      <c r="J13" s="15">
        <f>ROUND(G13/175-1,2)</f>
        <v>0.19</v>
      </c>
    </row>
    <row r="14" spans="1:10" x14ac:dyDescent="0.25">
      <c r="A14" s="1" t="s">
        <v>16</v>
      </c>
      <c r="B14" s="1" t="s">
        <v>22</v>
      </c>
      <c r="C14" s="10"/>
      <c r="D14" s="10"/>
      <c r="E14" s="10">
        <v>2520</v>
      </c>
      <c r="F14" s="10"/>
      <c r="G14" s="10">
        <f t="shared" si="0"/>
        <v>2520</v>
      </c>
      <c r="H14" s="16">
        <f t="shared" si="1"/>
        <v>1.21</v>
      </c>
      <c r="I14" s="15">
        <f t="shared" si="2"/>
        <v>3.0000000000000001E-3</v>
      </c>
      <c r="J14" s="15">
        <f>ROUND(G14/1960-1,2)</f>
        <v>0.28999999999999998</v>
      </c>
    </row>
    <row r="15" spans="1:10" x14ac:dyDescent="0.25">
      <c r="A15" s="1" t="s">
        <v>16</v>
      </c>
      <c r="B15" s="1" t="s">
        <v>23</v>
      </c>
      <c r="C15" s="10"/>
      <c r="D15" s="10"/>
      <c r="E15" s="10">
        <v>104000</v>
      </c>
      <c r="F15" s="10"/>
      <c r="G15" s="10">
        <f t="shared" si="0"/>
        <v>104000</v>
      </c>
      <c r="H15" s="16">
        <f t="shared" si="1"/>
        <v>49.9</v>
      </c>
      <c r="I15" s="15">
        <f t="shared" si="2"/>
        <v>0.113</v>
      </c>
      <c r="J15" s="15">
        <f>ROUND(G15/103720-1,2)</f>
        <v>0</v>
      </c>
    </row>
    <row r="16" spans="1:10" x14ac:dyDescent="0.25">
      <c r="A16" s="1" t="s">
        <v>16</v>
      </c>
      <c r="B16" s="1" t="s">
        <v>24</v>
      </c>
      <c r="C16" s="10">
        <v>87300</v>
      </c>
      <c r="D16" s="10"/>
      <c r="E16" s="10"/>
      <c r="F16" s="10"/>
      <c r="G16" s="10">
        <f t="shared" si="0"/>
        <v>87300</v>
      </c>
      <c r="H16" s="16">
        <f t="shared" si="1"/>
        <v>41.89</v>
      </c>
      <c r="I16" s="15">
        <f t="shared" si="2"/>
        <v>9.5000000000000001E-2</v>
      </c>
      <c r="J16" s="15">
        <f>ROUND(G16/88740-1,2)</f>
        <v>-0.02</v>
      </c>
    </row>
    <row r="17" spans="1:10" x14ac:dyDescent="0.25">
      <c r="A17" s="1" t="s">
        <v>16</v>
      </c>
      <c r="B17" s="1" t="s">
        <v>25</v>
      </c>
      <c r="C17" s="10"/>
      <c r="D17" s="10"/>
      <c r="E17" s="10">
        <v>3575</v>
      </c>
      <c r="F17" s="10"/>
      <c r="G17" s="10">
        <f t="shared" si="0"/>
        <v>3575</v>
      </c>
      <c r="H17" s="16">
        <f t="shared" si="1"/>
        <v>1.72</v>
      </c>
      <c r="I17" s="15">
        <f t="shared" si="2"/>
        <v>4.0000000000000001E-3</v>
      </c>
      <c r="J17" s="15">
        <f>ROUND(G17/4230-1,2)</f>
        <v>-0.15</v>
      </c>
    </row>
    <row r="18" spans="1:10" x14ac:dyDescent="0.25">
      <c r="A18" s="1" t="s">
        <v>16</v>
      </c>
      <c r="B18" s="1" t="s">
        <v>26</v>
      </c>
      <c r="C18" s="10">
        <v>123760</v>
      </c>
      <c r="D18" s="10"/>
      <c r="E18" s="10"/>
      <c r="F18" s="10">
        <v>1280</v>
      </c>
      <c r="G18" s="10">
        <f t="shared" si="0"/>
        <v>125040</v>
      </c>
      <c r="H18" s="16">
        <f t="shared" si="1"/>
        <v>60</v>
      </c>
      <c r="I18" s="15">
        <f t="shared" si="2"/>
        <v>0.13600000000000001</v>
      </c>
      <c r="J18" s="15">
        <f>ROUND(G18/119200-1,2)</f>
        <v>0.05</v>
      </c>
    </row>
    <row r="19" spans="1:10" x14ac:dyDescent="0.25">
      <c r="A19" s="1" t="s">
        <v>16</v>
      </c>
      <c r="B19" s="1" t="s">
        <v>27</v>
      </c>
      <c r="C19" s="10"/>
      <c r="D19" s="10"/>
      <c r="E19" s="10">
        <v>190</v>
      </c>
      <c r="F19" s="10"/>
      <c r="G19" s="10">
        <f t="shared" si="0"/>
        <v>190</v>
      </c>
      <c r="H19" s="16">
        <f t="shared" si="1"/>
        <v>0.09</v>
      </c>
      <c r="I19" s="15">
        <f t="shared" si="2"/>
        <v>0</v>
      </c>
      <c r="J19" s="15">
        <f>ROUND(G19/194-1,2)</f>
        <v>-0.02</v>
      </c>
    </row>
    <row r="20" spans="1:10" x14ac:dyDescent="0.25">
      <c r="A20" s="1" t="s">
        <v>16</v>
      </c>
      <c r="B20" s="1" t="s">
        <v>28</v>
      </c>
      <c r="C20" s="10"/>
      <c r="D20" s="10"/>
      <c r="E20" s="10">
        <v>306</v>
      </c>
      <c r="F20" s="10"/>
      <c r="G20" s="10">
        <f t="shared" si="0"/>
        <v>306</v>
      </c>
      <c r="H20" s="16">
        <f t="shared" si="1"/>
        <v>0.15</v>
      </c>
      <c r="I20" s="15">
        <f t="shared" si="2"/>
        <v>0</v>
      </c>
      <c r="J20" s="15">
        <f>ROUND(G20/61-1,2)</f>
        <v>4.0199999999999996</v>
      </c>
    </row>
    <row r="21" spans="1:10" x14ac:dyDescent="0.25">
      <c r="A21" s="1" t="s">
        <v>16</v>
      </c>
      <c r="B21" s="1" t="s">
        <v>29</v>
      </c>
      <c r="C21" s="10"/>
      <c r="D21" s="10"/>
      <c r="E21" s="10">
        <v>3480</v>
      </c>
      <c r="F21" s="10"/>
      <c r="G21" s="10">
        <f t="shared" si="0"/>
        <v>3480</v>
      </c>
      <c r="H21" s="16">
        <f t="shared" si="1"/>
        <v>1.67</v>
      </c>
      <c r="I21" s="15">
        <f t="shared" si="2"/>
        <v>4.0000000000000001E-3</v>
      </c>
      <c r="J21" s="15">
        <f>ROUND(G21/3680-1,2)</f>
        <v>-0.05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410</v>
      </c>
      <c r="F22" s="10"/>
      <c r="G22" s="10">
        <f t="shared" si="0"/>
        <v>410</v>
      </c>
      <c r="H22" s="16">
        <f t="shared" si="1"/>
        <v>0.2</v>
      </c>
      <c r="I22" s="15">
        <f t="shared" si="2"/>
        <v>0</v>
      </c>
      <c r="J22" s="15">
        <f>ROUND(G22/690-1,2)</f>
        <v>-0.41</v>
      </c>
    </row>
    <row r="23" spans="1:10" x14ac:dyDescent="0.25">
      <c r="A23" s="1" t="s">
        <v>16</v>
      </c>
      <c r="B23" s="1" t="s">
        <v>31</v>
      </c>
      <c r="C23" s="10"/>
      <c r="D23" s="10"/>
      <c r="E23" s="10">
        <v>850</v>
      </c>
      <c r="F23" s="10"/>
      <c r="G23" s="10">
        <f t="shared" si="0"/>
        <v>850</v>
      </c>
      <c r="H23" s="16">
        <f t="shared" si="1"/>
        <v>0.41</v>
      </c>
      <c r="I23" s="15">
        <f t="shared" si="2"/>
        <v>1E-3</v>
      </c>
      <c r="J23" s="15">
        <f>ROUND(G23/780-1,2)</f>
        <v>0.09</v>
      </c>
    </row>
    <row r="24" spans="1:10" x14ac:dyDescent="0.25">
      <c r="A24" s="1" t="s">
        <v>16</v>
      </c>
      <c r="B24" s="1" t="s">
        <v>32</v>
      </c>
      <c r="C24" s="10"/>
      <c r="D24" s="10"/>
      <c r="E24" s="10">
        <v>2735</v>
      </c>
      <c r="F24" s="10"/>
      <c r="G24" s="10">
        <f t="shared" si="0"/>
        <v>2735</v>
      </c>
      <c r="H24" s="16">
        <f t="shared" si="1"/>
        <v>1.31</v>
      </c>
      <c r="I24" s="15">
        <f t="shared" si="2"/>
        <v>3.0000000000000001E-3</v>
      </c>
      <c r="J24" s="15">
        <f>ROUND(G24/2855-1,2)</f>
        <v>-0.04</v>
      </c>
    </row>
    <row r="25" spans="1:10" x14ac:dyDescent="0.25">
      <c r="A25" s="1" t="s">
        <v>16</v>
      </c>
      <c r="B25" s="1" t="s">
        <v>33</v>
      </c>
      <c r="C25" s="10"/>
      <c r="D25" s="10">
        <v>311</v>
      </c>
      <c r="E25" s="10"/>
      <c r="F25" s="10"/>
      <c r="G25" s="10">
        <f t="shared" si="0"/>
        <v>311</v>
      </c>
      <c r="H25" s="16">
        <f t="shared" si="1"/>
        <v>0.15</v>
      </c>
      <c r="I25" s="15">
        <f t="shared" si="2"/>
        <v>0</v>
      </c>
      <c r="J25" s="15">
        <f>ROUND(G25/300-1,2)</f>
        <v>0.04</v>
      </c>
    </row>
    <row r="26" spans="1:10" x14ac:dyDescent="0.25">
      <c r="A26" s="1" t="s">
        <v>16</v>
      </c>
      <c r="B26" s="1" t="s">
        <v>35</v>
      </c>
      <c r="C26" s="10"/>
      <c r="D26" s="10">
        <v>25</v>
      </c>
      <c r="E26" s="10"/>
      <c r="F26" s="10"/>
      <c r="G26" s="10">
        <f t="shared" si="0"/>
        <v>25</v>
      </c>
      <c r="H26" s="16">
        <f t="shared" si="1"/>
        <v>0.01</v>
      </c>
      <c r="I26" s="15">
        <f t="shared" si="2"/>
        <v>0</v>
      </c>
      <c r="J26" s="15">
        <f>ROUND(G26/290-1,2)</f>
        <v>-0.91</v>
      </c>
    </row>
    <row r="27" spans="1:10" x14ac:dyDescent="0.25">
      <c r="A27" s="1" t="s">
        <v>16</v>
      </c>
      <c r="B27" s="1" t="s">
        <v>36</v>
      </c>
      <c r="C27" s="10"/>
      <c r="D27" s="10"/>
      <c r="E27" s="10">
        <v>880</v>
      </c>
      <c r="F27" s="10"/>
      <c r="G27" s="10">
        <f t="shared" si="0"/>
        <v>880</v>
      </c>
      <c r="H27" s="16">
        <f t="shared" si="1"/>
        <v>0.42</v>
      </c>
      <c r="I27" s="15">
        <f t="shared" si="2"/>
        <v>1E-3</v>
      </c>
      <c r="J27" s="15">
        <f>ROUND(G27/3400-1,2)</f>
        <v>-0.74</v>
      </c>
    </row>
    <row r="28" spans="1:10" x14ac:dyDescent="0.25">
      <c r="A28" s="1" t="s">
        <v>16</v>
      </c>
      <c r="B28" s="1" t="s">
        <v>43</v>
      </c>
      <c r="C28" s="10"/>
      <c r="D28" s="10"/>
      <c r="E28" s="10">
        <v>2220</v>
      </c>
      <c r="F28" s="10"/>
      <c r="G28" s="10">
        <f t="shared" si="0"/>
        <v>2220</v>
      </c>
      <c r="H28" s="16">
        <f t="shared" si="1"/>
        <v>1.07</v>
      </c>
      <c r="I28" s="15">
        <f t="shared" si="2"/>
        <v>2E-3</v>
      </c>
      <c r="J28" s="15">
        <f>ROUND(G28/5018-1,2)</f>
        <v>-0.56000000000000005</v>
      </c>
    </row>
    <row r="29" spans="1:10" x14ac:dyDescent="0.25">
      <c r="A29" s="1" t="s">
        <v>16</v>
      </c>
      <c r="B29" s="1" t="s">
        <v>37</v>
      </c>
      <c r="C29" s="10"/>
      <c r="D29" s="10"/>
      <c r="E29" s="10">
        <v>1540</v>
      </c>
      <c r="F29" s="10"/>
      <c r="G29" s="10">
        <f t="shared" si="0"/>
        <v>1540</v>
      </c>
      <c r="H29" s="16">
        <f t="shared" si="1"/>
        <v>0.74</v>
      </c>
      <c r="I29" s="15">
        <f t="shared" si="2"/>
        <v>2E-3</v>
      </c>
      <c r="J29" s="15">
        <f>ROUND(G29/3250-1,2)</f>
        <v>-0.53</v>
      </c>
    </row>
    <row r="30" spans="1:10" x14ac:dyDescent="0.25">
      <c r="A30" s="1" t="s">
        <v>16</v>
      </c>
      <c r="B30" s="1" t="s">
        <v>38</v>
      </c>
      <c r="C30" s="10"/>
      <c r="D30" s="10"/>
      <c r="E30" s="10">
        <v>69955</v>
      </c>
      <c r="F30" s="10"/>
      <c r="G30" s="10">
        <f t="shared" si="0"/>
        <v>69955</v>
      </c>
      <c r="H30" s="16">
        <f t="shared" si="1"/>
        <v>33.57</v>
      </c>
      <c r="I30" s="15">
        <f t="shared" si="2"/>
        <v>7.5999999999999998E-2</v>
      </c>
      <c r="J30" s="15">
        <f>ROUND(G30/61130-1,2)</f>
        <v>0.14000000000000001</v>
      </c>
    </row>
    <row r="31" spans="1:10" x14ac:dyDescent="0.25">
      <c r="A31" s="1" t="s">
        <v>16</v>
      </c>
      <c r="B31" s="1" t="s">
        <v>39</v>
      </c>
      <c r="C31" s="10"/>
      <c r="D31" s="10"/>
      <c r="E31" s="10">
        <v>6250</v>
      </c>
      <c r="F31" s="10"/>
      <c r="G31" s="10">
        <f t="shared" si="0"/>
        <v>6250</v>
      </c>
      <c r="H31" s="16">
        <f t="shared" si="1"/>
        <v>3</v>
      </c>
      <c r="I31" s="15">
        <f t="shared" si="2"/>
        <v>7.0000000000000001E-3</v>
      </c>
      <c r="J31" s="15">
        <f>ROUND(G31/8280-1,2)</f>
        <v>-0.25</v>
      </c>
    </row>
    <row r="32" spans="1:10" x14ac:dyDescent="0.25">
      <c r="A32" s="1" t="s">
        <v>16</v>
      </c>
      <c r="B32" s="1" t="s">
        <v>40</v>
      </c>
      <c r="C32" s="10"/>
      <c r="D32" s="10"/>
      <c r="E32" s="10">
        <v>16220</v>
      </c>
      <c r="F32" s="10"/>
      <c r="G32" s="10">
        <f t="shared" si="0"/>
        <v>16220</v>
      </c>
      <c r="H32" s="16">
        <f t="shared" si="1"/>
        <v>7.78</v>
      </c>
      <c r="I32" s="15">
        <f t="shared" si="2"/>
        <v>1.7999999999999999E-2</v>
      </c>
      <c r="J32" s="15">
        <f>ROUND(G32/19110-1,2)</f>
        <v>-0.15</v>
      </c>
    </row>
    <row r="33" spans="1:10" x14ac:dyDescent="0.25">
      <c r="A33" s="1" t="s">
        <v>16</v>
      </c>
      <c r="B33" s="1" t="s">
        <v>41</v>
      </c>
      <c r="C33" s="10"/>
      <c r="D33" s="10"/>
      <c r="E33" s="10">
        <v>45230</v>
      </c>
      <c r="F33" s="10"/>
      <c r="G33" s="10">
        <f t="shared" si="0"/>
        <v>45230</v>
      </c>
      <c r="H33" s="16">
        <f t="shared" si="1"/>
        <v>21.7</v>
      </c>
      <c r="I33" s="15">
        <f t="shared" si="2"/>
        <v>4.9000000000000002E-2</v>
      </c>
      <c r="J33" s="15">
        <f>ROUND(G33/42040-1,2)</f>
        <v>0.08</v>
      </c>
    </row>
    <row r="34" spans="1:10" x14ac:dyDescent="0.25">
      <c r="A34" s="1" t="s">
        <v>16</v>
      </c>
      <c r="B34" s="1" t="s">
        <v>34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ROUND(G34/850-1,2)</f>
        <v>-1</v>
      </c>
    </row>
    <row r="35" spans="1:10" x14ac:dyDescent="0.25">
      <c r="A35" s="1" t="s">
        <v>16</v>
      </c>
      <c r="B35" s="1" t="s">
        <v>227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16</v>
      </c>
      <c r="B36" s="1" t="s">
        <v>42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>
        <f>ROUND(G36/69-1,2)</f>
        <v>-1</v>
      </c>
    </row>
    <row r="37" spans="1:10" x14ac:dyDescent="0.25">
      <c r="A37" s="1" t="s">
        <v>16</v>
      </c>
      <c r="B37" s="1" t="s">
        <v>98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>
        <f>ROUND(G37/926-1,2)</f>
        <v>-1</v>
      </c>
    </row>
    <row r="38" spans="1:10" x14ac:dyDescent="0.25">
      <c r="A38" s="1" t="s">
        <v>44</v>
      </c>
      <c r="B38" s="1" t="s">
        <v>45</v>
      </c>
      <c r="C38" s="10">
        <v>243240</v>
      </c>
      <c r="D38" s="10"/>
      <c r="E38" s="10">
        <v>340</v>
      </c>
      <c r="F38" s="10"/>
      <c r="G38" s="10">
        <f t="shared" si="0"/>
        <v>243580</v>
      </c>
      <c r="H38" s="16">
        <f t="shared" si="1"/>
        <v>116.88</v>
      </c>
      <c r="I38" s="15">
        <f t="shared" si="2"/>
        <v>0.26400000000000001</v>
      </c>
      <c r="J38" s="15">
        <f>ROUND(G38/235390-1,2)</f>
        <v>0.03</v>
      </c>
    </row>
    <row r="39" spans="1:10" x14ac:dyDescent="0.25">
      <c r="A39" s="1" t="s">
        <v>44</v>
      </c>
      <c r="B39" s="1" t="s">
        <v>46</v>
      </c>
      <c r="C39" s="10"/>
      <c r="D39" s="10"/>
      <c r="E39" s="10">
        <v>35780</v>
      </c>
      <c r="F39" s="10"/>
      <c r="G39" s="10">
        <f t="shared" si="0"/>
        <v>35780</v>
      </c>
      <c r="H39" s="16">
        <f t="shared" si="1"/>
        <v>17.170000000000002</v>
      </c>
      <c r="I39" s="15">
        <f t="shared" si="2"/>
        <v>3.9E-2</v>
      </c>
      <c r="J39" s="15">
        <f>ROUND(G39/28120-1,2)</f>
        <v>0.27</v>
      </c>
    </row>
    <row r="40" spans="1:10" x14ac:dyDescent="0.25">
      <c r="A40" s="1" t="s">
        <v>44</v>
      </c>
      <c r="B40" s="1" t="s">
        <v>47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>
        <f>ROUND(G40/19990-1,2)</f>
        <v>-1</v>
      </c>
    </row>
    <row r="41" spans="1:10" x14ac:dyDescent="0.25">
      <c r="A41" s="1" t="s">
        <v>48</v>
      </c>
      <c r="B41" s="1" t="s">
        <v>49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>
        <f>ROUND(G41/28-1,2)</f>
        <v>-1</v>
      </c>
    </row>
    <row r="42" spans="1:10" x14ac:dyDescent="0.25">
      <c r="A42" s="1" t="s">
        <v>48</v>
      </c>
      <c r="B42" s="1" t="s">
        <v>51</v>
      </c>
      <c r="C42" s="10"/>
      <c r="D42" s="10"/>
      <c r="E42" s="10"/>
      <c r="F42" s="10"/>
      <c r="G42" s="10">
        <f t="shared" si="0"/>
        <v>0</v>
      </c>
      <c r="H42" s="16">
        <f t="shared" si="1"/>
        <v>0</v>
      </c>
      <c r="I42" s="15">
        <f t="shared" si="2"/>
        <v>0</v>
      </c>
      <c r="J42" s="15"/>
    </row>
    <row r="43" spans="1:10" x14ac:dyDescent="0.25">
      <c r="A43" s="1" t="s">
        <v>48</v>
      </c>
      <c r="B43" s="1" t="s">
        <v>50</v>
      </c>
      <c r="C43" s="10"/>
      <c r="D43" s="10"/>
      <c r="E43" s="10"/>
      <c r="F43" s="10"/>
      <c r="G43" s="10">
        <f t="shared" si="0"/>
        <v>0</v>
      </c>
      <c r="H43" s="16">
        <f t="shared" si="1"/>
        <v>0</v>
      </c>
      <c r="I43" s="15">
        <f t="shared" si="2"/>
        <v>0</v>
      </c>
      <c r="J43" s="15">
        <f>ROUND(G43/1010-1,2)</f>
        <v>-1</v>
      </c>
    </row>
    <row r="44" spans="1:10" x14ac:dyDescent="0.25">
      <c r="A44" s="1" t="s">
        <v>48</v>
      </c>
      <c r="B44" s="1" t="s">
        <v>86</v>
      </c>
      <c r="C44" s="10"/>
      <c r="D44" s="10"/>
      <c r="E44" s="10"/>
      <c r="F44" s="10"/>
      <c r="G44" s="10">
        <f t="shared" si="0"/>
        <v>0</v>
      </c>
      <c r="H44" s="16">
        <f t="shared" si="1"/>
        <v>0</v>
      </c>
      <c r="I44" s="15">
        <f t="shared" si="2"/>
        <v>0</v>
      </c>
      <c r="J44" s="15"/>
    </row>
    <row r="45" spans="1:10" x14ac:dyDescent="0.25">
      <c r="A45" s="30" t="s">
        <v>12</v>
      </c>
      <c r="B45" s="30"/>
      <c r="C45" s="11">
        <f t="shared" ref="C45:H45" si="3">SUM(C8:C44)</f>
        <v>623650</v>
      </c>
      <c r="D45" s="11">
        <f t="shared" si="3"/>
        <v>336</v>
      </c>
      <c r="E45" s="11">
        <f t="shared" si="3"/>
        <v>296949</v>
      </c>
      <c r="F45" s="11">
        <f t="shared" si="3"/>
        <v>1280</v>
      </c>
      <c r="G45" s="11">
        <f t="shared" si="3"/>
        <v>922215</v>
      </c>
      <c r="H45" s="14">
        <f t="shared" si="3"/>
        <v>442.51999999999992</v>
      </c>
      <c r="I45" s="17"/>
      <c r="J45" s="17"/>
    </row>
    <row r="46" spans="1:10" x14ac:dyDescent="0.25">
      <c r="A46" s="30" t="s">
        <v>14</v>
      </c>
      <c r="B46" s="30"/>
      <c r="C46" s="12">
        <f>ROUND(C45/G45,2)</f>
        <v>0.68</v>
      </c>
      <c r="D46" s="12">
        <f>ROUND(D45/G45,2)</f>
        <v>0</v>
      </c>
      <c r="E46" s="12">
        <f>ROUND(E45/G45,2)</f>
        <v>0.32</v>
      </c>
      <c r="F46" s="12">
        <f>ROUND(F45/G45,2)</f>
        <v>0</v>
      </c>
      <c r="G46" s="13"/>
      <c r="H46" s="13"/>
      <c r="I46" s="17"/>
      <c r="J46" s="17"/>
    </row>
    <row r="47" spans="1:10" x14ac:dyDescent="0.25">
      <c r="A47" s="2" t="s">
        <v>52</v>
      </c>
      <c r="B47" s="2"/>
      <c r="C47" s="13"/>
      <c r="D47" s="13"/>
      <c r="E47" s="13"/>
      <c r="F47" s="13"/>
      <c r="G47" s="13"/>
      <c r="H47" s="13"/>
      <c r="I47" s="17"/>
      <c r="J47" s="17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A51" s="30" t="s">
        <v>53</v>
      </c>
      <c r="B51" s="30"/>
      <c r="C51" s="5" t="s">
        <v>8</v>
      </c>
      <c r="D51" s="5" t="s">
        <v>9</v>
      </c>
      <c r="E51" s="5" t="s">
        <v>10</v>
      </c>
      <c r="F51" s="5" t="s">
        <v>11</v>
      </c>
      <c r="G51" s="5" t="s">
        <v>12</v>
      </c>
      <c r="H51" s="3" t="s">
        <v>13</v>
      </c>
      <c r="I51" s="2"/>
      <c r="J51" s="2"/>
    </row>
    <row r="52" spans="1:10" x14ac:dyDescent="0.25">
      <c r="A52" s="29" t="s">
        <v>54</v>
      </c>
      <c r="B52" s="29"/>
      <c r="C52" s="4">
        <v>380410</v>
      </c>
      <c r="D52" s="4">
        <v>336</v>
      </c>
      <c r="E52" s="4">
        <v>260829</v>
      </c>
      <c r="F52" s="4">
        <v>1280</v>
      </c>
      <c r="G52" s="4">
        <f>SUM(C52:F52)</f>
        <v>642855</v>
      </c>
      <c r="H52" s="1">
        <f>ROUND(G52/2084,2)</f>
        <v>308.47000000000003</v>
      </c>
    </row>
    <row r="53" spans="1:10" x14ac:dyDescent="0.25">
      <c r="A53" s="29" t="s">
        <v>55</v>
      </c>
      <c r="B53" s="29"/>
      <c r="C53" s="4">
        <v>243240</v>
      </c>
      <c r="D53" s="4">
        <v>0</v>
      </c>
      <c r="E53" s="4">
        <v>36120</v>
      </c>
      <c r="F53" s="4">
        <v>0</v>
      </c>
      <c r="G53" s="4">
        <f>SUM(C53:F53)</f>
        <v>279360</v>
      </c>
      <c r="H53" s="1">
        <f>ROUND(G53/2084,2)</f>
        <v>134.05000000000001</v>
      </c>
    </row>
    <row r="54" spans="1:10" x14ac:dyDescent="0.25">
      <c r="A54" s="29" t="s">
        <v>56</v>
      </c>
      <c r="B54" s="29"/>
      <c r="C54" s="4">
        <v>0</v>
      </c>
      <c r="D54" s="4">
        <v>0</v>
      </c>
      <c r="E54" s="4">
        <v>0</v>
      </c>
      <c r="F54" s="4">
        <v>0</v>
      </c>
      <c r="G54" s="4">
        <f>SUM(C54:F54)</f>
        <v>0</v>
      </c>
      <c r="H54" s="1">
        <f>ROUND(G54/2084,2)</f>
        <v>0</v>
      </c>
    </row>
    <row r="57" spans="1:10" x14ac:dyDescent="0.25">
      <c r="G57" s="21"/>
    </row>
    <row r="58" spans="1:10" x14ac:dyDescent="0.25">
      <c r="G58" s="21"/>
    </row>
    <row r="59" spans="1:10" x14ac:dyDescent="0.25">
      <c r="A59" s="30" t="s">
        <v>57</v>
      </c>
      <c r="B59" s="30"/>
      <c r="C59" s="3" t="s">
        <v>2</v>
      </c>
      <c r="D59" s="3">
        <v>2023</v>
      </c>
      <c r="E59" s="3" t="s">
        <v>59</v>
      </c>
      <c r="F59" s="2"/>
      <c r="G59" s="3" t="s">
        <v>60</v>
      </c>
      <c r="H59" s="3" t="s">
        <v>2</v>
      </c>
      <c r="I59" s="3" t="s">
        <v>61</v>
      </c>
      <c r="J59" s="3" t="s">
        <v>59</v>
      </c>
    </row>
    <row r="60" spans="1:10" x14ac:dyDescent="0.25">
      <c r="A60" s="29" t="s">
        <v>58</v>
      </c>
      <c r="B60" s="29"/>
      <c r="C60" s="7">
        <f>ROUND(0.6987, 4)</f>
        <v>0.69869999999999999</v>
      </c>
      <c r="D60" s="7">
        <f>ROUND(0.712, 4)</f>
        <v>0.71199999999999997</v>
      </c>
      <c r="E60" s="7">
        <f>ROUND(0.777, 4)</f>
        <v>0.77700000000000002</v>
      </c>
      <c r="G60" s="3" t="s">
        <v>62</v>
      </c>
      <c r="H60" s="36" t="s">
        <v>63</v>
      </c>
      <c r="I60" s="36" t="s">
        <v>64</v>
      </c>
      <c r="J60" s="36" t="s">
        <v>65</v>
      </c>
    </row>
    <row r="61" spans="1:10" x14ac:dyDescent="0.25">
      <c r="A61" s="29" t="s">
        <v>66</v>
      </c>
      <c r="B61" s="29"/>
      <c r="C61" s="7">
        <f>ROUND(0.6881, 4)</f>
        <v>0.68810000000000004</v>
      </c>
      <c r="D61" s="7">
        <f>ROUND(0.7016, 4)</f>
        <v>0.7016</v>
      </c>
      <c r="E61" s="7">
        <f>ROUND(0.7608, 4)</f>
        <v>0.76080000000000003</v>
      </c>
      <c r="G61" s="3" t="s">
        <v>67</v>
      </c>
      <c r="H61" s="29"/>
      <c r="I61" s="29"/>
      <c r="J61" s="29"/>
    </row>
    <row r="65" spans="1:10" x14ac:dyDescent="0.25">
      <c r="A65" s="30" t="s">
        <v>68</v>
      </c>
      <c r="B65" s="30"/>
      <c r="C65" s="3" t="s">
        <v>2</v>
      </c>
      <c r="D65" s="3" t="s">
        <v>334</v>
      </c>
      <c r="E65" s="3" t="s">
        <v>70</v>
      </c>
      <c r="F65" s="3" t="s">
        <v>71</v>
      </c>
      <c r="G65" s="3" t="s">
        <v>72</v>
      </c>
      <c r="H65" s="2"/>
      <c r="I65" s="2"/>
      <c r="J65" s="2"/>
    </row>
    <row r="66" spans="1:10" x14ac:dyDescent="0.25">
      <c r="A66" s="29" t="s">
        <v>73</v>
      </c>
      <c r="B66" s="29"/>
      <c r="C66" s="1">
        <v>116.88</v>
      </c>
      <c r="D66" s="1">
        <v>107.8</v>
      </c>
      <c r="E66" s="1">
        <v>93.87</v>
      </c>
      <c r="F66" s="1">
        <v>57.16</v>
      </c>
      <c r="G66" s="1">
        <f>12/12*C66</f>
        <v>116.88</v>
      </c>
    </row>
    <row r="67" spans="1:10" x14ac:dyDescent="0.25">
      <c r="A67" s="29" t="s">
        <v>74</v>
      </c>
      <c r="B67" s="29"/>
      <c r="C67" s="1">
        <v>60</v>
      </c>
      <c r="D67" s="1">
        <v>60.9</v>
      </c>
      <c r="E67" s="1">
        <v>62.84</v>
      </c>
      <c r="F67" s="1">
        <v>65.39</v>
      </c>
      <c r="G67" s="1">
        <f>12/12*C67</f>
        <v>60</v>
      </c>
    </row>
    <row r="68" spans="1:10" x14ac:dyDescent="0.25">
      <c r="A68" s="29" t="s">
        <v>75</v>
      </c>
      <c r="B68" s="29"/>
      <c r="C68" s="1">
        <v>308.47000000000003</v>
      </c>
      <c r="D68" s="1">
        <v>296.14</v>
      </c>
      <c r="E68" s="1">
        <v>295.08999999999997</v>
      </c>
      <c r="F68" s="1">
        <v>289.06</v>
      </c>
      <c r="G68" s="1">
        <f>12/12*C68</f>
        <v>308.47000000000003</v>
      </c>
    </row>
    <row r="69" spans="1:10" x14ac:dyDescent="0.25">
      <c r="A69" s="29" t="s">
        <v>76</v>
      </c>
      <c r="B69" s="29"/>
      <c r="C69" s="1">
        <v>134.05000000000001</v>
      </c>
      <c r="D69" s="1">
        <v>122.83</v>
      </c>
      <c r="E69" s="1">
        <v>118.05</v>
      </c>
      <c r="F69" s="1">
        <v>81.41</v>
      </c>
      <c r="G69" s="1">
        <f>12/12*C69</f>
        <v>134.05000000000001</v>
      </c>
    </row>
    <row r="72" spans="1:10" x14ac:dyDescent="0.25">
      <c r="A72" s="28" t="s">
        <v>60</v>
      </c>
      <c r="B72" s="35"/>
    </row>
    <row r="73" spans="1:10" x14ac:dyDescent="0.25">
      <c r="A73" s="3" t="s">
        <v>77</v>
      </c>
      <c r="B73" s="1" t="s">
        <v>335</v>
      </c>
    </row>
    <row r="74" spans="1:10" x14ac:dyDescent="0.25">
      <c r="A74" s="3" t="s">
        <v>70</v>
      </c>
      <c r="B74" s="1" t="s">
        <v>79</v>
      </c>
    </row>
    <row r="75" spans="1:10" x14ac:dyDescent="0.25">
      <c r="A75" s="3" t="s">
        <v>71</v>
      </c>
      <c r="B75" s="1" t="s">
        <v>80</v>
      </c>
    </row>
    <row r="76" spans="1:10" x14ac:dyDescent="0.25">
      <c r="A76" s="3" t="s">
        <v>72</v>
      </c>
      <c r="B76" s="1" t="s">
        <v>81</v>
      </c>
    </row>
  </sheetData>
  <mergeCells count="19">
    <mergeCell ref="A67:B67"/>
    <mergeCell ref="A68:B68"/>
    <mergeCell ref="A69:B69"/>
    <mergeCell ref="A72:B72"/>
    <mergeCell ref="I60:I61"/>
    <mergeCell ref="J60:J61"/>
    <mergeCell ref="A61:B61"/>
    <mergeCell ref="A65:B65"/>
    <mergeCell ref="A66:B66"/>
    <mergeCell ref="A53:B53"/>
    <mergeCell ref="A54:B54"/>
    <mergeCell ref="A59:B59"/>
    <mergeCell ref="A60:B60"/>
    <mergeCell ref="H60:H61"/>
    <mergeCell ref="C7:G7"/>
    <mergeCell ref="A45:B45"/>
    <mergeCell ref="A46:B46"/>
    <mergeCell ref="A51:B51"/>
    <mergeCell ref="A52:B52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2:J68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9.425781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336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1715</v>
      </c>
    </row>
    <row r="7" spans="1:10" x14ac:dyDescent="0.25">
      <c r="C7" s="28" t="s">
        <v>5</v>
      </c>
      <c r="D7" s="29"/>
      <c r="E7" s="29"/>
      <c r="F7" s="29"/>
      <c r="G7" s="29"/>
    </row>
    <row r="8" spans="1:10" x14ac:dyDescent="0.25">
      <c r="A8" s="25" t="s">
        <v>6</v>
      </c>
      <c r="B8" s="25" t="s">
        <v>7</v>
      </c>
      <c r="C8" s="27" t="s">
        <v>8</v>
      </c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</row>
    <row r="9" spans="1:10" x14ac:dyDescent="0.25">
      <c r="A9" s="1" t="s">
        <v>16</v>
      </c>
      <c r="B9" s="1" t="s">
        <v>19</v>
      </c>
      <c r="C9" s="10">
        <v>44380</v>
      </c>
      <c r="D9" s="10"/>
      <c r="E9" s="10"/>
      <c r="F9" s="10"/>
      <c r="G9" s="10">
        <f t="shared" ref="G9:G18" si="0">SUM(C9:F9)</f>
        <v>44380</v>
      </c>
      <c r="H9" s="16">
        <f t="shared" ref="H9:H18" si="1">ROUND(G9/1715,2)</f>
        <v>25.88</v>
      </c>
      <c r="I9" s="15">
        <f t="shared" ref="I9:I18" si="2">ROUND(G9/$G$19,3)</f>
        <v>0.107</v>
      </c>
      <c r="J9" s="15">
        <f>ROUND(G9/44670-1,2)</f>
        <v>-0.01</v>
      </c>
    </row>
    <row r="10" spans="1:10" x14ac:dyDescent="0.25">
      <c r="A10" s="1" t="s">
        <v>16</v>
      </c>
      <c r="B10" s="1" t="s">
        <v>20</v>
      </c>
      <c r="C10" s="10">
        <v>59420</v>
      </c>
      <c r="D10" s="10"/>
      <c r="E10" s="10"/>
      <c r="F10" s="10"/>
      <c r="G10" s="10">
        <f t="shared" si="0"/>
        <v>59420</v>
      </c>
      <c r="H10" s="16">
        <f t="shared" si="1"/>
        <v>34.65</v>
      </c>
      <c r="I10" s="15">
        <f t="shared" si="2"/>
        <v>0.14299999999999999</v>
      </c>
      <c r="J10" s="15">
        <f>ROUND(G10/60680-1,2)</f>
        <v>-0.02</v>
      </c>
    </row>
    <row r="11" spans="1:10" x14ac:dyDescent="0.25">
      <c r="A11" s="1" t="s">
        <v>16</v>
      </c>
      <c r="B11" s="1" t="s">
        <v>24</v>
      </c>
      <c r="C11" s="10">
        <v>51760</v>
      </c>
      <c r="D11" s="10"/>
      <c r="E11" s="10"/>
      <c r="F11" s="10"/>
      <c r="G11" s="10">
        <f t="shared" si="0"/>
        <v>51760</v>
      </c>
      <c r="H11" s="16">
        <f t="shared" si="1"/>
        <v>30.18</v>
      </c>
      <c r="I11" s="15">
        <f t="shared" si="2"/>
        <v>0.125</v>
      </c>
      <c r="J11" s="15">
        <f>ROUND(G11/53600-1,2)</f>
        <v>-0.03</v>
      </c>
    </row>
    <row r="12" spans="1:10" x14ac:dyDescent="0.25">
      <c r="A12" s="1" t="s">
        <v>16</v>
      </c>
      <c r="B12" s="1" t="s">
        <v>26</v>
      </c>
      <c r="C12" s="10">
        <v>109960</v>
      </c>
      <c r="D12" s="10"/>
      <c r="E12" s="10"/>
      <c r="F12" s="10"/>
      <c r="G12" s="10">
        <f t="shared" si="0"/>
        <v>109960</v>
      </c>
      <c r="H12" s="16">
        <f t="shared" si="1"/>
        <v>64.12</v>
      </c>
      <c r="I12" s="15">
        <f t="shared" si="2"/>
        <v>0.26500000000000001</v>
      </c>
      <c r="J12" s="15">
        <f>ROUND(G12/121920-1,2)</f>
        <v>-0.1</v>
      </c>
    </row>
    <row r="13" spans="1:10" x14ac:dyDescent="0.25">
      <c r="A13" s="1" t="s">
        <v>16</v>
      </c>
      <c r="B13" s="1" t="s">
        <v>33</v>
      </c>
      <c r="C13" s="10"/>
      <c r="D13" s="10">
        <v>182</v>
      </c>
      <c r="E13" s="10">
        <v>21</v>
      </c>
      <c r="F13" s="10"/>
      <c r="G13" s="10">
        <f t="shared" si="0"/>
        <v>203</v>
      </c>
      <c r="H13" s="16">
        <f t="shared" si="1"/>
        <v>0.12</v>
      </c>
      <c r="I13" s="15">
        <f t="shared" si="2"/>
        <v>0</v>
      </c>
      <c r="J13" s="15">
        <f>ROUND(G13/206-1,2)</f>
        <v>-0.01</v>
      </c>
    </row>
    <row r="14" spans="1:10" x14ac:dyDescent="0.25">
      <c r="A14" s="1" t="s">
        <v>16</v>
      </c>
      <c r="B14" s="1" t="s">
        <v>35</v>
      </c>
      <c r="C14" s="10"/>
      <c r="D14" s="10">
        <v>50</v>
      </c>
      <c r="E14" s="10"/>
      <c r="F14" s="10"/>
      <c r="G14" s="10">
        <f t="shared" si="0"/>
        <v>50</v>
      </c>
      <c r="H14" s="16">
        <f t="shared" si="1"/>
        <v>0.03</v>
      </c>
      <c r="I14" s="15">
        <f t="shared" si="2"/>
        <v>0</v>
      </c>
      <c r="J14" s="15">
        <f>ROUND(G14/345-1,2)</f>
        <v>-0.86</v>
      </c>
    </row>
    <row r="15" spans="1:10" x14ac:dyDescent="0.25">
      <c r="A15" s="1" t="s">
        <v>16</v>
      </c>
      <c r="B15" s="1" t="s">
        <v>23</v>
      </c>
      <c r="C15" s="10"/>
      <c r="D15" s="10"/>
      <c r="E15" s="10"/>
      <c r="F15" s="10"/>
      <c r="G15" s="10">
        <f t="shared" si="0"/>
        <v>0</v>
      </c>
      <c r="H15" s="16">
        <f t="shared" si="1"/>
        <v>0</v>
      </c>
      <c r="I15" s="15">
        <f t="shared" si="2"/>
        <v>0</v>
      </c>
      <c r="J15" s="15"/>
    </row>
    <row r="16" spans="1:10" x14ac:dyDescent="0.25">
      <c r="A16" s="1" t="s">
        <v>44</v>
      </c>
      <c r="B16" s="1" t="s">
        <v>45</v>
      </c>
      <c r="C16" s="10">
        <v>135920</v>
      </c>
      <c r="D16" s="10"/>
      <c r="E16" s="10"/>
      <c r="F16" s="10"/>
      <c r="G16" s="10">
        <f t="shared" si="0"/>
        <v>135920</v>
      </c>
      <c r="H16" s="16">
        <f t="shared" si="1"/>
        <v>79.25</v>
      </c>
      <c r="I16" s="15">
        <f t="shared" si="2"/>
        <v>0.32700000000000001</v>
      </c>
      <c r="J16" s="15">
        <f>ROUND(G16/132290-1,2)</f>
        <v>0.03</v>
      </c>
    </row>
    <row r="17" spans="1:10" x14ac:dyDescent="0.25">
      <c r="A17" s="1" t="s">
        <v>44</v>
      </c>
      <c r="B17" s="1" t="s">
        <v>47</v>
      </c>
      <c r="C17" s="10"/>
      <c r="D17" s="10"/>
      <c r="E17" s="10"/>
      <c r="F17" s="10">
        <v>14020</v>
      </c>
      <c r="G17" s="10">
        <f t="shared" si="0"/>
        <v>14020</v>
      </c>
      <c r="H17" s="16">
        <f t="shared" si="1"/>
        <v>8.17</v>
      </c>
      <c r="I17" s="15">
        <f t="shared" si="2"/>
        <v>3.4000000000000002E-2</v>
      </c>
      <c r="J17" s="15">
        <f>ROUND(G17/14940-1,2)</f>
        <v>-0.06</v>
      </c>
    </row>
    <row r="18" spans="1:10" x14ac:dyDescent="0.25">
      <c r="A18" s="1" t="s">
        <v>48</v>
      </c>
      <c r="B18" s="1" t="s">
        <v>51</v>
      </c>
      <c r="C18" s="10"/>
      <c r="D18" s="10"/>
      <c r="E18" s="10"/>
      <c r="F18" s="10"/>
      <c r="G18" s="10">
        <f t="shared" si="0"/>
        <v>0</v>
      </c>
      <c r="H18" s="16">
        <f t="shared" si="1"/>
        <v>0</v>
      </c>
      <c r="I18" s="15">
        <f t="shared" si="2"/>
        <v>0</v>
      </c>
      <c r="J18" s="15"/>
    </row>
    <row r="19" spans="1:10" x14ac:dyDescent="0.25">
      <c r="A19" s="30" t="s">
        <v>12</v>
      </c>
      <c r="B19" s="30"/>
      <c r="C19" s="11">
        <f t="shared" ref="C19:H19" si="3">SUM(C8:C18)</f>
        <v>401440</v>
      </c>
      <c r="D19" s="11">
        <f t="shared" si="3"/>
        <v>232</v>
      </c>
      <c r="E19" s="11">
        <f t="shared" si="3"/>
        <v>21</v>
      </c>
      <c r="F19" s="11">
        <f t="shared" si="3"/>
        <v>14020</v>
      </c>
      <c r="G19" s="11">
        <f t="shared" si="3"/>
        <v>415713</v>
      </c>
      <c r="H19" s="14">
        <f t="shared" si="3"/>
        <v>242.4</v>
      </c>
      <c r="I19" s="17"/>
      <c r="J19" s="17"/>
    </row>
    <row r="20" spans="1:10" x14ac:dyDescent="0.25">
      <c r="A20" s="30" t="s">
        <v>14</v>
      </c>
      <c r="B20" s="30"/>
      <c r="C20" s="12">
        <f>ROUND(C19/G19,2)</f>
        <v>0.97</v>
      </c>
      <c r="D20" s="12">
        <f>ROUND(D19/G19,2)</f>
        <v>0</v>
      </c>
      <c r="E20" s="12">
        <f>ROUND(E19/G19,2)</f>
        <v>0</v>
      </c>
      <c r="F20" s="12">
        <f>ROUND(F19/G19,2)</f>
        <v>0.03</v>
      </c>
      <c r="G20" s="13"/>
      <c r="H20" s="13"/>
      <c r="I20" s="17"/>
      <c r="J20" s="17"/>
    </row>
    <row r="21" spans="1:10" x14ac:dyDescent="0.25">
      <c r="A21" s="2" t="s">
        <v>52</v>
      </c>
      <c r="B21" s="2"/>
      <c r="C21" s="13"/>
      <c r="D21" s="13"/>
      <c r="E21" s="13"/>
      <c r="F21" s="13"/>
      <c r="G21" s="13"/>
      <c r="H21" s="13"/>
      <c r="I21" s="17"/>
      <c r="J21" s="17"/>
    </row>
    <row r="22" spans="1:10" x14ac:dyDescent="0.25">
      <c r="C22" s="8"/>
      <c r="D22" s="8"/>
      <c r="E22" s="8"/>
      <c r="F22" s="8"/>
      <c r="G22" s="8"/>
      <c r="H22" s="8"/>
      <c r="I22" s="9"/>
      <c r="J22" s="9"/>
    </row>
    <row r="23" spans="1:10" x14ac:dyDescent="0.25">
      <c r="C23" s="8"/>
      <c r="D23" s="8"/>
      <c r="E23" s="8"/>
      <c r="F23" s="8"/>
      <c r="G23" s="8"/>
      <c r="H23" s="8"/>
      <c r="I23" s="9"/>
      <c r="J23" s="9"/>
    </row>
    <row r="24" spans="1:10" x14ac:dyDescent="0.25">
      <c r="C24" s="8"/>
      <c r="D24" s="8"/>
      <c r="E24" s="8"/>
      <c r="F24" s="8"/>
      <c r="G24" s="8"/>
      <c r="H24" s="8"/>
      <c r="I24" s="9"/>
      <c r="J24" s="9"/>
    </row>
    <row r="25" spans="1:10" x14ac:dyDescent="0.25">
      <c r="A25" s="30" t="s">
        <v>53</v>
      </c>
      <c r="B25" s="30"/>
      <c r="C25" s="11" t="s">
        <v>8</v>
      </c>
      <c r="D25" s="11" t="s">
        <v>9</v>
      </c>
      <c r="E25" s="11" t="s">
        <v>10</v>
      </c>
      <c r="F25" s="11" t="s">
        <v>11</v>
      </c>
      <c r="G25" s="11" t="s">
        <v>12</v>
      </c>
      <c r="H25" s="14" t="s">
        <v>13</v>
      </c>
      <c r="I25" s="17"/>
      <c r="J25" s="17"/>
    </row>
    <row r="26" spans="1:10" x14ac:dyDescent="0.25">
      <c r="A26" s="29" t="s">
        <v>54</v>
      </c>
      <c r="B26" s="29"/>
      <c r="C26" s="10">
        <v>265520</v>
      </c>
      <c r="D26" s="10">
        <v>232</v>
      </c>
      <c r="E26" s="10">
        <v>21</v>
      </c>
      <c r="F26" s="10">
        <v>0</v>
      </c>
      <c r="G26" s="10">
        <f>SUM(C26:F26)</f>
        <v>265773</v>
      </c>
      <c r="H26" s="16">
        <f>ROUND(G26/1715,2)</f>
        <v>154.97</v>
      </c>
      <c r="I26" s="9"/>
      <c r="J26" s="9"/>
    </row>
    <row r="27" spans="1:10" x14ac:dyDescent="0.25">
      <c r="A27" s="29" t="s">
        <v>55</v>
      </c>
      <c r="B27" s="29"/>
      <c r="C27" s="10">
        <v>135920</v>
      </c>
      <c r="D27" s="10">
        <v>0</v>
      </c>
      <c r="E27" s="10">
        <v>0</v>
      </c>
      <c r="F27" s="10">
        <v>14020</v>
      </c>
      <c r="G27" s="10">
        <f>SUM(C27:F27)</f>
        <v>149940</v>
      </c>
      <c r="H27" s="16">
        <f>ROUND(G27/1715,2)</f>
        <v>87.43</v>
      </c>
      <c r="I27" s="9"/>
      <c r="J27" s="9"/>
    </row>
    <row r="28" spans="1:10" x14ac:dyDescent="0.25">
      <c r="A28" s="29" t="s">
        <v>56</v>
      </c>
      <c r="B28" s="29"/>
      <c r="C28" s="10">
        <v>0</v>
      </c>
      <c r="D28" s="10">
        <v>0</v>
      </c>
      <c r="E28" s="10">
        <v>0</v>
      </c>
      <c r="F28" s="10">
        <v>0</v>
      </c>
      <c r="G28" s="10">
        <f>SUM(C28:F28)</f>
        <v>0</v>
      </c>
      <c r="H28" s="16">
        <f>ROUND(G28/1715,2)</f>
        <v>0</v>
      </c>
      <c r="I28" s="9"/>
      <c r="J28" s="9"/>
    </row>
    <row r="29" spans="1:10" x14ac:dyDescent="0.25">
      <c r="C29" s="8"/>
      <c r="D29" s="8"/>
      <c r="E29" s="8"/>
      <c r="F29" s="8"/>
      <c r="G29" s="8"/>
      <c r="H29" s="8"/>
      <c r="I29" s="9"/>
      <c r="J29" s="9"/>
    </row>
    <row r="30" spans="1:10" x14ac:dyDescent="0.25">
      <c r="C30" s="8"/>
      <c r="D30" s="8"/>
      <c r="E30" s="8"/>
      <c r="F30" s="8"/>
      <c r="G30" s="8"/>
      <c r="H30" s="8"/>
      <c r="I30" s="9"/>
      <c r="J30" s="9"/>
    </row>
    <row r="31" spans="1:10" x14ac:dyDescent="0.25">
      <c r="C31" s="8"/>
      <c r="D31" s="8"/>
      <c r="E31" s="8"/>
      <c r="F31" s="8"/>
      <c r="G31" s="8"/>
      <c r="H31" s="8"/>
      <c r="I31" s="9"/>
      <c r="J31" s="9"/>
    </row>
    <row r="32" spans="1:10" x14ac:dyDescent="0.25">
      <c r="C32" s="8"/>
      <c r="D32" s="8"/>
      <c r="E32" s="8"/>
      <c r="F32" s="8"/>
      <c r="G32" s="8"/>
      <c r="H32" s="8"/>
      <c r="I32" s="9"/>
      <c r="J32" s="9"/>
    </row>
    <row r="33" spans="1:10" x14ac:dyDescent="0.25">
      <c r="A33" s="30" t="s">
        <v>57</v>
      </c>
      <c r="B33" s="30"/>
      <c r="C33" s="14" t="s">
        <v>2</v>
      </c>
      <c r="D33" s="14">
        <v>2023</v>
      </c>
      <c r="E33" s="14" t="s">
        <v>59</v>
      </c>
      <c r="F33" s="13"/>
      <c r="G33" s="14" t="s">
        <v>60</v>
      </c>
      <c r="H33" s="14" t="s">
        <v>2</v>
      </c>
      <c r="I33" s="12" t="s">
        <v>61</v>
      </c>
      <c r="J33" s="12" t="s">
        <v>59</v>
      </c>
    </row>
    <row r="34" spans="1:10" x14ac:dyDescent="0.25">
      <c r="A34" s="29" t="s">
        <v>58</v>
      </c>
      <c r="B34" s="29"/>
      <c r="C34" s="15">
        <f>ROUND(0.6682, 4)</f>
        <v>0.66820000000000002</v>
      </c>
      <c r="D34" s="15">
        <f>ROUND(0.6864, 4)</f>
        <v>0.68640000000000001</v>
      </c>
      <c r="E34" s="15">
        <f>ROUND(0.777, 4)</f>
        <v>0.77700000000000002</v>
      </c>
      <c r="F34" s="8"/>
      <c r="G34" s="14" t="s">
        <v>62</v>
      </c>
      <c r="H34" s="33" t="s">
        <v>63</v>
      </c>
      <c r="I34" s="31" t="s">
        <v>64</v>
      </c>
      <c r="J34" s="31" t="s">
        <v>65</v>
      </c>
    </row>
    <row r="35" spans="1:10" x14ac:dyDescent="0.25">
      <c r="A35" s="29" t="s">
        <v>66</v>
      </c>
      <c r="B35" s="29"/>
      <c r="C35" s="15">
        <f>ROUND(0.6545, 4)</f>
        <v>0.65449999999999997</v>
      </c>
      <c r="D35" s="15">
        <f>ROUND(0.673, 4)</f>
        <v>0.67300000000000004</v>
      </c>
      <c r="E35" s="15">
        <f>ROUND(0.7608, 4)</f>
        <v>0.76080000000000003</v>
      </c>
      <c r="F35" s="8"/>
      <c r="G35" s="14" t="s">
        <v>67</v>
      </c>
      <c r="H35" s="34"/>
      <c r="I35" s="32"/>
      <c r="J35" s="32"/>
    </row>
    <row r="36" spans="1:10" x14ac:dyDescent="0.25">
      <c r="C36" s="8"/>
      <c r="D36" s="8"/>
      <c r="E36" s="8"/>
      <c r="F36" s="8"/>
      <c r="G36" s="8"/>
      <c r="H36" s="8"/>
      <c r="I36" s="9"/>
      <c r="J36" s="9"/>
    </row>
    <row r="37" spans="1:10" x14ac:dyDescent="0.25">
      <c r="C37" s="8"/>
      <c r="D37" s="8"/>
      <c r="E37" s="8"/>
      <c r="F37" s="8"/>
      <c r="G37" s="8"/>
      <c r="H37" s="8"/>
      <c r="I37" s="9"/>
      <c r="J37" s="9"/>
    </row>
    <row r="38" spans="1:10" x14ac:dyDescent="0.25">
      <c r="C38" s="8"/>
      <c r="D38" s="8"/>
      <c r="E38" s="8"/>
      <c r="F38" s="8"/>
      <c r="G38" s="8"/>
      <c r="H38" s="8"/>
      <c r="I38" s="9"/>
      <c r="J38" s="9"/>
    </row>
    <row r="39" spans="1:10" x14ac:dyDescent="0.25">
      <c r="A39" s="30" t="s">
        <v>68</v>
      </c>
      <c r="B39" s="30"/>
      <c r="C39" s="14" t="s">
        <v>2</v>
      </c>
      <c r="D39" s="14" t="s">
        <v>337</v>
      </c>
      <c r="E39" s="14" t="s">
        <v>70</v>
      </c>
      <c r="F39" s="14" t="s">
        <v>71</v>
      </c>
      <c r="G39" s="14" t="s">
        <v>72</v>
      </c>
      <c r="H39" s="13"/>
      <c r="I39" s="17"/>
      <c r="J39" s="17"/>
    </row>
    <row r="40" spans="1:10" x14ac:dyDescent="0.25">
      <c r="A40" s="29" t="s">
        <v>73</v>
      </c>
      <c r="B40" s="29"/>
      <c r="C40" s="16">
        <v>79.25</v>
      </c>
      <c r="D40" s="16">
        <v>73.84</v>
      </c>
      <c r="E40" s="16">
        <v>93.87</v>
      </c>
      <c r="F40" s="16">
        <v>57.16</v>
      </c>
      <c r="G40" s="16">
        <f>12/12*C40</f>
        <v>79.25</v>
      </c>
      <c r="H40" s="8"/>
      <c r="I40" s="9"/>
      <c r="J40" s="9"/>
    </row>
    <row r="41" spans="1:10" x14ac:dyDescent="0.25">
      <c r="A41" s="29" t="s">
        <v>74</v>
      </c>
      <c r="B41" s="29"/>
      <c r="C41" s="16">
        <v>64.12</v>
      </c>
      <c r="D41" s="16">
        <v>73.510000000000005</v>
      </c>
      <c r="E41" s="16">
        <v>62.84</v>
      </c>
      <c r="F41" s="16">
        <v>65.39</v>
      </c>
      <c r="G41" s="16">
        <f>12/12*C41</f>
        <v>64.12</v>
      </c>
      <c r="H41" s="8"/>
      <c r="I41" s="9"/>
      <c r="J41" s="9"/>
    </row>
    <row r="42" spans="1:10" x14ac:dyDescent="0.25">
      <c r="A42" s="29" t="s">
        <v>75</v>
      </c>
      <c r="B42" s="29"/>
      <c r="C42" s="16">
        <v>154.97</v>
      </c>
      <c r="D42" s="16">
        <v>172.47</v>
      </c>
      <c r="E42" s="16">
        <v>295.08999999999997</v>
      </c>
      <c r="F42" s="16">
        <v>289.06</v>
      </c>
      <c r="G42" s="16">
        <f>12/12*C42</f>
        <v>154.97</v>
      </c>
      <c r="H42" s="8"/>
      <c r="I42" s="9"/>
      <c r="J42" s="9"/>
    </row>
    <row r="43" spans="1:10" x14ac:dyDescent="0.25">
      <c r="A43" s="29" t="s">
        <v>76</v>
      </c>
      <c r="B43" s="29"/>
      <c r="C43" s="16">
        <v>87.43</v>
      </c>
      <c r="D43" s="16">
        <v>83.13</v>
      </c>
      <c r="E43" s="16">
        <v>118.05</v>
      </c>
      <c r="F43" s="16">
        <v>81.41</v>
      </c>
      <c r="G43" s="16">
        <f>12/12*C43</f>
        <v>87.43</v>
      </c>
      <c r="H43" s="8"/>
      <c r="I43" s="9"/>
      <c r="J43" s="9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A46" s="28" t="s">
        <v>60</v>
      </c>
      <c r="B46" s="35"/>
      <c r="C46" s="8"/>
      <c r="D46" s="8"/>
      <c r="E46" s="8"/>
      <c r="F46" s="8"/>
      <c r="G46" s="8"/>
      <c r="H46" s="8"/>
      <c r="I46" s="9"/>
      <c r="J46" s="9"/>
    </row>
    <row r="47" spans="1:10" x14ac:dyDescent="0.25">
      <c r="A47" s="3" t="s">
        <v>77</v>
      </c>
      <c r="B47" s="1" t="s">
        <v>338</v>
      </c>
      <c r="C47" s="8"/>
      <c r="D47" s="8"/>
      <c r="E47" s="8"/>
      <c r="F47" s="8"/>
      <c r="G47" s="8"/>
      <c r="H47" s="8"/>
      <c r="I47" s="9"/>
      <c r="J47" s="9"/>
    </row>
    <row r="48" spans="1:10" x14ac:dyDescent="0.25">
      <c r="A48" s="3" t="s">
        <v>70</v>
      </c>
      <c r="B48" s="1" t="s">
        <v>79</v>
      </c>
      <c r="C48" s="8"/>
      <c r="D48" s="8"/>
      <c r="E48" s="8"/>
      <c r="F48" s="8"/>
      <c r="G48" s="8"/>
      <c r="H48" s="8"/>
      <c r="I48" s="9"/>
      <c r="J48" s="9"/>
    </row>
    <row r="49" spans="1:10" x14ac:dyDescent="0.25">
      <c r="A49" s="3" t="s">
        <v>71</v>
      </c>
      <c r="B49" s="1" t="s">
        <v>80</v>
      </c>
      <c r="C49" s="8"/>
      <c r="D49" s="8"/>
      <c r="E49" s="8"/>
      <c r="F49" s="8"/>
      <c r="G49" s="8"/>
      <c r="H49" s="8"/>
      <c r="I49" s="9"/>
      <c r="J49" s="9"/>
    </row>
    <row r="50" spans="1:10" x14ac:dyDescent="0.25">
      <c r="A50" s="3" t="s">
        <v>72</v>
      </c>
      <c r="B50" s="1" t="s">
        <v>81</v>
      </c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21"/>
      <c r="H57" s="8"/>
      <c r="I57" s="9"/>
      <c r="J57" s="9"/>
    </row>
    <row r="58" spans="1:10" x14ac:dyDescent="0.25">
      <c r="C58" s="8"/>
      <c r="D58" s="8"/>
      <c r="E58" s="8"/>
      <c r="F58" s="8"/>
      <c r="G58" s="21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3:10" x14ac:dyDescent="0.25">
      <c r="C65" s="8"/>
      <c r="D65" s="8"/>
      <c r="E65" s="8"/>
      <c r="F65" s="8"/>
      <c r="G65" s="8"/>
      <c r="H65" s="8"/>
      <c r="I65" s="9"/>
      <c r="J65" s="9"/>
    </row>
    <row r="66" spans="3:10" x14ac:dyDescent="0.25">
      <c r="C66" s="8"/>
      <c r="D66" s="8"/>
      <c r="E66" s="8"/>
      <c r="F66" s="8"/>
      <c r="G66" s="8"/>
      <c r="H66" s="8"/>
      <c r="I66" s="9"/>
      <c r="J66" s="9"/>
    </row>
    <row r="67" spans="3:10" x14ac:dyDescent="0.25">
      <c r="C67" s="8"/>
      <c r="D67" s="8"/>
      <c r="E67" s="8"/>
      <c r="F67" s="8"/>
      <c r="G67" s="8"/>
      <c r="H67" s="8"/>
      <c r="I67" s="9"/>
      <c r="J67" s="9"/>
    </row>
    <row r="68" spans="3:10" x14ac:dyDescent="0.25">
      <c r="C68" s="8"/>
      <c r="D68" s="8"/>
      <c r="E68" s="8"/>
      <c r="F68" s="8"/>
      <c r="G68" s="8"/>
      <c r="H68" s="8"/>
      <c r="I68" s="9"/>
      <c r="J68" s="9"/>
    </row>
  </sheetData>
  <mergeCells count="19">
    <mergeCell ref="A41:B41"/>
    <mergeCell ref="A42:B42"/>
    <mergeCell ref="A43:B43"/>
    <mergeCell ref="A46:B46"/>
    <mergeCell ref="I34:I35"/>
    <mergeCell ref="J34:J35"/>
    <mergeCell ref="A35:B35"/>
    <mergeCell ref="A39:B39"/>
    <mergeCell ref="A40:B40"/>
    <mergeCell ref="A27:B27"/>
    <mergeCell ref="A28:B28"/>
    <mergeCell ref="A33:B33"/>
    <mergeCell ref="A34:B34"/>
    <mergeCell ref="H34:H35"/>
    <mergeCell ref="C7:G7"/>
    <mergeCell ref="A19:B19"/>
    <mergeCell ref="A20:B20"/>
    <mergeCell ref="A25:B25"/>
    <mergeCell ref="A26:B26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2:J75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31.8554687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339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679</v>
      </c>
    </row>
    <row r="7" spans="1:10" x14ac:dyDescent="0.25">
      <c r="C7" s="28" t="s">
        <v>5</v>
      </c>
      <c r="D7" s="29"/>
      <c r="E7" s="29"/>
      <c r="F7" s="29"/>
      <c r="G7" s="29"/>
    </row>
    <row r="8" spans="1:10" x14ac:dyDescent="0.25">
      <c r="A8" s="25" t="s">
        <v>6</v>
      </c>
      <c r="B8" s="25" t="s">
        <v>7</v>
      </c>
      <c r="C8" s="27" t="s">
        <v>8</v>
      </c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</row>
    <row r="9" spans="1:10" x14ac:dyDescent="0.25">
      <c r="A9" s="1" t="s">
        <v>16</v>
      </c>
      <c r="B9" s="1" t="s">
        <v>19</v>
      </c>
      <c r="C9" s="10">
        <v>18660</v>
      </c>
      <c r="D9" s="10"/>
      <c r="E9" s="10"/>
      <c r="F9" s="10"/>
      <c r="G9" s="10">
        <f t="shared" ref="G9:G36" si="0">SUM(C9:F9)</f>
        <v>18660</v>
      </c>
      <c r="H9" s="16">
        <f t="shared" ref="H9:H36" si="1">ROUND(G9/679,2)</f>
        <v>27.48</v>
      </c>
      <c r="I9" s="15">
        <f t="shared" ref="I9:I36" si="2">ROUND(G9/$G$37,3)</f>
        <v>7.0999999999999994E-2</v>
      </c>
      <c r="J9" s="15">
        <f>ROUND(G9/16950-1,2)</f>
        <v>0.1</v>
      </c>
    </row>
    <row r="10" spans="1:10" x14ac:dyDescent="0.25">
      <c r="A10" s="1" t="s">
        <v>16</v>
      </c>
      <c r="B10" s="1" t="s">
        <v>20</v>
      </c>
      <c r="C10" s="10">
        <v>38920</v>
      </c>
      <c r="D10" s="10"/>
      <c r="E10" s="10">
        <v>1240</v>
      </c>
      <c r="F10" s="10"/>
      <c r="G10" s="10">
        <f t="shared" si="0"/>
        <v>40160</v>
      </c>
      <c r="H10" s="16">
        <f t="shared" si="1"/>
        <v>59.15</v>
      </c>
      <c r="I10" s="15">
        <f t="shared" si="2"/>
        <v>0.153</v>
      </c>
      <c r="J10" s="15">
        <f>ROUND(G10/39100-1,2)</f>
        <v>0.03</v>
      </c>
    </row>
    <row r="11" spans="1:10" x14ac:dyDescent="0.25">
      <c r="A11" s="1" t="s">
        <v>16</v>
      </c>
      <c r="B11" s="1" t="s">
        <v>21</v>
      </c>
      <c r="C11" s="10"/>
      <c r="D11" s="10"/>
      <c r="E11" s="10">
        <v>120</v>
      </c>
      <c r="F11" s="10"/>
      <c r="G11" s="10">
        <f t="shared" si="0"/>
        <v>120</v>
      </c>
      <c r="H11" s="16">
        <f t="shared" si="1"/>
        <v>0.18</v>
      </c>
      <c r="I11" s="15">
        <f t="shared" si="2"/>
        <v>0</v>
      </c>
      <c r="J11" s="15">
        <f>ROUND(G11/200-1,2)</f>
        <v>-0.4</v>
      </c>
    </row>
    <row r="12" spans="1:10" x14ac:dyDescent="0.25">
      <c r="A12" s="1" t="s">
        <v>16</v>
      </c>
      <c r="B12" s="1" t="s">
        <v>23</v>
      </c>
      <c r="C12" s="10"/>
      <c r="D12" s="10"/>
      <c r="E12" s="10">
        <v>35690</v>
      </c>
      <c r="F12" s="10"/>
      <c r="G12" s="10">
        <f t="shared" si="0"/>
        <v>35690</v>
      </c>
      <c r="H12" s="16">
        <f t="shared" si="1"/>
        <v>52.56</v>
      </c>
      <c r="I12" s="15">
        <f t="shared" si="2"/>
        <v>0.13600000000000001</v>
      </c>
      <c r="J12" s="15">
        <f>ROUND(G12/34120-1,2)</f>
        <v>0.05</v>
      </c>
    </row>
    <row r="13" spans="1:10" x14ac:dyDescent="0.25">
      <c r="A13" s="1" t="s">
        <v>16</v>
      </c>
      <c r="B13" s="1" t="s">
        <v>24</v>
      </c>
      <c r="C13" s="10">
        <v>19510</v>
      </c>
      <c r="D13" s="10"/>
      <c r="E13" s="10"/>
      <c r="F13" s="10"/>
      <c r="G13" s="10">
        <f t="shared" si="0"/>
        <v>19510</v>
      </c>
      <c r="H13" s="16">
        <f t="shared" si="1"/>
        <v>28.73</v>
      </c>
      <c r="I13" s="15">
        <f t="shared" si="2"/>
        <v>7.3999999999999996E-2</v>
      </c>
      <c r="J13" s="15">
        <f>ROUND(G13/21360-1,2)</f>
        <v>-0.09</v>
      </c>
    </row>
    <row r="14" spans="1:10" x14ac:dyDescent="0.25">
      <c r="A14" s="1" t="s">
        <v>16</v>
      </c>
      <c r="B14" s="1" t="s">
        <v>25</v>
      </c>
      <c r="C14" s="10"/>
      <c r="D14" s="10"/>
      <c r="E14" s="10">
        <v>680</v>
      </c>
      <c r="F14" s="10"/>
      <c r="G14" s="10">
        <f t="shared" si="0"/>
        <v>680</v>
      </c>
      <c r="H14" s="16">
        <f t="shared" si="1"/>
        <v>1</v>
      </c>
      <c r="I14" s="15">
        <f t="shared" si="2"/>
        <v>3.0000000000000001E-3</v>
      </c>
      <c r="J14" s="15">
        <f>ROUND(G14/1180-1,2)</f>
        <v>-0.42</v>
      </c>
    </row>
    <row r="15" spans="1:10" x14ac:dyDescent="0.25">
      <c r="A15" s="1" t="s">
        <v>16</v>
      </c>
      <c r="B15" s="1" t="s">
        <v>26</v>
      </c>
      <c r="C15" s="10">
        <v>20360</v>
      </c>
      <c r="D15" s="10"/>
      <c r="E15" s="10"/>
      <c r="F15" s="10"/>
      <c r="G15" s="10">
        <f t="shared" si="0"/>
        <v>20360</v>
      </c>
      <c r="H15" s="16">
        <f t="shared" si="1"/>
        <v>29.99</v>
      </c>
      <c r="I15" s="15">
        <f t="shared" si="2"/>
        <v>7.8E-2</v>
      </c>
      <c r="J15" s="15">
        <f>ROUND(G15/29360-1,2)</f>
        <v>-0.31</v>
      </c>
    </row>
    <row r="16" spans="1:10" x14ac:dyDescent="0.25">
      <c r="A16" s="1" t="s">
        <v>16</v>
      </c>
      <c r="B16" s="1" t="s">
        <v>27</v>
      </c>
      <c r="C16" s="10"/>
      <c r="D16" s="10"/>
      <c r="E16" s="10">
        <v>535</v>
      </c>
      <c r="F16" s="10"/>
      <c r="G16" s="10">
        <f t="shared" si="0"/>
        <v>535</v>
      </c>
      <c r="H16" s="16">
        <f t="shared" si="1"/>
        <v>0.79</v>
      </c>
      <c r="I16" s="15">
        <f t="shared" si="2"/>
        <v>2E-3</v>
      </c>
      <c r="J16" s="15">
        <f>ROUND(G16/456-1,2)</f>
        <v>0.17</v>
      </c>
    </row>
    <row r="17" spans="1:10" x14ac:dyDescent="0.25">
      <c r="A17" s="1" t="s">
        <v>16</v>
      </c>
      <c r="B17" s="1" t="s">
        <v>28</v>
      </c>
      <c r="C17" s="10"/>
      <c r="D17" s="10"/>
      <c r="E17" s="10">
        <v>278</v>
      </c>
      <c r="F17" s="10"/>
      <c r="G17" s="10">
        <f t="shared" si="0"/>
        <v>278</v>
      </c>
      <c r="H17" s="16">
        <f t="shared" si="1"/>
        <v>0.41</v>
      </c>
      <c r="I17" s="15">
        <f t="shared" si="2"/>
        <v>1E-3</v>
      </c>
      <c r="J17" s="15">
        <f>ROUND(G17/315-1,2)</f>
        <v>-0.12</v>
      </c>
    </row>
    <row r="18" spans="1:10" x14ac:dyDescent="0.25">
      <c r="A18" s="1" t="s">
        <v>16</v>
      </c>
      <c r="B18" s="1" t="s">
        <v>29</v>
      </c>
      <c r="C18" s="10"/>
      <c r="D18" s="10"/>
      <c r="E18" s="10">
        <v>590</v>
      </c>
      <c r="F18" s="10"/>
      <c r="G18" s="10">
        <f t="shared" si="0"/>
        <v>590</v>
      </c>
      <c r="H18" s="16">
        <f t="shared" si="1"/>
        <v>0.87</v>
      </c>
      <c r="I18" s="15">
        <f t="shared" si="2"/>
        <v>2E-3</v>
      </c>
      <c r="J18" s="15">
        <f>ROUND(G18/410-1,2)</f>
        <v>0.44</v>
      </c>
    </row>
    <row r="19" spans="1:10" x14ac:dyDescent="0.25">
      <c r="A19" s="1" t="s">
        <v>16</v>
      </c>
      <c r="B19" s="1" t="s">
        <v>32</v>
      </c>
      <c r="C19" s="10"/>
      <c r="D19" s="10"/>
      <c r="E19" s="10">
        <v>940</v>
      </c>
      <c r="F19" s="10"/>
      <c r="G19" s="10">
        <f t="shared" si="0"/>
        <v>940</v>
      </c>
      <c r="H19" s="16">
        <f t="shared" si="1"/>
        <v>1.38</v>
      </c>
      <c r="I19" s="15">
        <f t="shared" si="2"/>
        <v>4.0000000000000001E-3</v>
      </c>
      <c r="J19" s="15">
        <f>ROUND(G19/1765-1,2)</f>
        <v>-0.47</v>
      </c>
    </row>
    <row r="20" spans="1:10" x14ac:dyDescent="0.25">
      <c r="A20" s="1" t="s">
        <v>16</v>
      </c>
      <c r="B20" s="1" t="s">
        <v>33</v>
      </c>
      <c r="C20" s="10"/>
      <c r="D20" s="10"/>
      <c r="E20" s="10">
        <v>57</v>
      </c>
      <c r="F20" s="10"/>
      <c r="G20" s="10">
        <f t="shared" si="0"/>
        <v>57</v>
      </c>
      <c r="H20" s="16">
        <f t="shared" si="1"/>
        <v>0.08</v>
      </c>
      <c r="I20" s="15">
        <f t="shared" si="2"/>
        <v>0</v>
      </c>
      <c r="J20" s="15"/>
    </row>
    <row r="21" spans="1:10" x14ac:dyDescent="0.25">
      <c r="A21" s="1" t="s">
        <v>16</v>
      </c>
      <c r="B21" s="1" t="s">
        <v>43</v>
      </c>
      <c r="C21" s="10"/>
      <c r="D21" s="10"/>
      <c r="E21" s="10">
        <v>660</v>
      </c>
      <c r="F21" s="10"/>
      <c r="G21" s="10">
        <f t="shared" si="0"/>
        <v>660</v>
      </c>
      <c r="H21" s="16">
        <f t="shared" si="1"/>
        <v>0.97</v>
      </c>
      <c r="I21" s="15">
        <f t="shared" si="2"/>
        <v>3.0000000000000001E-3</v>
      </c>
      <c r="J21" s="15">
        <f>ROUND(G21/2570-1,2)</f>
        <v>-0.74</v>
      </c>
    </row>
    <row r="22" spans="1:10" x14ac:dyDescent="0.25">
      <c r="A22" s="1" t="s">
        <v>16</v>
      </c>
      <c r="B22" s="1" t="s">
        <v>37</v>
      </c>
      <c r="C22" s="10"/>
      <c r="D22" s="10"/>
      <c r="E22" s="10">
        <v>782</v>
      </c>
      <c r="F22" s="10"/>
      <c r="G22" s="10">
        <f t="shared" si="0"/>
        <v>782</v>
      </c>
      <c r="H22" s="16">
        <f t="shared" si="1"/>
        <v>1.1499999999999999</v>
      </c>
      <c r="I22" s="15">
        <f t="shared" si="2"/>
        <v>3.0000000000000001E-3</v>
      </c>
      <c r="J22" s="15">
        <f>ROUND(G22/968-1,2)</f>
        <v>-0.19</v>
      </c>
    </row>
    <row r="23" spans="1:10" x14ac:dyDescent="0.25">
      <c r="A23" s="1" t="s">
        <v>16</v>
      </c>
      <c r="B23" s="1" t="s">
        <v>38</v>
      </c>
      <c r="C23" s="10"/>
      <c r="D23" s="10"/>
      <c r="E23" s="10">
        <v>22645</v>
      </c>
      <c r="F23" s="10"/>
      <c r="G23" s="10">
        <f t="shared" si="0"/>
        <v>22645</v>
      </c>
      <c r="H23" s="16">
        <f t="shared" si="1"/>
        <v>33.35</v>
      </c>
      <c r="I23" s="15">
        <f t="shared" si="2"/>
        <v>8.5999999999999993E-2</v>
      </c>
      <c r="J23" s="15">
        <f>ROUND(G23/21465-1,2)</f>
        <v>0.05</v>
      </c>
    </row>
    <row r="24" spans="1:10" x14ac:dyDescent="0.25">
      <c r="A24" s="1" t="s">
        <v>16</v>
      </c>
      <c r="B24" s="1" t="s">
        <v>40</v>
      </c>
      <c r="C24" s="10"/>
      <c r="D24" s="10"/>
      <c r="E24" s="10">
        <v>15660</v>
      </c>
      <c r="F24" s="10"/>
      <c r="G24" s="10">
        <f t="shared" si="0"/>
        <v>15660</v>
      </c>
      <c r="H24" s="16">
        <f t="shared" si="1"/>
        <v>23.06</v>
      </c>
      <c r="I24" s="15">
        <f t="shared" si="2"/>
        <v>0.06</v>
      </c>
      <c r="J24" s="15">
        <f>ROUND(G24/13100-1,2)</f>
        <v>0.2</v>
      </c>
    </row>
    <row r="25" spans="1:10" x14ac:dyDescent="0.25">
      <c r="A25" s="1" t="s">
        <v>16</v>
      </c>
      <c r="B25" s="1" t="s">
        <v>41</v>
      </c>
      <c r="C25" s="10"/>
      <c r="D25" s="10"/>
      <c r="E25" s="10">
        <v>8500</v>
      </c>
      <c r="F25" s="10"/>
      <c r="G25" s="10">
        <f t="shared" si="0"/>
        <v>8500</v>
      </c>
      <c r="H25" s="16">
        <f t="shared" si="1"/>
        <v>12.52</v>
      </c>
      <c r="I25" s="15">
        <f t="shared" si="2"/>
        <v>3.2000000000000001E-2</v>
      </c>
      <c r="J25" s="15">
        <f>ROUND(G25/7610-1,2)</f>
        <v>0.12</v>
      </c>
    </row>
    <row r="26" spans="1:10" x14ac:dyDescent="0.25">
      <c r="A26" s="1" t="s">
        <v>16</v>
      </c>
      <c r="B26" s="1" t="s">
        <v>36</v>
      </c>
      <c r="C26" s="10"/>
      <c r="D26" s="10"/>
      <c r="E26" s="10"/>
      <c r="F26" s="10"/>
      <c r="G26" s="10">
        <f t="shared" si="0"/>
        <v>0</v>
      </c>
      <c r="H26" s="16">
        <f t="shared" si="1"/>
        <v>0</v>
      </c>
      <c r="I26" s="15">
        <f t="shared" si="2"/>
        <v>0</v>
      </c>
      <c r="J26" s="15">
        <f>ROUND(G26/1478-1,2)</f>
        <v>-1</v>
      </c>
    </row>
    <row r="27" spans="1:10" x14ac:dyDescent="0.25">
      <c r="A27" s="1" t="s">
        <v>16</v>
      </c>
      <c r="B27" s="1" t="s">
        <v>30</v>
      </c>
      <c r="C27" s="10"/>
      <c r="D27" s="10"/>
      <c r="E27" s="10"/>
      <c r="F27" s="10"/>
      <c r="G27" s="10">
        <f t="shared" si="0"/>
        <v>0</v>
      </c>
      <c r="H27" s="16">
        <f t="shared" si="1"/>
        <v>0</v>
      </c>
      <c r="I27" s="15">
        <f t="shared" si="2"/>
        <v>0</v>
      </c>
      <c r="J27" s="15">
        <f>ROUND(G27/60-1,2)</f>
        <v>-1</v>
      </c>
    </row>
    <row r="28" spans="1:10" x14ac:dyDescent="0.25">
      <c r="A28" s="1" t="s">
        <v>16</v>
      </c>
      <c r="B28" s="1" t="s">
        <v>22</v>
      </c>
      <c r="C28" s="10"/>
      <c r="D28" s="10"/>
      <c r="E28" s="10"/>
      <c r="F28" s="10"/>
      <c r="G28" s="10">
        <f t="shared" si="0"/>
        <v>0</v>
      </c>
      <c r="H28" s="16">
        <f t="shared" si="1"/>
        <v>0</v>
      </c>
      <c r="I28" s="15">
        <f t="shared" si="2"/>
        <v>0</v>
      </c>
      <c r="J28" s="15"/>
    </row>
    <row r="29" spans="1:10" x14ac:dyDescent="0.25">
      <c r="A29" s="1" t="s">
        <v>16</v>
      </c>
      <c r="B29" s="1" t="s">
        <v>42</v>
      </c>
      <c r="C29" s="10"/>
      <c r="D29" s="10"/>
      <c r="E29" s="10"/>
      <c r="F29" s="10"/>
      <c r="G29" s="10">
        <f t="shared" si="0"/>
        <v>0</v>
      </c>
      <c r="H29" s="16">
        <f t="shared" si="1"/>
        <v>0</v>
      </c>
      <c r="I29" s="15">
        <f t="shared" si="2"/>
        <v>0</v>
      </c>
      <c r="J29" s="15"/>
    </row>
    <row r="30" spans="1:10" x14ac:dyDescent="0.25">
      <c r="A30" s="1" t="s">
        <v>16</v>
      </c>
      <c r="B30" s="1" t="s">
        <v>31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/>
    </row>
    <row r="31" spans="1:10" x14ac:dyDescent="0.25">
      <c r="A31" s="1" t="s">
        <v>16</v>
      </c>
      <c r="B31" s="1" t="s">
        <v>35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/>
    </row>
    <row r="32" spans="1:10" x14ac:dyDescent="0.25">
      <c r="A32" s="1" t="s">
        <v>16</v>
      </c>
      <c r="B32" s="1" t="s">
        <v>39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/>
    </row>
    <row r="33" spans="1:10" x14ac:dyDescent="0.25">
      <c r="A33" s="1" t="s">
        <v>44</v>
      </c>
      <c r="B33" s="1" t="s">
        <v>45</v>
      </c>
      <c r="C33" s="10">
        <v>60910</v>
      </c>
      <c r="D33" s="10"/>
      <c r="E33" s="10"/>
      <c r="F33" s="10"/>
      <c r="G33" s="10">
        <f t="shared" si="0"/>
        <v>60910</v>
      </c>
      <c r="H33" s="16">
        <f t="shared" si="1"/>
        <v>89.71</v>
      </c>
      <c r="I33" s="15">
        <f t="shared" si="2"/>
        <v>0.23200000000000001</v>
      </c>
      <c r="J33" s="15">
        <f>ROUND(G33/61120-1,2)</f>
        <v>0</v>
      </c>
    </row>
    <row r="34" spans="1:10" x14ac:dyDescent="0.25">
      <c r="A34" s="1" t="s">
        <v>44</v>
      </c>
      <c r="B34" s="1" t="s">
        <v>46</v>
      </c>
      <c r="C34" s="10"/>
      <c r="D34" s="10"/>
      <c r="E34" s="10">
        <v>15290</v>
      </c>
      <c r="F34" s="10"/>
      <c r="G34" s="10">
        <f t="shared" si="0"/>
        <v>15290</v>
      </c>
      <c r="H34" s="16">
        <f t="shared" si="1"/>
        <v>22.52</v>
      </c>
      <c r="I34" s="15">
        <f t="shared" si="2"/>
        <v>5.8000000000000003E-2</v>
      </c>
      <c r="J34" s="15">
        <f>ROUND(G34/13710-1,2)</f>
        <v>0.12</v>
      </c>
    </row>
    <row r="35" spans="1:10" x14ac:dyDescent="0.25">
      <c r="A35" s="1" t="s">
        <v>44</v>
      </c>
      <c r="B35" s="1" t="s">
        <v>47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48</v>
      </c>
      <c r="B36" s="1" t="s">
        <v>51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/>
    </row>
    <row r="37" spans="1:10" x14ac:dyDescent="0.25">
      <c r="A37" s="30" t="s">
        <v>12</v>
      </c>
      <c r="B37" s="30"/>
      <c r="C37" s="11">
        <f t="shared" ref="C37:H37" si="3">SUM(C8:C36)</f>
        <v>158360</v>
      </c>
      <c r="D37" s="11">
        <f t="shared" si="3"/>
        <v>0</v>
      </c>
      <c r="E37" s="11">
        <f t="shared" si="3"/>
        <v>103667</v>
      </c>
      <c r="F37" s="11">
        <f t="shared" si="3"/>
        <v>0</v>
      </c>
      <c r="G37" s="11">
        <f t="shared" si="3"/>
        <v>262027</v>
      </c>
      <c r="H37" s="14">
        <f t="shared" si="3"/>
        <v>385.89999999999992</v>
      </c>
      <c r="I37" s="17"/>
      <c r="J37" s="17"/>
    </row>
    <row r="38" spans="1:10" x14ac:dyDescent="0.25">
      <c r="A38" s="30" t="s">
        <v>14</v>
      </c>
      <c r="B38" s="30"/>
      <c r="C38" s="12">
        <f>ROUND(C37/G37,2)</f>
        <v>0.6</v>
      </c>
      <c r="D38" s="12">
        <f>ROUND(D37/G37,2)</f>
        <v>0</v>
      </c>
      <c r="E38" s="12">
        <f>ROUND(E37/G37,2)</f>
        <v>0.4</v>
      </c>
      <c r="F38" s="12">
        <f>ROUND(F37/G37,2)</f>
        <v>0</v>
      </c>
      <c r="G38" s="13"/>
      <c r="H38" s="13"/>
      <c r="I38" s="17"/>
      <c r="J38" s="17"/>
    </row>
    <row r="39" spans="1:10" x14ac:dyDescent="0.25">
      <c r="A39" s="2" t="s">
        <v>52</v>
      </c>
      <c r="B39" s="2"/>
      <c r="C39" s="13"/>
      <c r="D39" s="13"/>
      <c r="E39" s="13"/>
      <c r="F39" s="13"/>
      <c r="G39" s="13"/>
      <c r="H39" s="13"/>
      <c r="I39" s="17"/>
      <c r="J39" s="17"/>
    </row>
    <row r="40" spans="1:10" x14ac:dyDescent="0.25">
      <c r="C40" s="8"/>
      <c r="D40" s="8"/>
      <c r="E40" s="8"/>
      <c r="F40" s="8"/>
      <c r="G40" s="8"/>
      <c r="H40" s="8"/>
      <c r="I40" s="9"/>
      <c r="J40" s="9"/>
    </row>
    <row r="41" spans="1:10" x14ac:dyDescent="0.25">
      <c r="C41" s="8"/>
      <c r="D41" s="8"/>
      <c r="E41" s="8"/>
      <c r="F41" s="8"/>
      <c r="G41" s="8"/>
      <c r="H41" s="8"/>
      <c r="I41" s="9"/>
      <c r="J41" s="9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A43" s="30" t="s">
        <v>53</v>
      </c>
      <c r="B43" s="30"/>
      <c r="C43" s="11" t="s">
        <v>8</v>
      </c>
      <c r="D43" s="11" t="s">
        <v>9</v>
      </c>
      <c r="E43" s="11" t="s">
        <v>10</v>
      </c>
      <c r="F43" s="11" t="s">
        <v>11</v>
      </c>
      <c r="G43" s="11" t="s">
        <v>12</v>
      </c>
      <c r="H43" s="14" t="s">
        <v>13</v>
      </c>
      <c r="I43" s="17"/>
      <c r="J43" s="17"/>
    </row>
    <row r="44" spans="1:10" x14ac:dyDescent="0.25">
      <c r="A44" s="29" t="s">
        <v>54</v>
      </c>
      <c r="B44" s="29"/>
      <c r="C44" s="10">
        <v>97450</v>
      </c>
      <c r="D44" s="10">
        <v>0</v>
      </c>
      <c r="E44" s="10">
        <v>88377</v>
      </c>
      <c r="F44" s="10">
        <v>0</v>
      </c>
      <c r="G44" s="10">
        <f>SUM(C44:F44)</f>
        <v>185827</v>
      </c>
      <c r="H44" s="16">
        <f>ROUND(G44/679,2)</f>
        <v>273.68</v>
      </c>
      <c r="I44" s="9"/>
      <c r="J44" s="9"/>
    </row>
    <row r="45" spans="1:10" x14ac:dyDescent="0.25">
      <c r="A45" s="29" t="s">
        <v>55</v>
      </c>
      <c r="B45" s="29"/>
      <c r="C45" s="10">
        <v>60910</v>
      </c>
      <c r="D45" s="10">
        <v>0</v>
      </c>
      <c r="E45" s="10">
        <v>15290</v>
      </c>
      <c r="F45" s="10">
        <v>0</v>
      </c>
      <c r="G45" s="10">
        <f>SUM(C45:F45)</f>
        <v>76200</v>
      </c>
      <c r="H45" s="16">
        <f>ROUND(G45/679,2)</f>
        <v>112.22</v>
      </c>
      <c r="I45" s="9"/>
      <c r="J45" s="9"/>
    </row>
    <row r="46" spans="1:10" x14ac:dyDescent="0.25">
      <c r="A46" s="29" t="s">
        <v>56</v>
      </c>
      <c r="B46" s="29"/>
      <c r="C46" s="10">
        <v>0</v>
      </c>
      <c r="D46" s="10">
        <v>0</v>
      </c>
      <c r="E46" s="10">
        <v>0</v>
      </c>
      <c r="F46" s="10">
        <v>0</v>
      </c>
      <c r="G46" s="10">
        <f>SUM(C46:F46)</f>
        <v>0</v>
      </c>
      <c r="H46" s="16">
        <f>ROUND(G46/679,2)</f>
        <v>0</v>
      </c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A51" s="30" t="s">
        <v>57</v>
      </c>
      <c r="B51" s="30"/>
      <c r="C51" s="14" t="s">
        <v>2</v>
      </c>
      <c r="D51" s="14">
        <v>2023</v>
      </c>
      <c r="E51" s="14" t="s">
        <v>59</v>
      </c>
      <c r="F51" s="13"/>
      <c r="G51" s="14" t="s">
        <v>60</v>
      </c>
      <c r="H51" s="14" t="s">
        <v>2</v>
      </c>
      <c r="I51" s="12" t="s">
        <v>61</v>
      </c>
      <c r="J51" s="12" t="s">
        <v>59</v>
      </c>
    </row>
    <row r="52" spans="1:10" x14ac:dyDescent="0.25">
      <c r="A52" s="29" t="s">
        <v>58</v>
      </c>
      <c r="B52" s="29"/>
      <c r="C52" s="15">
        <f>ROUND(0.729, 4)</f>
        <v>0.72899999999999998</v>
      </c>
      <c r="D52" s="15">
        <f>ROUND(0.7317, 4)</f>
        <v>0.73170000000000002</v>
      </c>
      <c r="E52" s="15">
        <f>ROUND(0.777, 4)</f>
        <v>0.77700000000000002</v>
      </c>
      <c r="F52" s="8"/>
      <c r="G52" s="14" t="s">
        <v>62</v>
      </c>
      <c r="H52" s="33" t="s">
        <v>63</v>
      </c>
      <c r="I52" s="31" t="s">
        <v>64</v>
      </c>
      <c r="J52" s="31" t="s">
        <v>65</v>
      </c>
    </row>
    <row r="53" spans="1:10" x14ac:dyDescent="0.25">
      <c r="A53" s="29" t="s">
        <v>66</v>
      </c>
      <c r="B53" s="29"/>
      <c r="C53" s="15">
        <f>ROUND(0.6984, 4)</f>
        <v>0.69840000000000002</v>
      </c>
      <c r="D53" s="15">
        <f>ROUND(0.7044, 4)</f>
        <v>0.70440000000000003</v>
      </c>
      <c r="E53" s="15">
        <f>ROUND(0.7608, 4)</f>
        <v>0.76080000000000003</v>
      </c>
      <c r="F53" s="8"/>
      <c r="G53" s="14" t="s">
        <v>67</v>
      </c>
      <c r="H53" s="34"/>
      <c r="I53" s="32"/>
      <c r="J53" s="32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A57" s="30" t="s">
        <v>68</v>
      </c>
      <c r="B57" s="30"/>
      <c r="C57" s="14" t="s">
        <v>2</v>
      </c>
      <c r="D57" s="14" t="s">
        <v>340</v>
      </c>
      <c r="E57" s="14" t="s">
        <v>70</v>
      </c>
      <c r="F57" s="14" t="s">
        <v>71</v>
      </c>
      <c r="G57" s="20" t="s">
        <v>72</v>
      </c>
      <c r="H57" s="13"/>
      <c r="I57" s="17"/>
      <c r="J57" s="17"/>
    </row>
    <row r="58" spans="1:10" x14ac:dyDescent="0.25">
      <c r="A58" s="29" t="s">
        <v>73</v>
      </c>
      <c r="B58" s="29"/>
      <c r="C58" s="16">
        <v>89.71</v>
      </c>
      <c r="D58" s="16">
        <v>81.569999999999993</v>
      </c>
      <c r="E58" s="16">
        <v>93.87</v>
      </c>
      <c r="F58" s="16">
        <v>57.16</v>
      </c>
      <c r="G58" s="22">
        <f>12/12*C58</f>
        <v>89.71</v>
      </c>
      <c r="H58" s="8"/>
      <c r="I58" s="9"/>
      <c r="J58" s="9"/>
    </row>
    <row r="59" spans="1:10" x14ac:dyDescent="0.25">
      <c r="A59" s="29" t="s">
        <v>74</v>
      </c>
      <c r="B59" s="29"/>
      <c r="C59" s="16">
        <v>29.99</v>
      </c>
      <c r="D59" s="16">
        <v>42.62</v>
      </c>
      <c r="E59" s="16">
        <v>62.84</v>
      </c>
      <c r="F59" s="16">
        <v>65.39</v>
      </c>
      <c r="G59" s="16">
        <f>12/12*C59</f>
        <v>29.99</v>
      </c>
      <c r="H59" s="8"/>
      <c r="I59" s="9"/>
      <c r="J59" s="9"/>
    </row>
    <row r="60" spans="1:10" x14ac:dyDescent="0.25">
      <c r="A60" s="29" t="s">
        <v>75</v>
      </c>
      <c r="B60" s="29"/>
      <c r="C60" s="16">
        <v>273.68</v>
      </c>
      <c r="D60" s="16">
        <v>258.02</v>
      </c>
      <c r="E60" s="16">
        <v>295.08999999999997</v>
      </c>
      <c r="F60" s="16">
        <v>289.06</v>
      </c>
      <c r="G60" s="16">
        <f>12/12*C60</f>
        <v>273.68</v>
      </c>
      <c r="H60" s="8"/>
      <c r="I60" s="9"/>
      <c r="J60" s="9"/>
    </row>
    <row r="61" spans="1:10" x14ac:dyDescent="0.25">
      <c r="A61" s="29" t="s">
        <v>76</v>
      </c>
      <c r="B61" s="29"/>
      <c r="C61" s="16">
        <v>112.22</v>
      </c>
      <c r="D61" s="16">
        <v>104.8</v>
      </c>
      <c r="E61" s="16">
        <v>118.05</v>
      </c>
      <c r="F61" s="16">
        <v>81.41</v>
      </c>
      <c r="G61" s="16">
        <f>12/12*C61</f>
        <v>112.22</v>
      </c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A64" s="28" t="s">
        <v>60</v>
      </c>
      <c r="B64" s="35"/>
      <c r="C64" s="8"/>
      <c r="D64" s="8"/>
      <c r="E64" s="8"/>
      <c r="F64" s="8"/>
      <c r="G64" s="8"/>
      <c r="H64" s="8"/>
      <c r="I64" s="9"/>
      <c r="J64" s="9"/>
    </row>
    <row r="65" spans="1:10" x14ac:dyDescent="0.25">
      <c r="A65" s="3" t="s">
        <v>77</v>
      </c>
      <c r="B65" s="1" t="s">
        <v>341</v>
      </c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3" t="s">
        <v>70</v>
      </c>
      <c r="B66" s="1" t="s">
        <v>79</v>
      </c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71</v>
      </c>
      <c r="B67" s="1" t="s">
        <v>80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72</v>
      </c>
      <c r="B68" s="1" t="s">
        <v>81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  <row r="71" spans="1:10" x14ac:dyDescent="0.25"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</sheetData>
  <mergeCells count="19">
    <mergeCell ref="A59:B59"/>
    <mergeCell ref="A60:B60"/>
    <mergeCell ref="A61:B61"/>
    <mergeCell ref="A64:B64"/>
    <mergeCell ref="I52:I53"/>
    <mergeCell ref="J52:J53"/>
    <mergeCell ref="A53:B53"/>
    <mergeCell ref="A57:B57"/>
    <mergeCell ref="A58:B58"/>
    <mergeCell ref="A45:B45"/>
    <mergeCell ref="A46:B46"/>
    <mergeCell ref="A51:B51"/>
    <mergeCell ref="A52:B52"/>
    <mergeCell ref="H52:H53"/>
    <mergeCell ref="C7:G7"/>
    <mergeCell ref="A37:B37"/>
    <mergeCell ref="A38:B38"/>
    <mergeCell ref="A43:B43"/>
    <mergeCell ref="A44:B44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2:J75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1.425781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342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2645</v>
      </c>
    </row>
    <row r="7" spans="1:10" x14ac:dyDescent="0.25">
      <c r="C7" s="28" t="s">
        <v>5</v>
      </c>
      <c r="D7" s="29"/>
      <c r="E7" s="29"/>
      <c r="F7" s="29"/>
      <c r="G7" s="29"/>
    </row>
    <row r="8" spans="1:10" x14ac:dyDescent="0.25">
      <c r="A8" s="25" t="s">
        <v>6</v>
      </c>
      <c r="B8" s="25" t="s">
        <v>7</v>
      </c>
      <c r="C8" s="27" t="s">
        <v>8</v>
      </c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55</v>
      </c>
      <c r="F9" s="10"/>
      <c r="G9" s="10">
        <f t="shared" ref="G9:G43" si="0">SUM(C9:F9)</f>
        <v>55</v>
      </c>
      <c r="H9" s="16">
        <f t="shared" ref="H9:H43" si="1">ROUND(G9/2645,2)</f>
        <v>0.02</v>
      </c>
      <c r="I9" s="15">
        <f t="shared" ref="I9:I43" si="2">ROUND(G9/$G$44,3)</f>
        <v>0</v>
      </c>
      <c r="J9" s="15">
        <f>ROUND(G9/57-1,2)</f>
        <v>-0.04</v>
      </c>
    </row>
    <row r="10" spans="1:10" x14ac:dyDescent="0.25">
      <c r="A10" s="1" t="s">
        <v>16</v>
      </c>
      <c r="B10" s="1" t="s">
        <v>19</v>
      </c>
      <c r="C10" s="10">
        <v>98730</v>
      </c>
      <c r="D10" s="10"/>
      <c r="E10" s="10">
        <v>2520</v>
      </c>
      <c r="F10" s="10"/>
      <c r="G10" s="10">
        <f t="shared" si="0"/>
        <v>101250</v>
      </c>
      <c r="H10" s="16">
        <f t="shared" si="1"/>
        <v>38.28</v>
      </c>
      <c r="I10" s="15">
        <f t="shared" si="2"/>
        <v>9.6000000000000002E-2</v>
      </c>
      <c r="J10" s="15">
        <f>ROUND(G10/92200-1,2)</f>
        <v>0.1</v>
      </c>
    </row>
    <row r="11" spans="1:10" x14ac:dyDescent="0.25">
      <c r="A11" s="1" t="s">
        <v>16</v>
      </c>
      <c r="B11" s="1" t="s">
        <v>20</v>
      </c>
      <c r="C11" s="10">
        <v>126400</v>
      </c>
      <c r="D11" s="10"/>
      <c r="E11" s="10"/>
      <c r="F11" s="10"/>
      <c r="G11" s="10">
        <f t="shared" si="0"/>
        <v>126400</v>
      </c>
      <c r="H11" s="16">
        <f t="shared" si="1"/>
        <v>47.79</v>
      </c>
      <c r="I11" s="15">
        <f t="shared" si="2"/>
        <v>0.12</v>
      </c>
      <c r="J11" s="15">
        <f>ROUND(G11/120690-1,2)</f>
        <v>0.05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105</v>
      </c>
      <c r="F12" s="10"/>
      <c r="G12" s="10">
        <f t="shared" si="0"/>
        <v>105</v>
      </c>
      <c r="H12" s="16">
        <f t="shared" si="1"/>
        <v>0.04</v>
      </c>
      <c r="I12" s="15">
        <f t="shared" si="2"/>
        <v>0</v>
      </c>
      <c r="J12" s="15">
        <f>ROUND(G12/86-1,2)</f>
        <v>0.22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485</v>
      </c>
      <c r="F13" s="10"/>
      <c r="G13" s="10">
        <f t="shared" si="0"/>
        <v>485</v>
      </c>
      <c r="H13" s="16">
        <f t="shared" si="1"/>
        <v>0.18</v>
      </c>
      <c r="I13" s="15">
        <f t="shared" si="2"/>
        <v>0</v>
      </c>
      <c r="J13" s="15">
        <f>ROUND(G13/182-1,2)</f>
        <v>1.66</v>
      </c>
    </row>
    <row r="14" spans="1:10" x14ac:dyDescent="0.25">
      <c r="A14" s="1" t="s">
        <v>16</v>
      </c>
      <c r="B14" s="1" t="s">
        <v>22</v>
      </c>
      <c r="C14" s="10"/>
      <c r="D14" s="10"/>
      <c r="E14" s="10">
        <v>900</v>
      </c>
      <c r="F14" s="10"/>
      <c r="G14" s="10">
        <f t="shared" si="0"/>
        <v>900</v>
      </c>
      <c r="H14" s="16">
        <f t="shared" si="1"/>
        <v>0.34</v>
      </c>
      <c r="I14" s="15">
        <f t="shared" si="2"/>
        <v>1E-3</v>
      </c>
      <c r="J14" s="15">
        <f>ROUND(G14/2000-1,2)</f>
        <v>-0.55000000000000004</v>
      </c>
    </row>
    <row r="15" spans="1:10" x14ac:dyDescent="0.25">
      <c r="A15" s="1" t="s">
        <v>16</v>
      </c>
      <c r="B15" s="1" t="s">
        <v>23</v>
      </c>
      <c r="C15" s="10"/>
      <c r="D15" s="10"/>
      <c r="E15" s="10">
        <v>68770</v>
      </c>
      <c r="F15" s="10"/>
      <c r="G15" s="10">
        <f t="shared" si="0"/>
        <v>68770</v>
      </c>
      <c r="H15" s="16">
        <f t="shared" si="1"/>
        <v>26</v>
      </c>
      <c r="I15" s="15">
        <f t="shared" si="2"/>
        <v>6.5000000000000002E-2</v>
      </c>
      <c r="J15" s="15">
        <f>ROUND(G15/25080-1,2)</f>
        <v>1.74</v>
      </c>
    </row>
    <row r="16" spans="1:10" x14ac:dyDescent="0.25">
      <c r="A16" s="1" t="s">
        <v>16</v>
      </c>
      <c r="B16" s="1" t="s">
        <v>24</v>
      </c>
      <c r="C16" s="10">
        <v>133560</v>
      </c>
      <c r="D16" s="10"/>
      <c r="E16" s="10"/>
      <c r="F16" s="10"/>
      <c r="G16" s="10">
        <f t="shared" si="0"/>
        <v>133560</v>
      </c>
      <c r="H16" s="16">
        <f t="shared" si="1"/>
        <v>50.5</v>
      </c>
      <c r="I16" s="15">
        <f t="shared" si="2"/>
        <v>0.127</v>
      </c>
      <c r="J16" s="15">
        <f>ROUND(G16/117080-1,2)</f>
        <v>0.14000000000000001</v>
      </c>
    </row>
    <row r="17" spans="1:10" x14ac:dyDescent="0.25">
      <c r="A17" s="1" t="s">
        <v>16</v>
      </c>
      <c r="B17" s="1" t="s">
        <v>25</v>
      </c>
      <c r="C17" s="10"/>
      <c r="D17" s="10"/>
      <c r="E17" s="10">
        <v>3785</v>
      </c>
      <c r="F17" s="10"/>
      <c r="G17" s="10">
        <f t="shared" si="0"/>
        <v>3785</v>
      </c>
      <c r="H17" s="16">
        <f t="shared" si="1"/>
        <v>1.43</v>
      </c>
      <c r="I17" s="15">
        <f t="shared" si="2"/>
        <v>4.0000000000000001E-3</v>
      </c>
      <c r="J17" s="15">
        <f>ROUND(G17/3330-1,2)</f>
        <v>0.14000000000000001</v>
      </c>
    </row>
    <row r="18" spans="1:10" x14ac:dyDescent="0.25">
      <c r="A18" s="1" t="s">
        <v>16</v>
      </c>
      <c r="B18" s="1" t="s">
        <v>26</v>
      </c>
      <c r="C18" s="10">
        <v>186440</v>
      </c>
      <c r="D18" s="10"/>
      <c r="E18" s="10"/>
      <c r="F18" s="10">
        <v>650</v>
      </c>
      <c r="G18" s="10">
        <f t="shared" si="0"/>
        <v>187090</v>
      </c>
      <c r="H18" s="16">
        <f t="shared" si="1"/>
        <v>70.73</v>
      </c>
      <c r="I18" s="15">
        <f t="shared" si="2"/>
        <v>0.17799999999999999</v>
      </c>
      <c r="J18" s="15">
        <f>ROUND(G18/192640-1,2)</f>
        <v>-0.03</v>
      </c>
    </row>
    <row r="19" spans="1:10" x14ac:dyDescent="0.25">
      <c r="A19" s="1" t="s">
        <v>16</v>
      </c>
      <c r="B19" s="1" t="s">
        <v>27</v>
      </c>
      <c r="C19" s="10"/>
      <c r="D19" s="10"/>
      <c r="E19" s="10">
        <v>800</v>
      </c>
      <c r="F19" s="10"/>
      <c r="G19" s="10">
        <f t="shared" si="0"/>
        <v>800</v>
      </c>
      <c r="H19" s="16">
        <f t="shared" si="1"/>
        <v>0.3</v>
      </c>
      <c r="I19" s="15">
        <f t="shared" si="2"/>
        <v>1E-3</v>
      </c>
      <c r="J19" s="15">
        <f>ROUND(G19/875-1,2)</f>
        <v>-0.09</v>
      </c>
    </row>
    <row r="20" spans="1:10" x14ac:dyDescent="0.25">
      <c r="A20" s="1" t="s">
        <v>16</v>
      </c>
      <c r="B20" s="1" t="s">
        <v>28</v>
      </c>
      <c r="C20" s="10"/>
      <c r="D20" s="10"/>
      <c r="E20" s="10">
        <v>385</v>
      </c>
      <c r="F20" s="10"/>
      <c r="G20" s="10">
        <f t="shared" si="0"/>
        <v>385</v>
      </c>
      <c r="H20" s="16">
        <f t="shared" si="1"/>
        <v>0.15</v>
      </c>
      <c r="I20" s="15">
        <f t="shared" si="2"/>
        <v>0</v>
      </c>
      <c r="J20" s="15">
        <f>ROUND(G20/431-1,2)</f>
        <v>-0.11</v>
      </c>
    </row>
    <row r="21" spans="1:10" x14ac:dyDescent="0.25">
      <c r="A21" s="1" t="s">
        <v>16</v>
      </c>
      <c r="B21" s="1" t="s">
        <v>42</v>
      </c>
      <c r="C21" s="10"/>
      <c r="D21" s="10"/>
      <c r="E21" s="10">
        <v>99</v>
      </c>
      <c r="F21" s="10"/>
      <c r="G21" s="10">
        <f t="shared" si="0"/>
        <v>99</v>
      </c>
      <c r="H21" s="16">
        <f t="shared" si="1"/>
        <v>0.04</v>
      </c>
      <c r="I21" s="15">
        <f t="shared" si="2"/>
        <v>0</v>
      </c>
      <c r="J21" s="15">
        <f>ROUND(G21/94-1,2)</f>
        <v>0.05</v>
      </c>
    </row>
    <row r="22" spans="1:10" x14ac:dyDescent="0.25">
      <c r="A22" s="1" t="s">
        <v>16</v>
      </c>
      <c r="B22" s="1" t="s">
        <v>29</v>
      </c>
      <c r="C22" s="10"/>
      <c r="D22" s="10"/>
      <c r="E22" s="10">
        <v>1433</v>
      </c>
      <c r="F22" s="10"/>
      <c r="G22" s="10">
        <f t="shared" si="0"/>
        <v>1433</v>
      </c>
      <c r="H22" s="16">
        <f t="shared" si="1"/>
        <v>0.54</v>
      </c>
      <c r="I22" s="15">
        <f t="shared" si="2"/>
        <v>1E-3</v>
      </c>
      <c r="J22" s="15">
        <f>ROUND(G22/4064-1,2)</f>
        <v>-0.65</v>
      </c>
    </row>
    <row r="23" spans="1:10" x14ac:dyDescent="0.25">
      <c r="A23" s="1" t="s">
        <v>16</v>
      </c>
      <c r="B23" s="1" t="s">
        <v>30</v>
      </c>
      <c r="C23" s="10"/>
      <c r="D23" s="10"/>
      <c r="E23" s="10">
        <v>1120</v>
      </c>
      <c r="F23" s="10"/>
      <c r="G23" s="10">
        <f t="shared" si="0"/>
        <v>1120</v>
      </c>
      <c r="H23" s="16">
        <f t="shared" si="1"/>
        <v>0.42</v>
      </c>
      <c r="I23" s="15">
        <f t="shared" si="2"/>
        <v>1E-3</v>
      </c>
      <c r="J23" s="15">
        <f>ROUND(G23/1410-1,2)</f>
        <v>-0.21</v>
      </c>
    </row>
    <row r="24" spans="1:10" x14ac:dyDescent="0.25">
      <c r="A24" s="1" t="s">
        <v>16</v>
      </c>
      <c r="B24" s="1" t="s">
        <v>31</v>
      </c>
      <c r="C24" s="10"/>
      <c r="D24" s="10"/>
      <c r="E24" s="10">
        <v>600</v>
      </c>
      <c r="F24" s="10"/>
      <c r="G24" s="10">
        <f t="shared" si="0"/>
        <v>600</v>
      </c>
      <c r="H24" s="16">
        <f t="shared" si="1"/>
        <v>0.23</v>
      </c>
      <c r="I24" s="15">
        <f t="shared" si="2"/>
        <v>1E-3</v>
      </c>
      <c r="J24" s="15">
        <f>ROUND(G24/430-1,2)</f>
        <v>0.4</v>
      </c>
    </row>
    <row r="25" spans="1:10" x14ac:dyDescent="0.25">
      <c r="A25" s="1" t="s">
        <v>16</v>
      </c>
      <c r="B25" s="1" t="s">
        <v>32</v>
      </c>
      <c r="C25" s="10"/>
      <c r="D25" s="10"/>
      <c r="E25" s="10">
        <v>1568</v>
      </c>
      <c r="F25" s="10"/>
      <c r="G25" s="10">
        <f t="shared" si="0"/>
        <v>1568</v>
      </c>
      <c r="H25" s="16">
        <f t="shared" si="1"/>
        <v>0.59</v>
      </c>
      <c r="I25" s="15">
        <f t="shared" si="2"/>
        <v>1E-3</v>
      </c>
      <c r="J25" s="15">
        <f>ROUND(G25/1600-1,2)</f>
        <v>-0.02</v>
      </c>
    </row>
    <row r="26" spans="1:10" x14ac:dyDescent="0.25">
      <c r="A26" s="1" t="s">
        <v>16</v>
      </c>
      <c r="B26" s="1" t="s">
        <v>33</v>
      </c>
      <c r="C26" s="10"/>
      <c r="D26" s="10">
        <v>139</v>
      </c>
      <c r="E26" s="10">
        <v>130</v>
      </c>
      <c r="F26" s="10"/>
      <c r="G26" s="10">
        <f t="shared" si="0"/>
        <v>269</v>
      </c>
      <c r="H26" s="16">
        <f t="shared" si="1"/>
        <v>0.1</v>
      </c>
      <c r="I26" s="15">
        <f t="shared" si="2"/>
        <v>0</v>
      </c>
      <c r="J26" s="15">
        <f>ROUND(G26/343-1,2)</f>
        <v>-0.22</v>
      </c>
    </row>
    <row r="27" spans="1:10" x14ac:dyDescent="0.25">
      <c r="A27" s="1" t="s">
        <v>16</v>
      </c>
      <c r="B27" s="1" t="s">
        <v>35</v>
      </c>
      <c r="C27" s="10"/>
      <c r="D27" s="10"/>
      <c r="E27" s="10">
        <v>260</v>
      </c>
      <c r="F27" s="10"/>
      <c r="G27" s="10">
        <f t="shared" si="0"/>
        <v>260</v>
      </c>
      <c r="H27" s="16">
        <f t="shared" si="1"/>
        <v>0.1</v>
      </c>
      <c r="I27" s="15">
        <f t="shared" si="2"/>
        <v>0</v>
      </c>
      <c r="J27" s="15">
        <f>ROUND(G27/183-1,2)</f>
        <v>0.42</v>
      </c>
    </row>
    <row r="28" spans="1:10" x14ac:dyDescent="0.25">
      <c r="A28" s="1" t="s">
        <v>16</v>
      </c>
      <c r="B28" s="1" t="s">
        <v>34</v>
      </c>
      <c r="C28" s="10"/>
      <c r="D28" s="10"/>
      <c r="E28" s="10">
        <v>750</v>
      </c>
      <c r="F28" s="10"/>
      <c r="G28" s="10">
        <f t="shared" si="0"/>
        <v>750</v>
      </c>
      <c r="H28" s="16">
        <f t="shared" si="1"/>
        <v>0.28000000000000003</v>
      </c>
      <c r="I28" s="15">
        <f t="shared" si="2"/>
        <v>1E-3</v>
      </c>
      <c r="J28" s="15">
        <f>ROUND(G28/600-1,2)</f>
        <v>0.25</v>
      </c>
    </row>
    <row r="29" spans="1:10" x14ac:dyDescent="0.25">
      <c r="A29" s="1" t="s">
        <v>16</v>
      </c>
      <c r="B29" s="1" t="s">
        <v>36</v>
      </c>
      <c r="C29" s="10"/>
      <c r="D29" s="10"/>
      <c r="E29" s="10">
        <v>1127</v>
      </c>
      <c r="F29" s="10"/>
      <c r="G29" s="10">
        <f t="shared" si="0"/>
        <v>1127</v>
      </c>
      <c r="H29" s="16">
        <f t="shared" si="1"/>
        <v>0.43</v>
      </c>
      <c r="I29" s="15">
        <f t="shared" si="2"/>
        <v>1E-3</v>
      </c>
      <c r="J29" s="15">
        <f>ROUND(G29/2545-1,2)</f>
        <v>-0.56000000000000005</v>
      </c>
    </row>
    <row r="30" spans="1:10" x14ac:dyDescent="0.25">
      <c r="A30" s="1" t="s">
        <v>16</v>
      </c>
      <c r="B30" s="1" t="s">
        <v>37</v>
      </c>
      <c r="C30" s="10"/>
      <c r="D30" s="10"/>
      <c r="E30" s="10">
        <v>2170</v>
      </c>
      <c r="F30" s="10"/>
      <c r="G30" s="10">
        <f t="shared" si="0"/>
        <v>2170</v>
      </c>
      <c r="H30" s="16">
        <f t="shared" si="1"/>
        <v>0.82</v>
      </c>
      <c r="I30" s="15">
        <f t="shared" si="2"/>
        <v>2E-3</v>
      </c>
      <c r="J30" s="15">
        <f>ROUND(G30/4500-1,2)</f>
        <v>-0.52</v>
      </c>
    </row>
    <row r="31" spans="1:10" x14ac:dyDescent="0.25">
      <c r="A31" s="1" t="s">
        <v>16</v>
      </c>
      <c r="B31" s="1" t="s">
        <v>43</v>
      </c>
      <c r="C31" s="10"/>
      <c r="D31" s="10"/>
      <c r="E31" s="10">
        <v>3595</v>
      </c>
      <c r="F31" s="10"/>
      <c r="G31" s="10">
        <f t="shared" si="0"/>
        <v>3595</v>
      </c>
      <c r="H31" s="16">
        <f t="shared" si="1"/>
        <v>1.36</v>
      </c>
      <c r="I31" s="15">
        <f t="shared" si="2"/>
        <v>3.0000000000000001E-3</v>
      </c>
      <c r="J31" s="15">
        <f>ROUND(G31/2874-1,2)</f>
        <v>0.25</v>
      </c>
    </row>
    <row r="32" spans="1:10" x14ac:dyDescent="0.25">
      <c r="A32" s="1" t="s">
        <v>16</v>
      </c>
      <c r="B32" s="1" t="s">
        <v>38</v>
      </c>
      <c r="C32" s="10"/>
      <c r="D32" s="10"/>
      <c r="E32" s="10">
        <v>72080</v>
      </c>
      <c r="F32" s="10"/>
      <c r="G32" s="10">
        <f t="shared" si="0"/>
        <v>72080</v>
      </c>
      <c r="H32" s="16">
        <f t="shared" si="1"/>
        <v>27.25</v>
      </c>
      <c r="I32" s="15">
        <f t="shared" si="2"/>
        <v>6.9000000000000006E-2</v>
      </c>
      <c r="J32" s="15">
        <f>ROUND(G32/48940-1,2)</f>
        <v>0.47</v>
      </c>
    </row>
    <row r="33" spans="1:10" x14ac:dyDescent="0.25">
      <c r="A33" s="1" t="s">
        <v>16</v>
      </c>
      <c r="B33" s="1" t="s">
        <v>39</v>
      </c>
      <c r="C33" s="10"/>
      <c r="D33" s="10"/>
      <c r="E33" s="10">
        <v>3920</v>
      </c>
      <c r="F33" s="10"/>
      <c r="G33" s="10">
        <f t="shared" si="0"/>
        <v>3920</v>
      </c>
      <c r="H33" s="16">
        <f t="shared" si="1"/>
        <v>1.48</v>
      </c>
      <c r="I33" s="15">
        <f t="shared" si="2"/>
        <v>4.0000000000000001E-3</v>
      </c>
      <c r="J33" s="15">
        <f>ROUND(G33/4570-1,2)</f>
        <v>-0.14000000000000001</v>
      </c>
    </row>
    <row r="34" spans="1:10" x14ac:dyDescent="0.25">
      <c r="A34" s="1" t="s">
        <v>16</v>
      </c>
      <c r="B34" s="1" t="s">
        <v>40</v>
      </c>
      <c r="C34" s="10"/>
      <c r="D34" s="10"/>
      <c r="E34" s="10">
        <v>21760</v>
      </c>
      <c r="F34" s="10"/>
      <c r="G34" s="10">
        <f t="shared" si="0"/>
        <v>21760</v>
      </c>
      <c r="H34" s="16">
        <f t="shared" si="1"/>
        <v>8.23</v>
      </c>
      <c r="I34" s="15">
        <f t="shared" si="2"/>
        <v>2.1000000000000001E-2</v>
      </c>
      <c r="J34" s="15">
        <f>ROUND(G34/16440-1,2)</f>
        <v>0.32</v>
      </c>
    </row>
    <row r="35" spans="1:10" x14ac:dyDescent="0.25">
      <c r="A35" s="1" t="s">
        <v>16</v>
      </c>
      <c r="B35" s="1" t="s">
        <v>41</v>
      </c>
      <c r="C35" s="10"/>
      <c r="D35" s="10"/>
      <c r="E35" s="10">
        <v>74130</v>
      </c>
      <c r="F35" s="10">
        <v>4900</v>
      </c>
      <c r="G35" s="10">
        <f t="shared" si="0"/>
        <v>79030</v>
      </c>
      <c r="H35" s="16">
        <f t="shared" si="1"/>
        <v>29.88</v>
      </c>
      <c r="I35" s="15">
        <f t="shared" si="2"/>
        <v>7.4999999999999997E-2</v>
      </c>
      <c r="J35" s="15">
        <f>ROUND(G35/51140-1,2)</f>
        <v>0.55000000000000004</v>
      </c>
    </row>
    <row r="36" spans="1:10" x14ac:dyDescent="0.25">
      <c r="A36" s="1" t="s">
        <v>16</v>
      </c>
      <c r="B36" s="1" t="s">
        <v>18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>
        <f>ROUND(G36/1340-1,2)</f>
        <v>-1</v>
      </c>
    </row>
    <row r="37" spans="1:10" x14ac:dyDescent="0.25">
      <c r="A37" s="1" t="s">
        <v>16</v>
      </c>
      <c r="B37" s="1" t="s">
        <v>96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>
        <f>ROUND(G37/20-1,2)</f>
        <v>-1</v>
      </c>
    </row>
    <row r="38" spans="1:10" x14ac:dyDescent="0.25">
      <c r="A38" s="1" t="s">
        <v>44</v>
      </c>
      <c r="B38" s="1" t="s">
        <v>45</v>
      </c>
      <c r="C38" s="10">
        <v>161960</v>
      </c>
      <c r="D38" s="10"/>
      <c r="E38" s="10">
        <v>100</v>
      </c>
      <c r="F38" s="10">
        <v>80</v>
      </c>
      <c r="G38" s="10">
        <f t="shared" si="0"/>
        <v>162140</v>
      </c>
      <c r="H38" s="16">
        <f t="shared" si="1"/>
        <v>61.3</v>
      </c>
      <c r="I38" s="15">
        <f t="shared" si="2"/>
        <v>0.154</v>
      </c>
      <c r="J38" s="15">
        <f>ROUND(G38/144990-1,2)</f>
        <v>0.12</v>
      </c>
    </row>
    <row r="39" spans="1:10" x14ac:dyDescent="0.25">
      <c r="A39" s="1" t="s">
        <v>44</v>
      </c>
      <c r="B39" s="1" t="s">
        <v>47</v>
      </c>
      <c r="C39" s="10"/>
      <c r="D39" s="10"/>
      <c r="E39" s="10"/>
      <c r="F39" s="10">
        <v>28035</v>
      </c>
      <c r="G39" s="10">
        <f t="shared" si="0"/>
        <v>28035</v>
      </c>
      <c r="H39" s="16">
        <f t="shared" si="1"/>
        <v>10.6</v>
      </c>
      <c r="I39" s="15">
        <f t="shared" si="2"/>
        <v>2.7E-2</v>
      </c>
      <c r="J39" s="15">
        <f>ROUND(G39/25990-1,2)</f>
        <v>0.08</v>
      </c>
    </row>
    <row r="40" spans="1:10" x14ac:dyDescent="0.25">
      <c r="A40" s="1" t="s">
        <v>44</v>
      </c>
      <c r="B40" s="1" t="s">
        <v>46</v>
      </c>
      <c r="C40" s="10"/>
      <c r="D40" s="10"/>
      <c r="E40" s="10">
        <v>47820</v>
      </c>
      <c r="F40" s="10"/>
      <c r="G40" s="10">
        <f t="shared" si="0"/>
        <v>47820</v>
      </c>
      <c r="H40" s="16">
        <f t="shared" si="1"/>
        <v>18.079999999999998</v>
      </c>
      <c r="I40" s="15">
        <f t="shared" si="2"/>
        <v>4.4999999999999998E-2</v>
      </c>
      <c r="J40" s="15">
        <f>ROUND(G40/31470-1,2)</f>
        <v>0.52</v>
      </c>
    </row>
    <row r="41" spans="1:10" x14ac:dyDescent="0.25">
      <c r="A41" s="1" t="s">
        <v>48</v>
      </c>
      <c r="B41" s="1" t="s">
        <v>51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/>
    </row>
    <row r="42" spans="1:10" x14ac:dyDescent="0.25">
      <c r="A42" s="1" t="s">
        <v>48</v>
      </c>
      <c r="B42" s="1" t="s">
        <v>49</v>
      </c>
      <c r="C42" s="10"/>
      <c r="D42" s="10"/>
      <c r="E42" s="10"/>
      <c r="F42" s="10"/>
      <c r="G42" s="10">
        <f t="shared" si="0"/>
        <v>0</v>
      </c>
      <c r="H42" s="16">
        <f t="shared" si="1"/>
        <v>0</v>
      </c>
      <c r="I42" s="15">
        <f t="shared" si="2"/>
        <v>0</v>
      </c>
      <c r="J42" s="15">
        <f>ROUND(G42/460-1,2)</f>
        <v>-1</v>
      </c>
    </row>
    <row r="43" spans="1:10" x14ac:dyDescent="0.25">
      <c r="A43" s="1" t="s">
        <v>48</v>
      </c>
      <c r="B43" s="1" t="s">
        <v>50</v>
      </c>
      <c r="C43" s="10"/>
      <c r="D43" s="10"/>
      <c r="E43" s="10"/>
      <c r="F43" s="10"/>
      <c r="G43" s="10">
        <f t="shared" si="0"/>
        <v>0</v>
      </c>
      <c r="H43" s="16">
        <f t="shared" si="1"/>
        <v>0</v>
      </c>
      <c r="I43" s="15">
        <f t="shared" si="2"/>
        <v>0</v>
      </c>
      <c r="J43" s="15">
        <f>ROUND(G43/235-1,2)</f>
        <v>-1</v>
      </c>
    </row>
    <row r="44" spans="1:10" x14ac:dyDescent="0.25">
      <c r="A44" s="30" t="s">
        <v>12</v>
      </c>
      <c r="B44" s="30"/>
      <c r="C44" s="11">
        <f t="shared" ref="C44:H44" si="3">SUM(C8:C43)</f>
        <v>707090</v>
      </c>
      <c r="D44" s="11">
        <f t="shared" si="3"/>
        <v>139</v>
      </c>
      <c r="E44" s="11">
        <f t="shared" si="3"/>
        <v>310467</v>
      </c>
      <c r="F44" s="11">
        <f t="shared" si="3"/>
        <v>33665</v>
      </c>
      <c r="G44" s="11">
        <f t="shared" si="3"/>
        <v>1051361</v>
      </c>
      <c r="H44" s="14">
        <f t="shared" si="3"/>
        <v>397.49000000000012</v>
      </c>
      <c r="I44" s="17"/>
      <c r="J44" s="17"/>
    </row>
    <row r="45" spans="1:10" x14ac:dyDescent="0.25">
      <c r="A45" s="30" t="s">
        <v>14</v>
      </c>
      <c r="B45" s="30"/>
      <c r="C45" s="12">
        <f>ROUND(C44/G44,2)</f>
        <v>0.67</v>
      </c>
      <c r="D45" s="12">
        <f>ROUND(D44/G44,2)</f>
        <v>0</v>
      </c>
      <c r="E45" s="12">
        <f>ROUND(E44/G44,2)</f>
        <v>0.3</v>
      </c>
      <c r="F45" s="12">
        <f>ROUND(F44/G44,2)</f>
        <v>0.03</v>
      </c>
      <c r="G45" s="13"/>
      <c r="H45" s="13"/>
      <c r="I45" s="17"/>
      <c r="J45" s="17"/>
    </row>
    <row r="46" spans="1:10" x14ac:dyDescent="0.25">
      <c r="A46" s="2" t="s">
        <v>52</v>
      </c>
      <c r="B46" s="2"/>
      <c r="C46" s="13"/>
      <c r="D46" s="13"/>
      <c r="E46" s="13"/>
      <c r="F46" s="13"/>
      <c r="G46" s="13"/>
      <c r="H46" s="13"/>
      <c r="I46" s="17"/>
      <c r="J46" s="17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A50" s="30" t="s">
        <v>53</v>
      </c>
      <c r="B50" s="30"/>
      <c r="C50" s="11" t="s">
        <v>8</v>
      </c>
      <c r="D50" s="11" t="s">
        <v>9</v>
      </c>
      <c r="E50" s="11" t="s">
        <v>10</v>
      </c>
      <c r="F50" s="11" t="s">
        <v>11</v>
      </c>
      <c r="G50" s="11" t="s">
        <v>12</v>
      </c>
      <c r="H50" s="14" t="s">
        <v>13</v>
      </c>
      <c r="I50" s="17"/>
      <c r="J50" s="17"/>
    </row>
    <row r="51" spans="1:10" x14ac:dyDescent="0.25">
      <c r="A51" s="29" t="s">
        <v>54</v>
      </c>
      <c r="B51" s="29"/>
      <c r="C51" s="10">
        <v>545130</v>
      </c>
      <c r="D51" s="10">
        <v>139</v>
      </c>
      <c r="E51" s="10">
        <v>262547</v>
      </c>
      <c r="F51" s="10">
        <v>5550</v>
      </c>
      <c r="G51" s="10">
        <f>SUM(C51:F51)</f>
        <v>813366</v>
      </c>
      <c r="H51" s="16">
        <f>ROUND(G51/2645,2)</f>
        <v>307.51</v>
      </c>
      <c r="I51" s="9"/>
      <c r="J51" s="9"/>
    </row>
    <row r="52" spans="1:10" x14ac:dyDescent="0.25">
      <c r="A52" s="29" t="s">
        <v>55</v>
      </c>
      <c r="B52" s="29"/>
      <c r="C52" s="10">
        <v>161960</v>
      </c>
      <c r="D52" s="10">
        <v>0</v>
      </c>
      <c r="E52" s="10">
        <v>47920</v>
      </c>
      <c r="F52" s="10">
        <v>28115</v>
      </c>
      <c r="G52" s="10">
        <f>SUM(C52:F52)</f>
        <v>237995</v>
      </c>
      <c r="H52" s="16">
        <f>ROUND(G52/2645,2)</f>
        <v>89.98</v>
      </c>
      <c r="I52" s="9"/>
      <c r="J52" s="9"/>
    </row>
    <row r="53" spans="1:10" x14ac:dyDescent="0.25">
      <c r="A53" s="29" t="s">
        <v>56</v>
      </c>
      <c r="B53" s="29"/>
      <c r="C53" s="10">
        <v>0</v>
      </c>
      <c r="D53" s="10">
        <v>0</v>
      </c>
      <c r="E53" s="10">
        <v>0</v>
      </c>
      <c r="F53" s="10">
        <v>0</v>
      </c>
      <c r="G53" s="10">
        <f>SUM(C53:F53)</f>
        <v>0</v>
      </c>
      <c r="H53" s="16">
        <f>ROUND(G53/2645,2)</f>
        <v>0</v>
      </c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21"/>
      <c r="H57" s="8"/>
      <c r="I57" s="9"/>
      <c r="J57" s="9"/>
    </row>
    <row r="58" spans="1:10" x14ac:dyDescent="0.25">
      <c r="A58" s="30" t="s">
        <v>57</v>
      </c>
      <c r="B58" s="30"/>
      <c r="C58" s="14" t="s">
        <v>2</v>
      </c>
      <c r="D58" s="14">
        <v>2023</v>
      </c>
      <c r="E58" s="14" t="s">
        <v>59</v>
      </c>
      <c r="F58" s="13"/>
      <c r="G58" s="20" t="s">
        <v>60</v>
      </c>
      <c r="H58" s="14" t="s">
        <v>2</v>
      </c>
      <c r="I58" s="12" t="s">
        <v>61</v>
      </c>
      <c r="J58" s="12" t="s">
        <v>59</v>
      </c>
    </row>
    <row r="59" spans="1:10" x14ac:dyDescent="0.25">
      <c r="A59" s="29" t="s">
        <v>58</v>
      </c>
      <c r="B59" s="29"/>
      <c r="C59" s="15">
        <f>ROUND(0.8318, 4)</f>
        <v>0.83179999999999998</v>
      </c>
      <c r="D59" s="15">
        <f>ROUND(0.8277, 4)</f>
        <v>0.82769999999999999</v>
      </c>
      <c r="E59" s="15">
        <f>ROUND(0.777, 4)</f>
        <v>0.77700000000000002</v>
      </c>
      <c r="F59" s="8"/>
      <c r="G59" s="14" t="s">
        <v>62</v>
      </c>
      <c r="H59" s="33" t="s">
        <v>63</v>
      </c>
      <c r="I59" s="31" t="s">
        <v>64</v>
      </c>
      <c r="J59" s="31" t="s">
        <v>65</v>
      </c>
    </row>
    <row r="60" spans="1:10" x14ac:dyDescent="0.25">
      <c r="A60" s="29" t="s">
        <v>66</v>
      </c>
      <c r="B60" s="29"/>
      <c r="C60" s="15">
        <f>ROUND(0.8187, 4)</f>
        <v>0.81869999999999998</v>
      </c>
      <c r="D60" s="15">
        <f>ROUND(0.8142, 4)</f>
        <v>0.81420000000000003</v>
      </c>
      <c r="E60" s="15">
        <f>ROUND(0.7608, 4)</f>
        <v>0.76080000000000003</v>
      </c>
      <c r="F60" s="8"/>
      <c r="G60" s="14" t="s">
        <v>67</v>
      </c>
      <c r="H60" s="34"/>
      <c r="I60" s="32"/>
      <c r="J60" s="32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A64" s="30" t="s">
        <v>68</v>
      </c>
      <c r="B64" s="30"/>
      <c r="C64" s="14" t="s">
        <v>2</v>
      </c>
      <c r="D64" s="14" t="s">
        <v>343</v>
      </c>
      <c r="E64" s="14" t="s">
        <v>70</v>
      </c>
      <c r="F64" s="14" t="s">
        <v>71</v>
      </c>
      <c r="G64" s="14" t="s">
        <v>72</v>
      </c>
      <c r="H64" s="13"/>
      <c r="I64" s="17"/>
      <c r="J64" s="17"/>
    </row>
    <row r="65" spans="1:10" x14ac:dyDescent="0.25">
      <c r="A65" s="29" t="s">
        <v>73</v>
      </c>
      <c r="B65" s="29"/>
      <c r="C65" s="16">
        <v>61.3</v>
      </c>
      <c r="D65" s="16">
        <v>58.46</v>
      </c>
      <c r="E65" s="16">
        <v>93.87</v>
      </c>
      <c r="F65" s="16">
        <v>57.16</v>
      </c>
      <c r="G65" s="16">
        <f>12/12*C65</f>
        <v>61.3</v>
      </c>
      <c r="H65" s="8"/>
      <c r="I65" s="9"/>
      <c r="J65" s="9"/>
    </row>
    <row r="66" spans="1:10" x14ac:dyDescent="0.25">
      <c r="A66" s="29" t="s">
        <v>74</v>
      </c>
      <c r="B66" s="29"/>
      <c r="C66" s="16">
        <v>70.73</v>
      </c>
      <c r="D66" s="16">
        <v>73.790000000000006</v>
      </c>
      <c r="E66" s="16">
        <v>62.84</v>
      </c>
      <c r="F66" s="16">
        <v>65.39</v>
      </c>
      <c r="G66" s="16">
        <f>12/12*C66</f>
        <v>70.73</v>
      </c>
      <c r="H66" s="8"/>
      <c r="I66" s="9"/>
      <c r="J66" s="9"/>
    </row>
    <row r="67" spans="1:10" x14ac:dyDescent="0.25">
      <c r="A67" s="29" t="s">
        <v>75</v>
      </c>
      <c r="B67" s="29"/>
      <c r="C67" s="16">
        <v>311.13</v>
      </c>
      <c r="D67" s="16">
        <v>285.52999999999997</v>
      </c>
      <c r="E67" s="16">
        <v>295.08999999999997</v>
      </c>
      <c r="F67" s="16">
        <v>289.06</v>
      </c>
      <c r="G67" s="16">
        <f>12/12*C67</f>
        <v>311.13</v>
      </c>
      <c r="H67" s="8"/>
      <c r="I67" s="9"/>
      <c r="J67" s="9"/>
    </row>
    <row r="68" spans="1:10" x14ac:dyDescent="0.25">
      <c r="A68" s="29" t="s">
        <v>76</v>
      </c>
      <c r="B68" s="29"/>
      <c r="C68" s="16">
        <v>89.98</v>
      </c>
      <c r="D68" s="16">
        <v>82.67</v>
      </c>
      <c r="E68" s="16">
        <v>118.05</v>
      </c>
      <c r="F68" s="16">
        <v>81.41</v>
      </c>
      <c r="G68" s="16">
        <f>12/12*C68</f>
        <v>89.98</v>
      </c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1" spans="1:10" x14ac:dyDescent="0.25">
      <c r="A71" s="28" t="s">
        <v>60</v>
      </c>
      <c r="B71" s="35"/>
    </row>
    <row r="72" spans="1:10" x14ac:dyDescent="0.25">
      <c r="A72" s="3" t="s">
        <v>77</v>
      </c>
      <c r="B72" s="1" t="s">
        <v>344</v>
      </c>
    </row>
    <row r="73" spans="1:10" x14ac:dyDescent="0.25">
      <c r="A73" s="3" t="s">
        <v>70</v>
      </c>
      <c r="B73" s="1" t="s">
        <v>79</v>
      </c>
    </row>
    <row r="74" spans="1:10" x14ac:dyDescent="0.25">
      <c r="A74" s="3" t="s">
        <v>71</v>
      </c>
      <c r="B74" s="1" t="s">
        <v>80</v>
      </c>
    </row>
    <row r="75" spans="1:10" x14ac:dyDescent="0.25">
      <c r="A75" s="3" t="s">
        <v>72</v>
      </c>
      <c r="B75" s="1" t="s">
        <v>81</v>
      </c>
    </row>
  </sheetData>
  <mergeCells count="19">
    <mergeCell ref="A66:B66"/>
    <mergeCell ref="A67:B67"/>
    <mergeCell ref="A68:B68"/>
    <mergeCell ref="A71:B71"/>
    <mergeCell ref="I59:I60"/>
    <mergeCell ref="J59:J60"/>
    <mergeCell ref="A60:B60"/>
    <mergeCell ref="A64:B64"/>
    <mergeCell ref="A65:B65"/>
    <mergeCell ref="A52:B52"/>
    <mergeCell ref="A53:B53"/>
    <mergeCell ref="A58:B58"/>
    <mergeCell ref="A59:B59"/>
    <mergeCell ref="H59:H60"/>
    <mergeCell ref="C7:G7"/>
    <mergeCell ref="A44:B44"/>
    <mergeCell ref="A45:B45"/>
    <mergeCell ref="A50:B50"/>
    <mergeCell ref="A51:B51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2:J71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3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345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1924</v>
      </c>
    </row>
    <row r="7" spans="1:10" x14ac:dyDescent="0.25">
      <c r="C7" s="28" t="s">
        <v>5</v>
      </c>
      <c r="D7" s="29"/>
      <c r="E7" s="29"/>
      <c r="F7" s="29"/>
      <c r="G7" s="29"/>
    </row>
    <row r="8" spans="1:10" x14ac:dyDescent="0.25">
      <c r="A8" s="25" t="s">
        <v>6</v>
      </c>
      <c r="B8" s="25" t="s">
        <v>7</v>
      </c>
      <c r="C8" s="27" t="s">
        <v>8</v>
      </c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</row>
    <row r="9" spans="1:10" x14ac:dyDescent="0.25">
      <c r="A9" s="1" t="s">
        <v>16</v>
      </c>
      <c r="B9" s="1" t="s">
        <v>18</v>
      </c>
      <c r="C9" s="10"/>
      <c r="D9" s="10"/>
      <c r="E9" s="10">
        <v>1460</v>
      </c>
      <c r="F9" s="10">
        <v>5160</v>
      </c>
      <c r="G9" s="10">
        <f t="shared" ref="G9:G37" si="0">SUM(C9:F9)</f>
        <v>6620</v>
      </c>
      <c r="H9" s="16">
        <f t="shared" ref="H9:H37" si="1">ROUND(G9/1924,2)</f>
        <v>3.44</v>
      </c>
      <c r="I9" s="15">
        <f t="shared" ref="I9:I37" si="2">ROUND(G9/$G$38,3)</f>
        <v>8.0000000000000002E-3</v>
      </c>
      <c r="J9" s="15">
        <f>ROUND(G9/6040-1,2)</f>
        <v>0.1</v>
      </c>
    </row>
    <row r="10" spans="1:10" x14ac:dyDescent="0.25">
      <c r="A10" s="1" t="s">
        <v>16</v>
      </c>
      <c r="B10" s="1" t="s">
        <v>19</v>
      </c>
      <c r="C10" s="10">
        <v>72860</v>
      </c>
      <c r="D10" s="10"/>
      <c r="E10" s="10"/>
      <c r="F10" s="10"/>
      <c r="G10" s="10">
        <f t="shared" si="0"/>
        <v>72860</v>
      </c>
      <c r="H10" s="16">
        <f t="shared" si="1"/>
        <v>37.869999999999997</v>
      </c>
      <c r="I10" s="15">
        <f t="shared" si="2"/>
        <v>8.7999999999999995E-2</v>
      </c>
      <c r="J10" s="15">
        <f>ROUND(G10/71980-1,2)</f>
        <v>0.01</v>
      </c>
    </row>
    <row r="11" spans="1:10" x14ac:dyDescent="0.25">
      <c r="A11" s="1" t="s">
        <v>16</v>
      </c>
      <c r="B11" s="1" t="s">
        <v>20</v>
      </c>
      <c r="C11" s="10">
        <v>96175</v>
      </c>
      <c r="D11" s="10"/>
      <c r="E11" s="10"/>
      <c r="F11" s="10"/>
      <c r="G11" s="10">
        <f t="shared" si="0"/>
        <v>96175</v>
      </c>
      <c r="H11" s="16">
        <f t="shared" si="1"/>
        <v>49.99</v>
      </c>
      <c r="I11" s="15">
        <f t="shared" si="2"/>
        <v>0.11600000000000001</v>
      </c>
      <c r="J11" s="15">
        <f>ROUND(G11/99160-1,2)</f>
        <v>-0.03</v>
      </c>
    </row>
    <row r="12" spans="1:10" x14ac:dyDescent="0.25">
      <c r="A12" s="1" t="s">
        <v>16</v>
      </c>
      <c r="B12" s="1" t="s">
        <v>22</v>
      </c>
      <c r="C12" s="10"/>
      <c r="D12" s="10"/>
      <c r="E12" s="10">
        <v>2100</v>
      </c>
      <c r="F12" s="10"/>
      <c r="G12" s="10">
        <f t="shared" si="0"/>
        <v>2100</v>
      </c>
      <c r="H12" s="16">
        <f t="shared" si="1"/>
        <v>1.0900000000000001</v>
      </c>
      <c r="I12" s="15">
        <f t="shared" si="2"/>
        <v>3.0000000000000001E-3</v>
      </c>
      <c r="J12" s="15">
        <f>ROUND(G12/1900-1,2)</f>
        <v>0.11</v>
      </c>
    </row>
    <row r="13" spans="1:10" x14ac:dyDescent="0.25">
      <c r="A13" s="1" t="s">
        <v>16</v>
      </c>
      <c r="B13" s="1" t="s">
        <v>24</v>
      </c>
      <c r="C13" s="10">
        <v>108055</v>
      </c>
      <c r="D13" s="10"/>
      <c r="E13" s="10"/>
      <c r="F13" s="10"/>
      <c r="G13" s="10">
        <f t="shared" si="0"/>
        <v>108055</v>
      </c>
      <c r="H13" s="16">
        <f t="shared" si="1"/>
        <v>56.16</v>
      </c>
      <c r="I13" s="15">
        <f t="shared" si="2"/>
        <v>0.13</v>
      </c>
      <c r="J13" s="15">
        <f>ROUND(G13/107825-1,2)</f>
        <v>0</v>
      </c>
    </row>
    <row r="14" spans="1:10" x14ac:dyDescent="0.25">
      <c r="A14" s="1" t="s">
        <v>16</v>
      </c>
      <c r="B14" s="1" t="s">
        <v>25</v>
      </c>
      <c r="C14" s="10"/>
      <c r="D14" s="10"/>
      <c r="E14" s="10">
        <v>2985</v>
      </c>
      <c r="F14" s="10"/>
      <c r="G14" s="10">
        <f t="shared" si="0"/>
        <v>2985</v>
      </c>
      <c r="H14" s="16">
        <f t="shared" si="1"/>
        <v>1.55</v>
      </c>
      <c r="I14" s="15">
        <f t="shared" si="2"/>
        <v>4.0000000000000001E-3</v>
      </c>
      <c r="J14" s="15">
        <f>ROUND(G14/3000-1,2)</f>
        <v>-0.01</v>
      </c>
    </row>
    <row r="15" spans="1:10" x14ac:dyDescent="0.25">
      <c r="A15" s="1" t="s">
        <v>16</v>
      </c>
      <c r="B15" s="1" t="s">
        <v>26</v>
      </c>
      <c r="C15" s="10">
        <v>180270</v>
      </c>
      <c r="D15" s="10"/>
      <c r="E15" s="10"/>
      <c r="F15" s="10"/>
      <c r="G15" s="10">
        <f t="shared" si="0"/>
        <v>180270</v>
      </c>
      <c r="H15" s="16">
        <f t="shared" si="1"/>
        <v>93.7</v>
      </c>
      <c r="I15" s="15">
        <f t="shared" si="2"/>
        <v>0.217</v>
      </c>
      <c r="J15" s="15">
        <f>ROUND(G15/170080-1,2)</f>
        <v>0.06</v>
      </c>
    </row>
    <row r="16" spans="1:10" x14ac:dyDescent="0.25">
      <c r="A16" s="1" t="s">
        <v>16</v>
      </c>
      <c r="B16" s="1" t="s">
        <v>27</v>
      </c>
      <c r="C16" s="10"/>
      <c r="D16" s="10"/>
      <c r="E16" s="10">
        <v>674</v>
      </c>
      <c r="F16" s="10"/>
      <c r="G16" s="10">
        <f t="shared" si="0"/>
        <v>674</v>
      </c>
      <c r="H16" s="16">
        <f t="shared" si="1"/>
        <v>0.35</v>
      </c>
      <c r="I16" s="15">
        <f t="shared" si="2"/>
        <v>1E-3</v>
      </c>
      <c r="J16" s="15">
        <f>ROUND(G16/925-1,2)</f>
        <v>-0.27</v>
      </c>
    </row>
    <row r="17" spans="1:10" x14ac:dyDescent="0.25">
      <c r="A17" s="1" t="s">
        <v>16</v>
      </c>
      <c r="B17" s="1" t="s">
        <v>28</v>
      </c>
      <c r="C17" s="10"/>
      <c r="D17" s="10"/>
      <c r="E17" s="10">
        <v>627</v>
      </c>
      <c r="F17" s="10"/>
      <c r="G17" s="10">
        <f t="shared" si="0"/>
        <v>627</v>
      </c>
      <c r="H17" s="16">
        <f t="shared" si="1"/>
        <v>0.33</v>
      </c>
      <c r="I17" s="15">
        <f t="shared" si="2"/>
        <v>1E-3</v>
      </c>
      <c r="J17" s="15">
        <f>ROUND(G17/435-1,2)</f>
        <v>0.44</v>
      </c>
    </row>
    <row r="18" spans="1:10" x14ac:dyDescent="0.25">
      <c r="A18" s="1" t="s">
        <v>16</v>
      </c>
      <c r="B18" s="1" t="s">
        <v>29</v>
      </c>
      <c r="C18" s="10"/>
      <c r="D18" s="10"/>
      <c r="E18" s="10">
        <v>1430</v>
      </c>
      <c r="F18" s="10"/>
      <c r="G18" s="10">
        <f t="shared" si="0"/>
        <v>1430</v>
      </c>
      <c r="H18" s="16">
        <f t="shared" si="1"/>
        <v>0.74</v>
      </c>
      <c r="I18" s="15">
        <f t="shared" si="2"/>
        <v>2E-3</v>
      </c>
      <c r="J18" s="15"/>
    </row>
    <row r="19" spans="1:10" x14ac:dyDescent="0.25">
      <c r="A19" s="1" t="s">
        <v>16</v>
      </c>
      <c r="B19" s="1" t="s">
        <v>30</v>
      </c>
      <c r="C19" s="10"/>
      <c r="D19" s="10"/>
      <c r="E19" s="10">
        <v>650</v>
      </c>
      <c r="F19" s="10"/>
      <c r="G19" s="10">
        <f t="shared" si="0"/>
        <v>650</v>
      </c>
      <c r="H19" s="16">
        <f t="shared" si="1"/>
        <v>0.34</v>
      </c>
      <c r="I19" s="15">
        <f t="shared" si="2"/>
        <v>1E-3</v>
      </c>
      <c r="J19" s="15">
        <f>ROUND(G19/560-1,2)</f>
        <v>0.16</v>
      </c>
    </row>
    <row r="20" spans="1:10" x14ac:dyDescent="0.25">
      <c r="A20" s="1" t="s">
        <v>16</v>
      </c>
      <c r="B20" s="1" t="s">
        <v>32</v>
      </c>
      <c r="C20" s="10"/>
      <c r="D20" s="10"/>
      <c r="E20" s="10">
        <v>810</v>
      </c>
      <c r="F20" s="10"/>
      <c r="G20" s="10">
        <f t="shared" si="0"/>
        <v>810</v>
      </c>
      <c r="H20" s="16">
        <f t="shared" si="1"/>
        <v>0.42</v>
      </c>
      <c r="I20" s="15">
        <f t="shared" si="2"/>
        <v>1E-3</v>
      </c>
      <c r="J20" s="15">
        <f>ROUND(G20/640-1,2)</f>
        <v>0.27</v>
      </c>
    </row>
    <row r="21" spans="1:10" x14ac:dyDescent="0.25">
      <c r="A21" s="1" t="s">
        <v>16</v>
      </c>
      <c r="B21" s="1" t="s">
        <v>33</v>
      </c>
      <c r="C21" s="10"/>
      <c r="D21" s="10">
        <v>120</v>
      </c>
      <c r="E21" s="10">
        <v>27</v>
      </c>
      <c r="F21" s="10"/>
      <c r="G21" s="10">
        <f t="shared" si="0"/>
        <v>147</v>
      </c>
      <c r="H21" s="16">
        <f t="shared" si="1"/>
        <v>0.08</v>
      </c>
      <c r="I21" s="15">
        <f t="shared" si="2"/>
        <v>0</v>
      </c>
      <c r="J21" s="15">
        <f>ROUND(G21/140-1,2)</f>
        <v>0.05</v>
      </c>
    </row>
    <row r="22" spans="1:10" x14ac:dyDescent="0.25">
      <c r="A22" s="1" t="s">
        <v>16</v>
      </c>
      <c r="B22" s="1" t="s">
        <v>34</v>
      </c>
      <c r="C22" s="10"/>
      <c r="D22" s="10"/>
      <c r="E22" s="10">
        <v>1240</v>
      </c>
      <c r="F22" s="10"/>
      <c r="G22" s="10">
        <f t="shared" si="0"/>
        <v>1240</v>
      </c>
      <c r="H22" s="16">
        <f t="shared" si="1"/>
        <v>0.64</v>
      </c>
      <c r="I22" s="15">
        <f t="shared" si="2"/>
        <v>1E-3</v>
      </c>
      <c r="J22" s="15">
        <f>ROUND(G22/1500-1,2)</f>
        <v>-0.17</v>
      </c>
    </row>
    <row r="23" spans="1:10" x14ac:dyDescent="0.25">
      <c r="A23" s="1" t="s">
        <v>16</v>
      </c>
      <c r="B23" s="1" t="s">
        <v>35</v>
      </c>
      <c r="C23" s="10"/>
      <c r="D23" s="10">
        <v>50</v>
      </c>
      <c r="E23" s="10"/>
      <c r="F23" s="10"/>
      <c r="G23" s="10">
        <f t="shared" si="0"/>
        <v>50</v>
      </c>
      <c r="H23" s="16">
        <f t="shared" si="1"/>
        <v>0.03</v>
      </c>
      <c r="I23" s="15">
        <f t="shared" si="2"/>
        <v>0</v>
      </c>
      <c r="J23" s="15">
        <f>ROUND(G23/290-1,2)</f>
        <v>-0.83</v>
      </c>
    </row>
    <row r="24" spans="1:10" x14ac:dyDescent="0.25">
      <c r="A24" s="1" t="s">
        <v>16</v>
      </c>
      <c r="B24" s="1" t="s">
        <v>43</v>
      </c>
      <c r="C24" s="10"/>
      <c r="D24" s="10"/>
      <c r="E24" s="10">
        <v>660</v>
      </c>
      <c r="F24" s="10"/>
      <c r="G24" s="10">
        <f t="shared" si="0"/>
        <v>660</v>
      </c>
      <c r="H24" s="16">
        <f t="shared" si="1"/>
        <v>0.34</v>
      </c>
      <c r="I24" s="15">
        <f t="shared" si="2"/>
        <v>1E-3</v>
      </c>
      <c r="J24" s="15">
        <f>ROUND(G24/3268-1,2)</f>
        <v>-0.8</v>
      </c>
    </row>
    <row r="25" spans="1:10" x14ac:dyDescent="0.25">
      <c r="A25" s="1" t="s">
        <v>16</v>
      </c>
      <c r="B25" s="1" t="s">
        <v>38</v>
      </c>
      <c r="C25" s="10"/>
      <c r="D25" s="10"/>
      <c r="E25" s="10">
        <v>52800</v>
      </c>
      <c r="F25" s="10"/>
      <c r="G25" s="10">
        <f t="shared" si="0"/>
        <v>52800</v>
      </c>
      <c r="H25" s="16">
        <f t="shared" si="1"/>
        <v>27.44</v>
      </c>
      <c r="I25" s="15">
        <f t="shared" si="2"/>
        <v>6.4000000000000001E-2</v>
      </c>
      <c r="J25" s="15">
        <f>ROUND(G25/58395-1,2)</f>
        <v>-0.1</v>
      </c>
    </row>
    <row r="26" spans="1:10" x14ac:dyDescent="0.25">
      <c r="A26" s="1" t="s">
        <v>16</v>
      </c>
      <c r="B26" s="1" t="s">
        <v>39</v>
      </c>
      <c r="C26" s="10"/>
      <c r="D26" s="10"/>
      <c r="E26" s="10">
        <v>8600</v>
      </c>
      <c r="F26" s="10"/>
      <c r="G26" s="10">
        <f t="shared" si="0"/>
        <v>8600</v>
      </c>
      <c r="H26" s="16">
        <f t="shared" si="1"/>
        <v>4.47</v>
      </c>
      <c r="I26" s="15">
        <f t="shared" si="2"/>
        <v>0.01</v>
      </c>
      <c r="J26" s="15">
        <f>ROUND(G26/14690-1,2)</f>
        <v>-0.41</v>
      </c>
    </row>
    <row r="27" spans="1:10" x14ac:dyDescent="0.25">
      <c r="A27" s="1" t="s">
        <v>16</v>
      </c>
      <c r="B27" s="1" t="s">
        <v>40</v>
      </c>
      <c r="C27" s="10"/>
      <c r="D27" s="10"/>
      <c r="E27" s="10">
        <v>28580</v>
      </c>
      <c r="F27" s="10"/>
      <c r="G27" s="10">
        <f t="shared" si="0"/>
        <v>28580</v>
      </c>
      <c r="H27" s="16">
        <f t="shared" si="1"/>
        <v>14.85</v>
      </c>
      <c r="I27" s="15">
        <f t="shared" si="2"/>
        <v>3.4000000000000002E-2</v>
      </c>
      <c r="J27" s="15">
        <f>ROUND(G27/29700-1,2)</f>
        <v>-0.04</v>
      </c>
    </row>
    <row r="28" spans="1:10" x14ac:dyDescent="0.25">
      <c r="A28" s="1" t="s">
        <v>16</v>
      </c>
      <c r="B28" s="1" t="s">
        <v>41</v>
      </c>
      <c r="C28" s="10"/>
      <c r="D28" s="10"/>
      <c r="E28" s="10">
        <v>40100</v>
      </c>
      <c r="F28" s="10"/>
      <c r="G28" s="10">
        <f t="shared" si="0"/>
        <v>40100</v>
      </c>
      <c r="H28" s="16">
        <f t="shared" si="1"/>
        <v>20.84</v>
      </c>
      <c r="I28" s="15">
        <f t="shared" si="2"/>
        <v>4.8000000000000001E-2</v>
      </c>
      <c r="J28" s="15">
        <f>ROUND(G28/36560-1,2)</f>
        <v>0.1</v>
      </c>
    </row>
    <row r="29" spans="1:10" x14ac:dyDescent="0.25">
      <c r="A29" s="1" t="s">
        <v>16</v>
      </c>
      <c r="B29" s="1" t="s">
        <v>36</v>
      </c>
      <c r="C29" s="10"/>
      <c r="D29" s="10"/>
      <c r="E29" s="10"/>
      <c r="F29" s="10"/>
      <c r="G29" s="10">
        <f t="shared" si="0"/>
        <v>0</v>
      </c>
      <c r="H29" s="16">
        <f t="shared" si="1"/>
        <v>0</v>
      </c>
      <c r="I29" s="15">
        <f t="shared" si="2"/>
        <v>0</v>
      </c>
      <c r="J29" s="15">
        <f>ROUND(G29/3881-1,2)</f>
        <v>-1</v>
      </c>
    </row>
    <row r="30" spans="1:10" x14ac:dyDescent="0.25">
      <c r="A30" s="1" t="s">
        <v>16</v>
      </c>
      <c r="B30" s="1" t="s">
        <v>31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/>
    </row>
    <row r="31" spans="1:10" x14ac:dyDescent="0.25">
      <c r="A31" s="1" t="s">
        <v>16</v>
      </c>
      <c r="B31" s="1" t="s">
        <v>23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>
        <f>ROUND(G31/272780-1,2)</f>
        <v>-1</v>
      </c>
    </row>
    <row r="32" spans="1:10" x14ac:dyDescent="0.25">
      <c r="A32" s="1" t="s">
        <v>16</v>
      </c>
      <c r="B32" s="1" t="s">
        <v>17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>
        <f>ROUND(G32/60-1,2)</f>
        <v>-1</v>
      </c>
    </row>
    <row r="33" spans="1:10" x14ac:dyDescent="0.25">
      <c r="A33" s="1" t="s">
        <v>16</v>
      </c>
      <c r="B33" s="1" t="s">
        <v>42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/>
    </row>
    <row r="34" spans="1:10" x14ac:dyDescent="0.25">
      <c r="A34" s="1" t="s">
        <v>16</v>
      </c>
      <c r="B34" s="1" t="s">
        <v>90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/>
    </row>
    <row r="35" spans="1:10" x14ac:dyDescent="0.25">
      <c r="A35" s="1" t="s">
        <v>44</v>
      </c>
      <c r="B35" s="1" t="s">
        <v>45</v>
      </c>
      <c r="C35" s="10">
        <v>167185</v>
      </c>
      <c r="D35" s="10">
        <v>1125</v>
      </c>
      <c r="E35" s="10"/>
      <c r="F35" s="10"/>
      <c r="G35" s="10">
        <f t="shared" si="0"/>
        <v>168310</v>
      </c>
      <c r="H35" s="16">
        <f t="shared" si="1"/>
        <v>87.48</v>
      </c>
      <c r="I35" s="15">
        <f t="shared" si="2"/>
        <v>0.20300000000000001</v>
      </c>
      <c r="J35" s="15">
        <f>ROUND(G35/167945-1,2)</f>
        <v>0</v>
      </c>
    </row>
    <row r="36" spans="1:10" x14ac:dyDescent="0.25">
      <c r="A36" s="1" t="s">
        <v>44</v>
      </c>
      <c r="B36" s="1" t="s">
        <v>47</v>
      </c>
      <c r="C36" s="10"/>
      <c r="D36" s="10"/>
      <c r="E36" s="10"/>
      <c r="F36" s="10">
        <v>3220</v>
      </c>
      <c r="G36" s="10">
        <f t="shared" si="0"/>
        <v>3220</v>
      </c>
      <c r="H36" s="16">
        <f t="shared" si="1"/>
        <v>1.67</v>
      </c>
      <c r="I36" s="15">
        <f t="shared" si="2"/>
        <v>4.0000000000000001E-3</v>
      </c>
      <c r="J36" s="15"/>
    </row>
    <row r="37" spans="1:10" x14ac:dyDescent="0.25">
      <c r="A37" s="1" t="s">
        <v>44</v>
      </c>
      <c r="B37" s="1" t="s">
        <v>46</v>
      </c>
      <c r="C37" s="10"/>
      <c r="D37" s="10"/>
      <c r="E37" s="10">
        <v>52940</v>
      </c>
      <c r="F37" s="10"/>
      <c r="G37" s="10">
        <f t="shared" si="0"/>
        <v>52940</v>
      </c>
      <c r="H37" s="16">
        <f t="shared" si="1"/>
        <v>27.52</v>
      </c>
      <c r="I37" s="15">
        <f t="shared" si="2"/>
        <v>6.4000000000000001E-2</v>
      </c>
      <c r="J37" s="15">
        <f>ROUND(G37/61360-1,2)</f>
        <v>-0.14000000000000001</v>
      </c>
    </row>
    <row r="38" spans="1:10" x14ac:dyDescent="0.25">
      <c r="A38" s="30" t="s">
        <v>12</v>
      </c>
      <c r="B38" s="30"/>
      <c r="C38" s="11">
        <f t="shared" ref="C38:H38" si="3">SUM(C8:C37)</f>
        <v>624545</v>
      </c>
      <c r="D38" s="11">
        <f t="shared" si="3"/>
        <v>1295</v>
      </c>
      <c r="E38" s="11">
        <f t="shared" si="3"/>
        <v>195683</v>
      </c>
      <c r="F38" s="11">
        <f t="shared" si="3"/>
        <v>8380</v>
      </c>
      <c r="G38" s="11">
        <f t="shared" si="3"/>
        <v>829903</v>
      </c>
      <c r="H38" s="14">
        <f t="shared" si="3"/>
        <v>431.34000000000009</v>
      </c>
      <c r="I38" s="17"/>
      <c r="J38" s="17"/>
    </row>
    <row r="39" spans="1:10" x14ac:dyDescent="0.25">
      <c r="A39" s="30" t="s">
        <v>14</v>
      </c>
      <c r="B39" s="30"/>
      <c r="C39" s="12">
        <f>ROUND(C38/G38,2)</f>
        <v>0.75</v>
      </c>
      <c r="D39" s="12">
        <f>ROUND(D38/G38,2)</f>
        <v>0</v>
      </c>
      <c r="E39" s="12">
        <f>ROUND(E38/G38,2)</f>
        <v>0.24</v>
      </c>
      <c r="F39" s="12">
        <f>ROUND(F38/G38,2)</f>
        <v>0.01</v>
      </c>
      <c r="G39" s="13"/>
      <c r="H39" s="13"/>
      <c r="I39" s="17"/>
      <c r="J39" s="17"/>
    </row>
    <row r="40" spans="1:10" x14ac:dyDescent="0.25">
      <c r="A40" s="2" t="s">
        <v>52</v>
      </c>
      <c r="B40" s="2"/>
      <c r="C40" s="13"/>
      <c r="D40" s="13"/>
      <c r="E40" s="13"/>
      <c r="F40" s="13"/>
      <c r="G40" s="13"/>
      <c r="H40" s="13"/>
      <c r="I40" s="17"/>
      <c r="J40" s="17"/>
    </row>
    <row r="41" spans="1:10" x14ac:dyDescent="0.25">
      <c r="C41" s="8"/>
      <c r="D41" s="8"/>
      <c r="E41" s="8"/>
      <c r="F41" s="8"/>
      <c r="G41" s="8"/>
      <c r="H41" s="8"/>
      <c r="I41" s="9"/>
      <c r="J41" s="9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A44" s="30" t="s">
        <v>53</v>
      </c>
      <c r="B44" s="30"/>
      <c r="C44" s="11" t="s">
        <v>8</v>
      </c>
      <c r="D44" s="11" t="s">
        <v>9</v>
      </c>
      <c r="E44" s="11" t="s">
        <v>10</v>
      </c>
      <c r="F44" s="11" t="s">
        <v>11</v>
      </c>
      <c r="G44" s="11" t="s">
        <v>12</v>
      </c>
      <c r="H44" s="14" t="s">
        <v>13</v>
      </c>
      <c r="I44" s="17"/>
      <c r="J44" s="17"/>
    </row>
    <row r="45" spans="1:10" x14ac:dyDescent="0.25">
      <c r="A45" s="29" t="s">
        <v>54</v>
      </c>
      <c r="B45" s="29"/>
      <c r="C45" s="10">
        <v>457360</v>
      </c>
      <c r="D45" s="10">
        <v>170</v>
      </c>
      <c r="E45" s="10">
        <v>142743</v>
      </c>
      <c r="F45" s="10">
        <v>5160</v>
      </c>
      <c r="G45" s="10">
        <f>SUM(C45:F45)</f>
        <v>605433</v>
      </c>
      <c r="H45" s="16">
        <f>ROUND(G45/1924,2)</f>
        <v>314.67</v>
      </c>
      <c r="I45" s="9"/>
      <c r="J45" s="9"/>
    </row>
    <row r="46" spans="1:10" x14ac:dyDescent="0.25">
      <c r="A46" s="29" t="s">
        <v>55</v>
      </c>
      <c r="B46" s="29"/>
      <c r="C46" s="10">
        <v>167185</v>
      </c>
      <c r="D46" s="10">
        <v>1125</v>
      </c>
      <c r="E46" s="10">
        <v>52940</v>
      </c>
      <c r="F46" s="10">
        <v>3220</v>
      </c>
      <c r="G46" s="10">
        <f>SUM(C46:F46)</f>
        <v>224470</v>
      </c>
      <c r="H46" s="16">
        <f>ROUND(G46/1924,2)</f>
        <v>116.67</v>
      </c>
      <c r="I46" s="9"/>
      <c r="J46" s="9"/>
    </row>
    <row r="47" spans="1:10" x14ac:dyDescent="0.25">
      <c r="A47" s="29" t="s">
        <v>56</v>
      </c>
      <c r="B47" s="29"/>
      <c r="C47" s="10"/>
      <c r="D47" s="10"/>
      <c r="E47" s="10"/>
      <c r="F47" s="10"/>
      <c r="G47" s="10">
        <f>SUM(C47:F47)</f>
        <v>0</v>
      </c>
      <c r="H47" s="16">
        <f>ROUND(G47/1924,2)</f>
        <v>0</v>
      </c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A52" s="30" t="s">
        <v>57</v>
      </c>
      <c r="B52" s="30"/>
      <c r="C52" s="14" t="s">
        <v>2</v>
      </c>
      <c r="D52" s="14">
        <v>2023</v>
      </c>
      <c r="E52" s="14" t="s">
        <v>59</v>
      </c>
      <c r="F52" s="13"/>
      <c r="G52" s="14" t="s">
        <v>60</v>
      </c>
      <c r="H52" s="14" t="s">
        <v>2</v>
      </c>
      <c r="I52" s="12" t="s">
        <v>61</v>
      </c>
      <c r="J52" s="12" t="s">
        <v>59</v>
      </c>
    </row>
    <row r="53" spans="1:10" x14ac:dyDescent="0.25">
      <c r="A53" s="29" t="s">
        <v>58</v>
      </c>
      <c r="B53" s="29"/>
      <c r="C53" s="15">
        <f>ROUND(0.7892, 4)</f>
        <v>0.78920000000000001</v>
      </c>
      <c r="D53" s="15">
        <f>ROUND(0.792, 4)</f>
        <v>0.79200000000000004</v>
      </c>
      <c r="E53" s="15">
        <f>ROUND(0.777, 4)</f>
        <v>0.77700000000000002</v>
      </c>
      <c r="F53" s="8"/>
      <c r="G53" s="14" t="s">
        <v>62</v>
      </c>
      <c r="H53" s="33" t="s">
        <v>63</v>
      </c>
      <c r="I53" s="31" t="s">
        <v>64</v>
      </c>
      <c r="J53" s="31" t="s">
        <v>65</v>
      </c>
    </row>
    <row r="54" spans="1:10" x14ac:dyDescent="0.25">
      <c r="A54" s="29" t="s">
        <v>66</v>
      </c>
      <c r="B54" s="29"/>
      <c r="C54" s="15">
        <f>ROUND(0.7779, 4)</f>
        <v>0.77790000000000004</v>
      </c>
      <c r="D54" s="15">
        <f>ROUND(0.7807, 4)</f>
        <v>0.78069999999999995</v>
      </c>
      <c r="E54" s="15">
        <f>ROUND(0.7608, 4)</f>
        <v>0.76080000000000003</v>
      </c>
      <c r="F54" s="8"/>
      <c r="G54" s="14" t="s">
        <v>67</v>
      </c>
      <c r="H54" s="34"/>
      <c r="I54" s="32"/>
      <c r="J54" s="32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21"/>
      <c r="H57" s="8"/>
      <c r="I57" s="9"/>
      <c r="J57" s="9"/>
    </row>
    <row r="58" spans="1:10" x14ac:dyDescent="0.25">
      <c r="A58" s="30" t="s">
        <v>68</v>
      </c>
      <c r="B58" s="30"/>
      <c r="C58" s="14" t="s">
        <v>2</v>
      </c>
      <c r="D58" s="14" t="s">
        <v>346</v>
      </c>
      <c r="E58" s="14" t="s">
        <v>70</v>
      </c>
      <c r="F58" s="14" t="s">
        <v>71</v>
      </c>
      <c r="G58" s="20" t="s">
        <v>72</v>
      </c>
      <c r="H58" s="13"/>
      <c r="I58" s="17"/>
      <c r="J58" s="17"/>
    </row>
    <row r="59" spans="1:10" x14ac:dyDescent="0.25">
      <c r="A59" s="29" t="s">
        <v>73</v>
      </c>
      <c r="B59" s="29"/>
      <c r="C59" s="16">
        <v>87.48</v>
      </c>
      <c r="D59" s="16">
        <v>86.16</v>
      </c>
      <c r="E59" s="16">
        <v>93.87</v>
      </c>
      <c r="F59" s="16">
        <v>57.16</v>
      </c>
      <c r="G59" s="16">
        <f>12/12*C59</f>
        <v>87.48</v>
      </c>
      <c r="H59" s="8"/>
      <c r="I59" s="9"/>
      <c r="J59" s="9"/>
    </row>
    <row r="60" spans="1:10" x14ac:dyDescent="0.25">
      <c r="A60" s="29" t="s">
        <v>74</v>
      </c>
      <c r="B60" s="29"/>
      <c r="C60" s="16">
        <v>93.7</v>
      </c>
      <c r="D60" s="16">
        <v>85.69</v>
      </c>
      <c r="E60" s="16">
        <v>62.84</v>
      </c>
      <c r="F60" s="16">
        <v>65.39</v>
      </c>
      <c r="G60" s="16">
        <f>12/12*C60</f>
        <v>93.7</v>
      </c>
      <c r="H60" s="8"/>
      <c r="I60" s="9"/>
      <c r="J60" s="9"/>
    </row>
    <row r="61" spans="1:10" x14ac:dyDescent="0.25">
      <c r="A61" s="29" t="s">
        <v>75</v>
      </c>
      <c r="B61" s="29"/>
      <c r="C61" s="16">
        <v>314.67</v>
      </c>
      <c r="D61" s="16">
        <v>412.59</v>
      </c>
      <c r="E61" s="16">
        <v>295.08999999999997</v>
      </c>
      <c r="F61" s="16">
        <v>289.06</v>
      </c>
      <c r="G61" s="16">
        <f>12/12*C61</f>
        <v>314.67</v>
      </c>
      <c r="H61" s="8"/>
      <c r="I61" s="9"/>
      <c r="J61" s="9"/>
    </row>
    <row r="62" spans="1:10" x14ac:dyDescent="0.25">
      <c r="A62" s="29" t="s">
        <v>76</v>
      </c>
      <c r="B62" s="29"/>
      <c r="C62" s="16">
        <v>116.67</v>
      </c>
      <c r="D62" s="16">
        <v>118.93</v>
      </c>
      <c r="E62" s="16">
        <v>118.05</v>
      </c>
      <c r="F62" s="16">
        <v>81.41</v>
      </c>
      <c r="G62" s="16">
        <f>12/12*C62</f>
        <v>116.67</v>
      </c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A65" s="28" t="s">
        <v>60</v>
      </c>
      <c r="B65" s="35"/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3" t="s">
        <v>77</v>
      </c>
      <c r="B66" s="1" t="s">
        <v>347</v>
      </c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70</v>
      </c>
      <c r="B67" s="1" t="s">
        <v>79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71</v>
      </c>
      <c r="B68" s="1" t="s">
        <v>80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72</v>
      </c>
      <c r="B69" s="1" t="s">
        <v>81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  <row r="71" spans="1:10" x14ac:dyDescent="0.25">
      <c r="C71" s="8"/>
      <c r="D71" s="8"/>
      <c r="E71" s="8"/>
      <c r="F71" s="8"/>
      <c r="G71" s="8"/>
      <c r="H71" s="8"/>
      <c r="I71" s="9"/>
      <c r="J71" s="9"/>
    </row>
  </sheetData>
  <mergeCells count="19">
    <mergeCell ref="A60:B60"/>
    <mergeCell ref="A61:B61"/>
    <mergeCell ref="A62:B62"/>
    <mergeCell ref="A65:B65"/>
    <mergeCell ref="I53:I54"/>
    <mergeCell ref="J53:J54"/>
    <mergeCell ref="A54:B54"/>
    <mergeCell ref="A58:B58"/>
    <mergeCell ref="A59:B59"/>
    <mergeCell ref="A46:B46"/>
    <mergeCell ref="A47:B47"/>
    <mergeCell ref="A52:B52"/>
    <mergeCell ref="A53:B53"/>
    <mergeCell ref="H53:H54"/>
    <mergeCell ref="C7:G7"/>
    <mergeCell ref="A38:B38"/>
    <mergeCell ref="A39:B39"/>
    <mergeCell ref="A44:B44"/>
    <mergeCell ref="A45:B45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2:J73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4.285156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348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846</v>
      </c>
    </row>
    <row r="7" spans="1:10" x14ac:dyDescent="0.25">
      <c r="C7" s="28" t="s">
        <v>5</v>
      </c>
      <c r="D7" s="29"/>
      <c r="E7" s="29"/>
      <c r="F7" s="29"/>
      <c r="G7" s="29"/>
    </row>
    <row r="8" spans="1:10" x14ac:dyDescent="0.25">
      <c r="A8" s="25" t="s">
        <v>6</v>
      </c>
      <c r="B8" s="25" t="s">
        <v>7</v>
      </c>
      <c r="C8" s="27" t="s">
        <v>8</v>
      </c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29</v>
      </c>
      <c r="F9" s="10"/>
      <c r="G9" s="10">
        <f t="shared" ref="G9:G39" si="0">SUM(C9:F9)</f>
        <v>29</v>
      </c>
      <c r="H9" s="16">
        <f t="shared" ref="H9:H39" si="1">ROUND(G9/846,2)</f>
        <v>0.03</v>
      </c>
      <c r="I9" s="15">
        <f t="shared" ref="I9:I39" si="2">ROUND(G9/$G$40,3)</f>
        <v>0</v>
      </c>
      <c r="J9" s="15"/>
    </row>
    <row r="10" spans="1:10" x14ac:dyDescent="0.25">
      <c r="A10" s="1" t="s">
        <v>16</v>
      </c>
      <c r="B10" s="1" t="s">
        <v>18</v>
      </c>
      <c r="C10" s="10"/>
      <c r="D10" s="10"/>
      <c r="E10" s="10">
        <v>3391</v>
      </c>
      <c r="F10" s="10"/>
      <c r="G10" s="10">
        <f t="shared" si="0"/>
        <v>3391</v>
      </c>
      <c r="H10" s="16">
        <f t="shared" si="1"/>
        <v>4.01</v>
      </c>
      <c r="I10" s="15">
        <f t="shared" si="2"/>
        <v>8.9999999999999993E-3</v>
      </c>
      <c r="J10" s="15"/>
    </row>
    <row r="11" spans="1:10" x14ac:dyDescent="0.25">
      <c r="A11" s="1" t="s">
        <v>16</v>
      </c>
      <c r="B11" s="1" t="s">
        <v>19</v>
      </c>
      <c r="C11" s="10">
        <v>31640</v>
      </c>
      <c r="D11" s="10"/>
      <c r="E11" s="10">
        <v>6290</v>
      </c>
      <c r="F11" s="10"/>
      <c r="G11" s="10">
        <f t="shared" si="0"/>
        <v>37930</v>
      </c>
      <c r="H11" s="16">
        <f t="shared" si="1"/>
        <v>44.83</v>
      </c>
      <c r="I11" s="15">
        <f t="shared" si="2"/>
        <v>9.8000000000000004E-2</v>
      </c>
      <c r="J11" s="15">
        <f>ROUND(G11/31418.71-1,2)</f>
        <v>0.21</v>
      </c>
    </row>
    <row r="12" spans="1:10" x14ac:dyDescent="0.25">
      <c r="A12" s="1" t="s">
        <v>16</v>
      </c>
      <c r="B12" s="1" t="s">
        <v>20</v>
      </c>
      <c r="C12" s="10">
        <v>43615</v>
      </c>
      <c r="D12" s="10"/>
      <c r="E12" s="10">
        <v>409</v>
      </c>
      <c r="F12" s="10"/>
      <c r="G12" s="10">
        <f t="shared" si="0"/>
        <v>44024</v>
      </c>
      <c r="H12" s="16">
        <f t="shared" si="1"/>
        <v>52.04</v>
      </c>
      <c r="I12" s="15">
        <f t="shared" si="2"/>
        <v>0.114</v>
      </c>
      <c r="J12" s="15">
        <f>ROUND(G12/41395-1,2)</f>
        <v>0.06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88</v>
      </c>
      <c r="F13" s="10"/>
      <c r="G13" s="10">
        <f t="shared" si="0"/>
        <v>88</v>
      </c>
      <c r="H13" s="16">
        <f t="shared" si="1"/>
        <v>0.1</v>
      </c>
      <c r="I13" s="15">
        <f t="shared" si="2"/>
        <v>0</v>
      </c>
      <c r="J13" s="15">
        <f>ROUND(G13/25.96-1,2)</f>
        <v>2.39</v>
      </c>
    </row>
    <row r="14" spans="1:10" x14ac:dyDescent="0.25">
      <c r="A14" s="1" t="s">
        <v>16</v>
      </c>
      <c r="B14" s="1" t="s">
        <v>22</v>
      </c>
      <c r="C14" s="10"/>
      <c r="D14" s="10"/>
      <c r="E14" s="10">
        <v>803</v>
      </c>
      <c r="F14" s="10"/>
      <c r="G14" s="10">
        <f t="shared" si="0"/>
        <v>803</v>
      </c>
      <c r="H14" s="16">
        <f t="shared" si="1"/>
        <v>0.95</v>
      </c>
      <c r="I14" s="15">
        <f t="shared" si="2"/>
        <v>2E-3</v>
      </c>
      <c r="J14" s="15">
        <f>ROUND(G14/312.5-1,2)</f>
        <v>1.57</v>
      </c>
    </row>
    <row r="15" spans="1:10" x14ac:dyDescent="0.25">
      <c r="A15" s="1" t="s">
        <v>16</v>
      </c>
      <c r="B15" s="1" t="s">
        <v>23</v>
      </c>
      <c r="C15" s="10"/>
      <c r="D15" s="10"/>
      <c r="E15" s="10">
        <v>26465</v>
      </c>
      <c r="F15" s="10"/>
      <c r="G15" s="10">
        <f t="shared" si="0"/>
        <v>26465</v>
      </c>
      <c r="H15" s="16">
        <f t="shared" si="1"/>
        <v>31.28</v>
      </c>
      <c r="I15" s="15">
        <f t="shared" si="2"/>
        <v>6.8000000000000005E-2</v>
      </c>
      <c r="J15" s="15">
        <f>ROUND(G15/10047.45-1,2)</f>
        <v>1.63</v>
      </c>
    </row>
    <row r="16" spans="1:10" x14ac:dyDescent="0.25">
      <c r="A16" s="1" t="s">
        <v>16</v>
      </c>
      <c r="B16" s="1" t="s">
        <v>24</v>
      </c>
      <c r="C16" s="10">
        <v>31870</v>
      </c>
      <c r="D16" s="10"/>
      <c r="E16" s="10">
        <v>17090</v>
      </c>
      <c r="F16" s="10"/>
      <c r="G16" s="10">
        <f t="shared" si="0"/>
        <v>48960</v>
      </c>
      <c r="H16" s="16">
        <f t="shared" si="1"/>
        <v>57.87</v>
      </c>
      <c r="I16" s="15">
        <f t="shared" si="2"/>
        <v>0.127</v>
      </c>
      <c r="J16" s="15">
        <f>ROUND(G16/34639.57-1,2)</f>
        <v>0.41</v>
      </c>
    </row>
    <row r="17" spans="1:10" x14ac:dyDescent="0.25">
      <c r="A17" s="1" t="s">
        <v>16</v>
      </c>
      <c r="B17" s="1" t="s">
        <v>25</v>
      </c>
      <c r="C17" s="10"/>
      <c r="D17" s="10"/>
      <c r="E17" s="10">
        <v>1703</v>
      </c>
      <c r="F17" s="10"/>
      <c r="G17" s="10">
        <f t="shared" si="0"/>
        <v>1703</v>
      </c>
      <c r="H17" s="16">
        <f t="shared" si="1"/>
        <v>2.0099999999999998</v>
      </c>
      <c r="I17" s="15">
        <f t="shared" si="2"/>
        <v>4.0000000000000001E-3</v>
      </c>
      <c r="J17" s="15"/>
    </row>
    <row r="18" spans="1:10" x14ac:dyDescent="0.25">
      <c r="A18" s="1" t="s">
        <v>16</v>
      </c>
      <c r="B18" s="1" t="s">
        <v>26</v>
      </c>
      <c r="C18" s="10">
        <v>46420</v>
      </c>
      <c r="D18" s="10"/>
      <c r="E18" s="10"/>
      <c r="F18" s="10"/>
      <c r="G18" s="10">
        <f t="shared" si="0"/>
        <v>46420</v>
      </c>
      <c r="H18" s="16">
        <f t="shared" si="1"/>
        <v>54.87</v>
      </c>
      <c r="I18" s="15">
        <f t="shared" si="2"/>
        <v>0.12</v>
      </c>
      <c r="J18" s="15">
        <f>ROUND(G18/42870-1,2)</f>
        <v>0.08</v>
      </c>
    </row>
    <row r="19" spans="1:10" x14ac:dyDescent="0.25">
      <c r="A19" s="1" t="s">
        <v>16</v>
      </c>
      <c r="B19" s="1" t="s">
        <v>27</v>
      </c>
      <c r="C19" s="10"/>
      <c r="D19" s="10"/>
      <c r="E19" s="10">
        <v>230</v>
      </c>
      <c r="F19" s="10"/>
      <c r="G19" s="10">
        <f t="shared" si="0"/>
        <v>230</v>
      </c>
      <c r="H19" s="16">
        <f t="shared" si="1"/>
        <v>0.27</v>
      </c>
      <c r="I19" s="15">
        <f t="shared" si="2"/>
        <v>1E-3</v>
      </c>
      <c r="J19" s="15"/>
    </row>
    <row r="20" spans="1:10" x14ac:dyDescent="0.25">
      <c r="A20" s="1" t="s">
        <v>16</v>
      </c>
      <c r="B20" s="1" t="s">
        <v>28</v>
      </c>
      <c r="C20" s="10"/>
      <c r="D20" s="10"/>
      <c r="E20" s="10">
        <v>94</v>
      </c>
      <c r="F20" s="10"/>
      <c r="G20" s="10">
        <f t="shared" si="0"/>
        <v>94</v>
      </c>
      <c r="H20" s="16">
        <f t="shared" si="1"/>
        <v>0.11</v>
      </c>
      <c r="I20" s="15">
        <f t="shared" si="2"/>
        <v>0</v>
      </c>
      <c r="J20" s="15"/>
    </row>
    <row r="21" spans="1:10" x14ac:dyDescent="0.25">
      <c r="A21" s="1" t="s">
        <v>16</v>
      </c>
      <c r="B21" s="1" t="s">
        <v>29</v>
      </c>
      <c r="C21" s="10"/>
      <c r="D21" s="10"/>
      <c r="E21" s="10">
        <v>431</v>
      </c>
      <c r="F21" s="10"/>
      <c r="G21" s="10">
        <f t="shared" si="0"/>
        <v>431</v>
      </c>
      <c r="H21" s="16">
        <f t="shared" si="1"/>
        <v>0.51</v>
      </c>
      <c r="I21" s="15">
        <f t="shared" si="2"/>
        <v>1E-3</v>
      </c>
      <c r="J21" s="15">
        <f>ROUND(G21/859.52-1,2)</f>
        <v>-0.5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358</v>
      </c>
      <c r="F22" s="10"/>
      <c r="G22" s="10">
        <f t="shared" si="0"/>
        <v>358</v>
      </c>
      <c r="H22" s="16">
        <f t="shared" si="1"/>
        <v>0.42</v>
      </c>
      <c r="I22" s="15">
        <f t="shared" si="2"/>
        <v>1E-3</v>
      </c>
      <c r="J22" s="15">
        <f>ROUND(G22/192.07-1,2)</f>
        <v>0.86</v>
      </c>
    </row>
    <row r="23" spans="1:10" x14ac:dyDescent="0.25">
      <c r="A23" s="1" t="s">
        <v>16</v>
      </c>
      <c r="B23" s="1" t="s">
        <v>31</v>
      </c>
      <c r="C23" s="10"/>
      <c r="D23" s="10"/>
      <c r="E23" s="10">
        <v>128</v>
      </c>
      <c r="F23" s="10"/>
      <c r="G23" s="10">
        <f t="shared" si="0"/>
        <v>128</v>
      </c>
      <c r="H23" s="16">
        <f t="shared" si="1"/>
        <v>0.15</v>
      </c>
      <c r="I23" s="15">
        <f t="shared" si="2"/>
        <v>0</v>
      </c>
      <c r="J23" s="15">
        <f>ROUND(G23/27.47-1,2)</f>
        <v>3.66</v>
      </c>
    </row>
    <row r="24" spans="1:10" x14ac:dyDescent="0.25">
      <c r="A24" s="1" t="s">
        <v>16</v>
      </c>
      <c r="B24" s="1" t="s">
        <v>32</v>
      </c>
      <c r="C24" s="10"/>
      <c r="D24" s="10"/>
      <c r="E24" s="10">
        <v>423</v>
      </c>
      <c r="F24" s="10"/>
      <c r="G24" s="10">
        <f t="shared" si="0"/>
        <v>423</v>
      </c>
      <c r="H24" s="16">
        <f t="shared" si="1"/>
        <v>0.5</v>
      </c>
      <c r="I24" s="15">
        <f t="shared" si="2"/>
        <v>1E-3</v>
      </c>
      <c r="J24" s="15">
        <f>ROUND(G24/159.37-1,2)</f>
        <v>1.65</v>
      </c>
    </row>
    <row r="25" spans="1:10" x14ac:dyDescent="0.25">
      <c r="A25" s="1" t="s">
        <v>16</v>
      </c>
      <c r="B25" s="1" t="s">
        <v>33</v>
      </c>
      <c r="C25" s="10"/>
      <c r="D25" s="10"/>
      <c r="E25" s="10">
        <v>139</v>
      </c>
      <c r="F25" s="10"/>
      <c r="G25" s="10">
        <f t="shared" si="0"/>
        <v>139</v>
      </c>
      <c r="H25" s="16">
        <f t="shared" si="1"/>
        <v>0.16</v>
      </c>
      <c r="I25" s="15">
        <f t="shared" si="2"/>
        <v>0</v>
      </c>
      <c r="J25" s="15"/>
    </row>
    <row r="26" spans="1:10" x14ac:dyDescent="0.25">
      <c r="A26" s="1" t="s">
        <v>16</v>
      </c>
      <c r="B26" s="1" t="s">
        <v>34</v>
      </c>
      <c r="C26" s="10"/>
      <c r="D26" s="10"/>
      <c r="E26" s="10">
        <v>545</v>
      </c>
      <c r="F26" s="10"/>
      <c r="G26" s="10">
        <f t="shared" si="0"/>
        <v>545</v>
      </c>
      <c r="H26" s="16">
        <f t="shared" si="1"/>
        <v>0.64</v>
      </c>
      <c r="I26" s="15">
        <f t="shared" si="2"/>
        <v>1E-3</v>
      </c>
      <c r="J26" s="15"/>
    </row>
    <row r="27" spans="1:10" x14ac:dyDescent="0.25">
      <c r="A27" s="1" t="s">
        <v>16</v>
      </c>
      <c r="B27" s="1" t="s">
        <v>35</v>
      </c>
      <c r="C27" s="10"/>
      <c r="D27" s="10"/>
      <c r="E27" s="10">
        <v>169</v>
      </c>
      <c r="F27" s="10"/>
      <c r="G27" s="10">
        <f t="shared" si="0"/>
        <v>169</v>
      </c>
      <c r="H27" s="16">
        <f t="shared" si="1"/>
        <v>0.2</v>
      </c>
      <c r="I27" s="15">
        <f t="shared" si="2"/>
        <v>0</v>
      </c>
      <c r="J27" s="15">
        <f>ROUND(G27/41.33-1,2)</f>
        <v>3.09</v>
      </c>
    </row>
    <row r="28" spans="1:10" x14ac:dyDescent="0.25">
      <c r="A28" s="1" t="s">
        <v>16</v>
      </c>
      <c r="B28" s="1" t="s">
        <v>36</v>
      </c>
      <c r="C28" s="10"/>
      <c r="D28" s="10"/>
      <c r="E28" s="10">
        <v>95</v>
      </c>
      <c r="F28" s="10"/>
      <c r="G28" s="10">
        <f t="shared" si="0"/>
        <v>95</v>
      </c>
      <c r="H28" s="16">
        <f t="shared" si="1"/>
        <v>0.11</v>
      </c>
      <c r="I28" s="15">
        <f t="shared" si="2"/>
        <v>0</v>
      </c>
      <c r="J28" s="15">
        <f>ROUND(G28/178.68-1,2)</f>
        <v>-0.47</v>
      </c>
    </row>
    <row r="29" spans="1:10" x14ac:dyDescent="0.25">
      <c r="A29" s="1" t="s">
        <v>16</v>
      </c>
      <c r="B29" s="1" t="s">
        <v>38</v>
      </c>
      <c r="C29" s="10"/>
      <c r="D29" s="10"/>
      <c r="E29" s="10">
        <v>31660</v>
      </c>
      <c r="F29" s="10"/>
      <c r="G29" s="10">
        <f t="shared" si="0"/>
        <v>31660</v>
      </c>
      <c r="H29" s="16">
        <f t="shared" si="1"/>
        <v>37.42</v>
      </c>
      <c r="I29" s="15">
        <f t="shared" si="2"/>
        <v>8.2000000000000003E-2</v>
      </c>
      <c r="J29" s="15">
        <f>ROUND(G29/9793.4-1,2)</f>
        <v>2.23</v>
      </c>
    </row>
    <row r="30" spans="1:10" x14ac:dyDescent="0.25">
      <c r="A30" s="1" t="s">
        <v>16</v>
      </c>
      <c r="B30" s="1" t="s">
        <v>39</v>
      </c>
      <c r="C30" s="10"/>
      <c r="D30" s="10"/>
      <c r="E30" s="10">
        <v>2540</v>
      </c>
      <c r="F30" s="10"/>
      <c r="G30" s="10">
        <f t="shared" si="0"/>
        <v>2540</v>
      </c>
      <c r="H30" s="16">
        <f t="shared" si="1"/>
        <v>3</v>
      </c>
      <c r="I30" s="15">
        <f t="shared" si="2"/>
        <v>7.0000000000000001E-3</v>
      </c>
      <c r="J30" s="15">
        <f>ROUND(G30/1159.17-1,2)</f>
        <v>1.19</v>
      </c>
    </row>
    <row r="31" spans="1:10" x14ac:dyDescent="0.25">
      <c r="A31" s="1" t="s">
        <v>16</v>
      </c>
      <c r="B31" s="1" t="s">
        <v>40</v>
      </c>
      <c r="C31" s="10"/>
      <c r="D31" s="10"/>
      <c r="E31" s="10">
        <v>10273</v>
      </c>
      <c r="F31" s="10"/>
      <c r="G31" s="10">
        <f t="shared" si="0"/>
        <v>10273</v>
      </c>
      <c r="H31" s="16">
        <f t="shared" si="1"/>
        <v>12.14</v>
      </c>
      <c r="I31" s="15">
        <f t="shared" si="2"/>
        <v>2.7E-2</v>
      </c>
      <c r="J31" s="15">
        <f>ROUND(G31/5100.66-1,2)</f>
        <v>1.01</v>
      </c>
    </row>
    <row r="32" spans="1:10" x14ac:dyDescent="0.25">
      <c r="A32" s="1" t="s">
        <v>16</v>
      </c>
      <c r="B32" s="1" t="s">
        <v>41</v>
      </c>
      <c r="C32" s="10"/>
      <c r="D32" s="10"/>
      <c r="E32" s="10">
        <v>20486</v>
      </c>
      <c r="F32" s="10"/>
      <c r="G32" s="10">
        <f t="shared" si="0"/>
        <v>20486</v>
      </c>
      <c r="H32" s="16">
        <f t="shared" si="1"/>
        <v>24.22</v>
      </c>
      <c r="I32" s="15">
        <f t="shared" si="2"/>
        <v>5.2999999999999999E-2</v>
      </c>
      <c r="J32" s="15">
        <f>ROUND(G32/3112.9-1,2)</f>
        <v>5.58</v>
      </c>
    </row>
    <row r="33" spans="1:10" x14ac:dyDescent="0.25">
      <c r="A33" s="1" t="s">
        <v>16</v>
      </c>
      <c r="B33" s="1" t="s">
        <v>42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>
        <f>ROUND(G33/22.79-1,2)</f>
        <v>-1</v>
      </c>
    </row>
    <row r="34" spans="1:10" x14ac:dyDescent="0.25">
      <c r="A34" s="1" t="s">
        <v>16</v>
      </c>
      <c r="B34" s="1" t="s">
        <v>37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ROUND(G34/1204.68-1,2)</f>
        <v>-1</v>
      </c>
    </row>
    <row r="35" spans="1:10" x14ac:dyDescent="0.25">
      <c r="A35" s="1" t="s">
        <v>44</v>
      </c>
      <c r="B35" s="1" t="s">
        <v>45</v>
      </c>
      <c r="C35" s="10">
        <v>86580</v>
      </c>
      <c r="D35" s="10"/>
      <c r="E35" s="10"/>
      <c r="F35" s="10"/>
      <c r="G35" s="10">
        <f t="shared" si="0"/>
        <v>86580</v>
      </c>
      <c r="H35" s="16">
        <f t="shared" si="1"/>
        <v>102.34</v>
      </c>
      <c r="I35" s="15">
        <f t="shared" si="2"/>
        <v>0.224</v>
      </c>
      <c r="J35" s="15">
        <f>ROUND(G35/78750-1,2)</f>
        <v>0.1</v>
      </c>
    </row>
    <row r="36" spans="1:10" x14ac:dyDescent="0.25">
      <c r="A36" s="1" t="s">
        <v>44</v>
      </c>
      <c r="B36" s="1" t="s">
        <v>46</v>
      </c>
      <c r="C36" s="10"/>
      <c r="D36" s="10"/>
      <c r="E36" s="10">
        <v>22690</v>
      </c>
      <c r="F36" s="10"/>
      <c r="G36" s="10">
        <f t="shared" si="0"/>
        <v>22690</v>
      </c>
      <c r="H36" s="16">
        <f t="shared" si="1"/>
        <v>26.82</v>
      </c>
      <c r="I36" s="15">
        <f t="shared" si="2"/>
        <v>5.8999999999999997E-2</v>
      </c>
      <c r="J36" s="15">
        <f>ROUND(G36/9159.01-1,2)</f>
        <v>1.48</v>
      </c>
    </row>
    <row r="37" spans="1:10" x14ac:dyDescent="0.25">
      <c r="A37" s="1" t="s">
        <v>44</v>
      </c>
      <c r="B37" s="1" t="s">
        <v>47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1" t="s">
        <v>48</v>
      </c>
      <c r="B38" s="1" t="s">
        <v>51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>
        <f>ROUND(G38/2-1,2)</f>
        <v>-1</v>
      </c>
    </row>
    <row r="39" spans="1:10" x14ac:dyDescent="0.25">
      <c r="A39" s="1" t="s">
        <v>48</v>
      </c>
      <c r="B39" s="1" t="s">
        <v>86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30" t="s">
        <v>12</v>
      </c>
      <c r="B40" s="30"/>
      <c r="C40" s="11">
        <f t="shared" ref="C40:H40" si="3">SUM(C8:C39)</f>
        <v>240125</v>
      </c>
      <c r="D40" s="11">
        <f t="shared" si="3"/>
        <v>0</v>
      </c>
      <c r="E40" s="11">
        <f t="shared" si="3"/>
        <v>146529</v>
      </c>
      <c r="F40" s="11">
        <f t="shared" si="3"/>
        <v>0</v>
      </c>
      <c r="G40" s="11">
        <f t="shared" si="3"/>
        <v>386654</v>
      </c>
      <c r="H40" s="14">
        <f t="shared" si="3"/>
        <v>457.00000000000006</v>
      </c>
      <c r="I40" s="17"/>
      <c r="J40" s="17"/>
    </row>
    <row r="41" spans="1:10" x14ac:dyDescent="0.25">
      <c r="A41" s="30" t="s">
        <v>14</v>
      </c>
      <c r="B41" s="30"/>
      <c r="C41" s="12">
        <f>ROUND(C40/G40,2)</f>
        <v>0.62</v>
      </c>
      <c r="D41" s="12">
        <f>ROUND(D40/G40,2)</f>
        <v>0</v>
      </c>
      <c r="E41" s="12">
        <f>ROUND(E40/G40,2)</f>
        <v>0.38</v>
      </c>
      <c r="F41" s="12">
        <f>ROUND(F40/G40,2)</f>
        <v>0</v>
      </c>
      <c r="G41" s="13"/>
      <c r="H41" s="13"/>
      <c r="I41" s="17"/>
      <c r="J41" s="17"/>
    </row>
    <row r="42" spans="1:10" x14ac:dyDescent="0.25">
      <c r="A42" s="2" t="s">
        <v>52</v>
      </c>
      <c r="B42" s="2"/>
      <c r="C42" s="13"/>
      <c r="D42" s="13"/>
      <c r="E42" s="13"/>
      <c r="F42" s="13"/>
      <c r="G42" s="13"/>
      <c r="H42" s="13"/>
      <c r="I42" s="17"/>
      <c r="J42" s="17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A46" s="30" t="s">
        <v>53</v>
      </c>
      <c r="B46" s="30"/>
      <c r="C46" s="11" t="s">
        <v>8</v>
      </c>
      <c r="D46" s="11" t="s">
        <v>9</v>
      </c>
      <c r="E46" s="11" t="s">
        <v>10</v>
      </c>
      <c r="F46" s="11" t="s">
        <v>11</v>
      </c>
      <c r="G46" s="11" t="s">
        <v>12</v>
      </c>
      <c r="H46" s="14" t="s">
        <v>13</v>
      </c>
      <c r="I46" s="17"/>
      <c r="J46" s="17"/>
    </row>
    <row r="47" spans="1:10" x14ac:dyDescent="0.25">
      <c r="A47" s="29" t="s">
        <v>54</v>
      </c>
      <c r="B47" s="29"/>
      <c r="C47" s="10">
        <v>153545</v>
      </c>
      <c r="D47" s="10">
        <v>0</v>
      </c>
      <c r="E47" s="10">
        <v>123839</v>
      </c>
      <c r="F47" s="10">
        <v>0</v>
      </c>
      <c r="G47" s="10">
        <f>SUM(C47:F47)</f>
        <v>277384</v>
      </c>
      <c r="H47" s="16">
        <f>ROUND(G47/846,2)</f>
        <v>327.88</v>
      </c>
      <c r="I47" s="9"/>
      <c r="J47" s="9"/>
    </row>
    <row r="48" spans="1:10" x14ac:dyDescent="0.25">
      <c r="A48" s="29" t="s">
        <v>55</v>
      </c>
      <c r="B48" s="29"/>
      <c r="C48" s="10">
        <v>86580</v>
      </c>
      <c r="D48" s="10">
        <v>0</v>
      </c>
      <c r="E48" s="10">
        <v>22690</v>
      </c>
      <c r="F48" s="10">
        <v>0</v>
      </c>
      <c r="G48" s="10">
        <f>SUM(C48:F48)</f>
        <v>109270</v>
      </c>
      <c r="H48" s="16">
        <f>ROUND(G48/846,2)</f>
        <v>129.16</v>
      </c>
      <c r="I48" s="9"/>
      <c r="J48" s="9"/>
    </row>
    <row r="49" spans="1:10" x14ac:dyDescent="0.25">
      <c r="A49" s="29" t="s">
        <v>56</v>
      </c>
      <c r="B49" s="29"/>
      <c r="C49" s="10">
        <v>0</v>
      </c>
      <c r="D49" s="10">
        <v>0</v>
      </c>
      <c r="E49" s="10">
        <v>0</v>
      </c>
      <c r="F49" s="10">
        <v>0</v>
      </c>
      <c r="G49" s="10">
        <f>SUM(C49:F49)</f>
        <v>0</v>
      </c>
      <c r="H49" s="16">
        <f>ROUND(G49/846,2)</f>
        <v>0</v>
      </c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A54" s="30" t="s">
        <v>57</v>
      </c>
      <c r="B54" s="30"/>
      <c r="C54" s="14" t="s">
        <v>2</v>
      </c>
      <c r="D54" s="14">
        <v>2023</v>
      </c>
      <c r="E54" s="14" t="s">
        <v>59</v>
      </c>
      <c r="F54" s="13"/>
      <c r="G54" s="14" t="s">
        <v>60</v>
      </c>
      <c r="H54" s="14" t="s">
        <v>2</v>
      </c>
      <c r="I54" s="12" t="s">
        <v>61</v>
      </c>
      <c r="J54" s="12" t="s">
        <v>59</v>
      </c>
    </row>
    <row r="55" spans="1:10" x14ac:dyDescent="0.25">
      <c r="A55" s="29" t="s">
        <v>58</v>
      </c>
      <c r="B55" s="29"/>
      <c r="C55" s="15">
        <f>ROUND(0.7523, 4)</f>
        <v>0.75229999999999997</v>
      </c>
      <c r="D55" s="15">
        <f>ROUND(0.6935, 4)</f>
        <v>0.69350000000000001</v>
      </c>
      <c r="E55" s="15">
        <f>ROUND(0.777, 4)</f>
        <v>0.77700000000000002</v>
      </c>
      <c r="F55" s="8"/>
      <c r="G55" s="14" t="s">
        <v>62</v>
      </c>
      <c r="H55" s="33" t="s">
        <v>63</v>
      </c>
      <c r="I55" s="31" t="s">
        <v>64</v>
      </c>
      <c r="J55" s="31" t="s">
        <v>65</v>
      </c>
    </row>
    <row r="56" spans="1:10" x14ac:dyDescent="0.25">
      <c r="A56" s="29" t="s">
        <v>66</v>
      </c>
      <c r="B56" s="29"/>
      <c r="C56" s="15">
        <f>ROUND(0.7131, 4)</f>
        <v>0.71309999999999996</v>
      </c>
      <c r="D56" s="15">
        <f>ROUND(0.6485, 4)</f>
        <v>0.64849999999999997</v>
      </c>
      <c r="E56" s="15">
        <f>ROUND(0.7608, 4)</f>
        <v>0.76080000000000003</v>
      </c>
      <c r="F56" s="8"/>
      <c r="G56" s="14" t="s">
        <v>67</v>
      </c>
      <c r="H56" s="34"/>
      <c r="I56" s="32"/>
      <c r="J56" s="32"/>
    </row>
    <row r="57" spans="1:10" x14ac:dyDescent="0.25">
      <c r="C57" s="8"/>
      <c r="D57" s="8"/>
      <c r="E57" s="8"/>
      <c r="F57" s="8"/>
      <c r="G57" s="21"/>
      <c r="H57" s="8"/>
      <c r="I57" s="9"/>
      <c r="J57" s="9"/>
    </row>
    <row r="58" spans="1:10" x14ac:dyDescent="0.25">
      <c r="C58" s="8"/>
      <c r="D58" s="8"/>
      <c r="E58" s="8"/>
      <c r="F58" s="8"/>
      <c r="G58" s="21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A60" s="30" t="s">
        <v>68</v>
      </c>
      <c r="B60" s="30"/>
      <c r="C60" s="14" t="s">
        <v>2</v>
      </c>
      <c r="D60" s="14" t="s">
        <v>349</v>
      </c>
      <c r="E60" s="14" t="s">
        <v>70</v>
      </c>
      <c r="F60" s="14" t="s">
        <v>71</v>
      </c>
      <c r="G60" s="14" t="s">
        <v>72</v>
      </c>
      <c r="H60" s="13"/>
      <c r="I60" s="17"/>
      <c r="J60" s="17"/>
    </row>
    <row r="61" spans="1:10" x14ac:dyDescent="0.25">
      <c r="A61" s="29" t="s">
        <v>73</v>
      </c>
      <c r="B61" s="29"/>
      <c r="C61" s="16">
        <v>102.34</v>
      </c>
      <c r="D61" s="16">
        <v>91.18</v>
      </c>
      <c r="E61" s="16">
        <v>93.87</v>
      </c>
      <c r="F61" s="16">
        <v>57.16</v>
      </c>
      <c r="G61" s="16">
        <f>12/12*C61</f>
        <v>102.34</v>
      </c>
      <c r="H61" s="8"/>
      <c r="I61" s="9"/>
      <c r="J61" s="9"/>
    </row>
    <row r="62" spans="1:10" x14ac:dyDescent="0.25">
      <c r="A62" s="29" t="s">
        <v>74</v>
      </c>
      <c r="B62" s="29"/>
      <c r="C62" s="16">
        <v>54.87</v>
      </c>
      <c r="D62" s="16">
        <v>48.22</v>
      </c>
      <c r="E62" s="16">
        <v>62.84</v>
      </c>
      <c r="F62" s="16">
        <v>65.39</v>
      </c>
      <c r="G62" s="16">
        <f>12/12*C62</f>
        <v>54.87</v>
      </c>
      <c r="H62" s="8"/>
      <c r="I62" s="9"/>
      <c r="J62" s="9"/>
    </row>
    <row r="63" spans="1:10" x14ac:dyDescent="0.25">
      <c r="A63" s="29" t="s">
        <v>75</v>
      </c>
      <c r="B63" s="29"/>
      <c r="C63" s="16">
        <v>327.88</v>
      </c>
      <c r="D63" s="16">
        <v>267.41000000000003</v>
      </c>
      <c r="E63" s="16">
        <v>295.08999999999997</v>
      </c>
      <c r="F63" s="16">
        <v>289.06</v>
      </c>
      <c r="G63" s="16">
        <f>12/12*C63</f>
        <v>327.88</v>
      </c>
      <c r="H63" s="8"/>
      <c r="I63" s="9"/>
      <c r="J63" s="9"/>
    </row>
    <row r="64" spans="1:10" x14ac:dyDescent="0.25">
      <c r="A64" s="29" t="s">
        <v>76</v>
      </c>
      <c r="B64" s="29"/>
      <c r="C64" s="16">
        <v>129.16</v>
      </c>
      <c r="D64" s="16">
        <v>112.3</v>
      </c>
      <c r="E64" s="16">
        <v>118.05</v>
      </c>
      <c r="F64" s="16">
        <v>81.41</v>
      </c>
      <c r="G64" s="16">
        <f>12/12*C64</f>
        <v>129.16</v>
      </c>
      <c r="H64" s="8"/>
      <c r="I64" s="9"/>
      <c r="J64" s="9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28" t="s">
        <v>60</v>
      </c>
      <c r="B67" s="35"/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77</v>
      </c>
      <c r="B68" s="1" t="s">
        <v>350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70</v>
      </c>
      <c r="B69" s="1" t="s">
        <v>79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71</v>
      </c>
      <c r="B70" s="1" t="s">
        <v>80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3" t="s">
        <v>72</v>
      </c>
      <c r="B71" s="1" t="s">
        <v>81</v>
      </c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</sheetData>
  <mergeCells count="19">
    <mergeCell ref="A62:B62"/>
    <mergeCell ref="A63:B63"/>
    <mergeCell ref="A64:B64"/>
    <mergeCell ref="A67:B67"/>
    <mergeCell ref="I55:I56"/>
    <mergeCell ref="J55:J56"/>
    <mergeCell ref="A56:B56"/>
    <mergeCell ref="A60:B60"/>
    <mergeCell ref="A61:B61"/>
    <mergeCell ref="A48:B48"/>
    <mergeCell ref="A49:B49"/>
    <mergeCell ref="A54:B54"/>
    <mergeCell ref="A55:B55"/>
    <mergeCell ref="H55:H56"/>
    <mergeCell ref="C7:G7"/>
    <mergeCell ref="A40:B40"/>
    <mergeCell ref="A41:B41"/>
    <mergeCell ref="A46:B46"/>
    <mergeCell ref="A47:B47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2:J73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7.8554687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351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2127</v>
      </c>
    </row>
    <row r="7" spans="1:10" x14ac:dyDescent="0.25">
      <c r="C7" s="28" t="s">
        <v>5</v>
      </c>
      <c r="D7" s="29"/>
      <c r="E7" s="29"/>
      <c r="F7" s="29"/>
      <c r="G7" s="29"/>
    </row>
    <row r="8" spans="1:10" x14ac:dyDescent="0.25">
      <c r="A8" s="25" t="s">
        <v>6</v>
      </c>
      <c r="B8" s="25" t="s">
        <v>7</v>
      </c>
      <c r="C8" s="27" t="s">
        <v>8</v>
      </c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46</v>
      </c>
      <c r="F9" s="10"/>
      <c r="G9" s="10">
        <f t="shared" ref="G9:G41" si="0">SUM(C9:F9)</f>
        <v>46</v>
      </c>
      <c r="H9" s="16">
        <f t="shared" ref="H9:H41" si="1">ROUND(G9/2127,2)</f>
        <v>0.02</v>
      </c>
      <c r="I9" s="15">
        <f t="shared" ref="I9:I41" si="2">ROUND(G9/$G$42,3)</f>
        <v>0</v>
      </c>
      <c r="J9" s="15">
        <f>ROUND(G9/155-1,2)</f>
        <v>-0.7</v>
      </c>
    </row>
    <row r="10" spans="1:10" x14ac:dyDescent="0.25">
      <c r="A10" s="1" t="s">
        <v>16</v>
      </c>
      <c r="B10" s="1" t="s">
        <v>19</v>
      </c>
      <c r="C10" s="10">
        <v>74190</v>
      </c>
      <c r="D10" s="10"/>
      <c r="E10" s="10">
        <v>8506</v>
      </c>
      <c r="F10" s="10">
        <v>380</v>
      </c>
      <c r="G10" s="10">
        <f t="shared" si="0"/>
        <v>83076</v>
      </c>
      <c r="H10" s="16">
        <f t="shared" si="1"/>
        <v>39.06</v>
      </c>
      <c r="I10" s="15">
        <f t="shared" si="2"/>
        <v>9.6000000000000002E-2</v>
      </c>
      <c r="J10" s="15">
        <f>ROUND(G10/99318.08-1,2)</f>
        <v>-0.16</v>
      </c>
    </row>
    <row r="11" spans="1:10" x14ac:dyDescent="0.25">
      <c r="A11" s="1" t="s">
        <v>16</v>
      </c>
      <c r="B11" s="1" t="s">
        <v>20</v>
      </c>
      <c r="C11" s="10">
        <v>94260</v>
      </c>
      <c r="D11" s="10"/>
      <c r="E11" s="10">
        <v>1202</v>
      </c>
      <c r="F11" s="10"/>
      <c r="G11" s="10">
        <f t="shared" si="0"/>
        <v>95462</v>
      </c>
      <c r="H11" s="16">
        <f t="shared" si="1"/>
        <v>44.88</v>
      </c>
      <c r="I11" s="15">
        <f t="shared" si="2"/>
        <v>0.111</v>
      </c>
      <c r="J11" s="15">
        <f>ROUND(G11/95965-1,2)</f>
        <v>-0.01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190</v>
      </c>
      <c r="F12" s="10"/>
      <c r="G12" s="10">
        <f t="shared" si="0"/>
        <v>190</v>
      </c>
      <c r="H12" s="16">
        <f t="shared" si="1"/>
        <v>0.09</v>
      </c>
      <c r="I12" s="15">
        <f t="shared" si="2"/>
        <v>0</v>
      </c>
      <c r="J12" s="15">
        <f>ROUND(G12/695-1,2)</f>
        <v>-0.73</v>
      </c>
    </row>
    <row r="13" spans="1:10" x14ac:dyDescent="0.25">
      <c r="A13" s="1" t="s">
        <v>16</v>
      </c>
      <c r="B13" s="1" t="s">
        <v>22</v>
      </c>
      <c r="C13" s="10"/>
      <c r="D13" s="10"/>
      <c r="E13" s="10">
        <v>3250</v>
      </c>
      <c r="F13" s="10"/>
      <c r="G13" s="10">
        <f t="shared" si="0"/>
        <v>3250</v>
      </c>
      <c r="H13" s="16">
        <f t="shared" si="1"/>
        <v>1.53</v>
      </c>
      <c r="I13" s="15">
        <f t="shared" si="2"/>
        <v>4.0000000000000001E-3</v>
      </c>
      <c r="J13" s="15">
        <f>ROUND(G13/3900-1,2)</f>
        <v>-0.17</v>
      </c>
    </row>
    <row r="14" spans="1:10" x14ac:dyDescent="0.25">
      <c r="A14" s="1" t="s">
        <v>16</v>
      </c>
      <c r="B14" s="1" t="s">
        <v>23</v>
      </c>
      <c r="C14" s="10"/>
      <c r="D14" s="10"/>
      <c r="E14" s="10">
        <v>59939</v>
      </c>
      <c r="F14" s="10"/>
      <c r="G14" s="10">
        <f t="shared" si="0"/>
        <v>59939</v>
      </c>
      <c r="H14" s="16">
        <f t="shared" si="1"/>
        <v>28.18</v>
      </c>
      <c r="I14" s="15">
        <f t="shared" si="2"/>
        <v>7.0000000000000007E-2</v>
      </c>
      <c r="J14" s="15">
        <f>ROUND(G14/128320.36-1,2)</f>
        <v>-0.53</v>
      </c>
    </row>
    <row r="15" spans="1:10" x14ac:dyDescent="0.25">
      <c r="A15" s="1" t="s">
        <v>16</v>
      </c>
      <c r="B15" s="1" t="s">
        <v>24</v>
      </c>
      <c r="C15" s="10">
        <v>79980</v>
      </c>
      <c r="D15" s="10"/>
      <c r="E15" s="10">
        <v>23211</v>
      </c>
      <c r="F15" s="10">
        <v>520</v>
      </c>
      <c r="G15" s="10">
        <f t="shared" si="0"/>
        <v>103711</v>
      </c>
      <c r="H15" s="16">
        <f t="shared" si="1"/>
        <v>48.76</v>
      </c>
      <c r="I15" s="15">
        <f t="shared" si="2"/>
        <v>0.12</v>
      </c>
      <c r="J15" s="15">
        <f>ROUND(G15/131972.45-1,2)</f>
        <v>-0.21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3445</v>
      </c>
      <c r="F16" s="10"/>
      <c r="G16" s="10">
        <f t="shared" si="0"/>
        <v>3445</v>
      </c>
      <c r="H16" s="16">
        <f t="shared" si="1"/>
        <v>1.62</v>
      </c>
      <c r="I16" s="15">
        <f t="shared" si="2"/>
        <v>4.0000000000000001E-3</v>
      </c>
      <c r="J16" s="15">
        <f>ROUND(G16/11190-1,2)</f>
        <v>-0.69</v>
      </c>
    </row>
    <row r="17" spans="1:10" x14ac:dyDescent="0.25">
      <c r="A17" s="1" t="s">
        <v>16</v>
      </c>
      <c r="B17" s="1" t="s">
        <v>26</v>
      </c>
      <c r="C17" s="10">
        <v>149900</v>
      </c>
      <c r="D17" s="10"/>
      <c r="E17" s="10"/>
      <c r="F17" s="10">
        <v>80</v>
      </c>
      <c r="G17" s="10">
        <f t="shared" si="0"/>
        <v>149980</v>
      </c>
      <c r="H17" s="16">
        <f t="shared" si="1"/>
        <v>70.510000000000005</v>
      </c>
      <c r="I17" s="15">
        <f t="shared" si="2"/>
        <v>0.17399999999999999</v>
      </c>
      <c r="J17" s="15">
        <f>ROUND(G17/125240-1,2)</f>
        <v>0.2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769</v>
      </c>
      <c r="F18" s="10"/>
      <c r="G18" s="10">
        <f t="shared" si="0"/>
        <v>769</v>
      </c>
      <c r="H18" s="16">
        <f t="shared" si="1"/>
        <v>0.36</v>
      </c>
      <c r="I18" s="15">
        <f t="shared" si="2"/>
        <v>1E-3</v>
      </c>
      <c r="J18" s="15">
        <f>ROUND(G18/1575-1,2)</f>
        <v>-0.51</v>
      </c>
    </row>
    <row r="19" spans="1:10" x14ac:dyDescent="0.25">
      <c r="A19" s="1" t="s">
        <v>16</v>
      </c>
      <c r="B19" s="1" t="s">
        <v>28</v>
      </c>
      <c r="C19" s="10"/>
      <c r="D19" s="10"/>
      <c r="E19" s="10">
        <v>479</v>
      </c>
      <c r="F19" s="10"/>
      <c r="G19" s="10">
        <f t="shared" si="0"/>
        <v>479</v>
      </c>
      <c r="H19" s="16">
        <f t="shared" si="1"/>
        <v>0.23</v>
      </c>
      <c r="I19" s="15">
        <f t="shared" si="2"/>
        <v>1E-3</v>
      </c>
      <c r="J19" s="15">
        <f>ROUND(G19/912-1,2)</f>
        <v>-0.47</v>
      </c>
    </row>
    <row r="20" spans="1:10" x14ac:dyDescent="0.25">
      <c r="A20" s="1" t="s">
        <v>16</v>
      </c>
      <c r="B20" s="1" t="s">
        <v>42</v>
      </c>
      <c r="C20" s="10"/>
      <c r="D20" s="10"/>
      <c r="E20" s="10">
        <v>70</v>
      </c>
      <c r="F20" s="10"/>
      <c r="G20" s="10">
        <f t="shared" si="0"/>
        <v>70</v>
      </c>
      <c r="H20" s="16">
        <f t="shared" si="1"/>
        <v>0.03</v>
      </c>
      <c r="I20" s="15">
        <f t="shared" si="2"/>
        <v>0</v>
      </c>
      <c r="J20" s="15">
        <f>ROUND(G20/298.31-1,2)</f>
        <v>-0.77</v>
      </c>
    </row>
    <row r="21" spans="1:10" x14ac:dyDescent="0.25">
      <c r="A21" s="1" t="s">
        <v>16</v>
      </c>
      <c r="B21" s="1" t="s">
        <v>29</v>
      </c>
      <c r="C21" s="10"/>
      <c r="D21" s="10"/>
      <c r="E21" s="10">
        <v>1624</v>
      </c>
      <c r="F21" s="10"/>
      <c r="G21" s="10">
        <f t="shared" si="0"/>
        <v>1624</v>
      </c>
      <c r="H21" s="16">
        <f t="shared" si="1"/>
        <v>0.76</v>
      </c>
      <c r="I21" s="15">
        <f t="shared" si="2"/>
        <v>2E-3</v>
      </c>
      <c r="J21" s="15">
        <f>ROUND(G21/9391.61-1,2)</f>
        <v>-0.83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500</v>
      </c>
      <c r="F22" s="10"/>
      <c r="G22" s="10">
        <f t="shared" si="0"/>
        <v>500</v>
      </c>
      <c r="H22" s="16">
        <f t="shared" si="1"/>
        <v>0.24</v>
      </c>
      <c r="I22" s="15">
        <f t="shared" si="2"/>
        <v>1E-3</v>
      </c>
      <c r="J22" s="15">
        <f>ROUND(G22/1409-1,2)</f>
        <v>-0.65</v>
      </c>
    </row>
    <row r="23" spans="1:10" x14ac:dyDescent="0.25">
      <c r="A23" s="1" t="s">
        <v>16</v>
      </c>
      <c r="B23" s="1" t="s">
        <v>31</v>
      </c>
      <c r="C23" s="10"/>
      <c r="D23" s="10"/>
      <c r="E23" s="10">
        <v>447</v>
      </c>
      <c r="F23" s="10"/>
      <c r="G23" s="10">
        <f t="shared" si="0"/>
        <v>447</v>
      </c>
      <c r="H23" s="16">
        <f t="shared" si="1"/>
        <v>0.21</v>
      </c>
      <c r="I23" s="15">
        <f t="shared" si="2"/>
        <v>1E-3</v>
      </c>
      <c r="J23" s="15">
        <f>ROUND(G23/387.14-1,2)</f>
        <v>0.15</v>
      </c>
    </row>
    <row r="24" spans="1:10" x14ac:dyDescent="0.25">
      <c r="A24" s="1" t="s">
        <v>16</v>
      </c>
      <c r="B24" s="1" t="s">
        <v>32</v>
      </c>
      <c r="C24" s="10"/>
      <c r="D24" s="10"/>
      <c r="E24" s="10">
        <v>1284</v>
      </c>
      <c r="F24" s="10"/>
      <c r="G24" s="10">
        <f t="shared" si="0"/>
        <v>1284</v>
      </c>
      <c r="H24" s="16">
        <f t="shared" si="1"/>
        <v>0.6</v>
      </c>
      <c r="I24" s="15">
        <f t="shared" si="2"/>
        <v>1E-3</v>
      </c>
      <c r="J24" s="15">
        <f>ROUND(G24/2340-1,2)</f>
        <v>-0.45</v>
      </c>
    </row>
    <row r="25" spans="1:10" x14ac:dyDescent="0.25">
      <c r="A25" s="1" t="s">
        <v>16</v>
      </c>
      <c r="B25" s="1" t="s">
        <v>33</v>
      </c>
      <c r="C25" s="10"/>
      <c r="D25" s="10"/>
      <c r="E25" s="10">
        <v>200</v>
      </c>
      <c r="F25" s="10"/>
      <c r="G25" s="10">
        <f t="shared" si="0"/>
        <v>200</v>
      </c>
      <c r="H25" s="16">
        <f t="shared" si="1"/>
        <v>0.09</v>
      </c>
      <c r="I25" s="15">
        <f t="shared" si="2"/>
        <v>0</v>
      </c>
      <c r="J25" s="15">
        <f>ROUND(G25/986-1,2)</f>
        <v>-0.8</v>
      </c>
    </row>
    <row r="26" spans="1:10" x14ac:dyDescent="0.25">
      <c r="A26" s="1" t="s">
        <v>16</v>
      </c>
      <c r="B26" s="1" t="s">
        <v>37</v>
      </c>
      <c r="C26" s="10"/>
      <c r="D26" s="10"/>
      <c r="E26" s="10">
        <v>2920</v>
      </c>
      <c r="F26" s="10"/>
      <c r="G26" s="10">
        <f t="shared" si="0"/>
        <v>2920</v>
      </c>
      <c r="H26" s="16">
        <f t="shared" si="1"/>
        <v>1.37</v>
      </c>
      <c r="I26" s="15">
        <f t="shared" si="2"/>
        <v>3.0000000000000001E-3</v>
      </c>
      <c r="J26" s="15">
        <f>ROUND(G26/13441.43-1,2)</f>
        <v>-0.78</v>
      </c>
    </row>
    <row r="27" spans="1:10" x14ac:dyDescent="0.25">
      <c r="A27" s="1" t="s">
        <v>16</v>
      </c>
      <c r="B27" s="1" t="s">
        <v>43</v>
      </c>
      <c r="C27" s="10"/>
      <c r="D27" s="10"/>
      <c r="E27" s="10">
        <v>2884</v>
      </c>
      <c r="F27" s="10"/>
      <c r="G27" s="10">
        <f t="shared" si="0"/>
        <v>2884</v>
      </c>
      <c r="H27" s="16">
        <f t="shared" si="1"/>
        <v>1.36</v>
      </c>
      <c r="I27" s="15">
        <f t="shared" si="2"/>
        <v>3.0000000000000001E-3</v>
      </c>
      <c r="J27" s="15">
        <f>ROUND(G27/20500-1,2)</f>
        <v>-0.86</v>
      </c>
    </row>
    <row r="28" spans="1:10" x14ac:dyDescent="0.25">
      <c r="A28" s="1" t="s">
        <v>16</v>
      </c>
      <c r="B28" s="1" t="s">
        <v>38</v>
      </c>
      <c r="C28" s="10"/>
      <c r="D28" s="10"/>
      <c r="E28" s="10">
        <v>61142</v>
      </c>
      <c r="F28" s="10"/>
      <c r="G28" s="10">
        <f t="shared" si="0"/>
        <v>61142</v>
      </c>
      <c r="H28" s="16">
        <f t="shared" si="1"/>
        <v>28.75</v>
      </c>
      <c r="I28" s="15">
        <f t="shared" si="2"/>
        <v>7.0999999999999994E-2</v>
      </c>
      <c r="J28" s="15">
        <f>ROUND(G28/109043.87-1,2)</f>
        <v>-0.44</v>
      </c>
    </row>
    <row r="29" spans="1:10" x14ac:dyDescent="0.25">
      <c r="A29" s="1" t="s">
        <v>16</v>
      </c>
      <c r="B29" s="1" t="s">
        <v>40</v>
      </c>
      <c r="C29" s="10"/>
      <c r="D29" s="10"/>
      <c r="E29" s="10">
        <v>22207</v>
      </c>
      <c r="F29" s="10"/>
      <c r="G29" s="10">
        <f t="shared" si="0"/>
        <v>22207</v>
      </c>
      <c r="H29" s="16">
        <f t="shared" si="1"/>
        <v>10.44</v>
      </c>
      <c r="I29" s="15">
        <f t="shared" si="2"/>
        <v>2.5999999999999999E-2</v>
      </c>
      <c r="J29" s="15">
        <f>ROUND(G29/42465.63-1,2)</f>
        <v>-0.48</v>
      </c>
    </row>
    <row r="30" spans="1:10" x14ac:dyDescent="0.25">
      <c r="A30" s="1" t="s">
        <v>16</v>
      </c>
      <c r="B30" s="1" t="s">
        <v>41</v>
      </c>
      <c r="C30" s="10"/>
      <c r="D30" s="10"/>
      <c r="E30" s="10">
        <v>40119</v>
      </c>
      <c r="F30" s="10"/>
      <c r="G30" s="10">
        <f t="shared" si="0"/>
        <v>40119</v>
      </c>
      <c r="H30" s="16">
        <f t="shared" si="1"/>
        <v>18.86</v>
      </c>
      <c r="I30" s="15">
        <f t="shared" si="2"/>
        <v>4.7E-2</v>
      </c>
      <c r="J30" s="15">
        <f>ROUND(G30/83778.85-1,2)</f>
        <v>-0.52</v>
      </c>
    </row>
    <row r="31" spans="1:10" x14ac:dyDescent="0.25">
      <c r="A31" s="1" t="s">
        <v>16</v>
      </c>
      <c r="B31" s="1" t="s">
        <v>36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>
        <f>ROUND(G31/4399.51-1,2)</f>
        <v>-1</v>
      </c>
    </row>
    <row r="32" spans="1:10" x14ac:dyDescent="0.25">
      <c r="A32" s="1" t="s">
        <v>16</v>
      </c>
      <c r="B32" s="1" t="s">
        <v>34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/>
    </row>
    <row r="33" spans="1:10" x14ac:dyDescent="0.25">
      <c r="A33" s="1" t="s">
        <v>16</v>
      </c>
      <c r="B33" s="1" t="s">
        <v>35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>
        <f>ROUND(G33/1165-1,2)</f>
        <v>-1</v>
      </c>
    </row>
    <row r="34" spans="1:10" x14ac:dyDescent="0.25">
      <c r="A34" s="1" t="s">
        <v>16</v>
      </c>
      <c r="B34" s="1" t="s">
        <v>39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/>
    </row>
    <row r="35" spans="1:10" x14ac:dyDescent="0.25">
      <c r="A35" s="1" t="s">
        <v>44</v>
      </c>
      <c r="B35" s="1" t="s">
        <v>45</v>
      </c>
      <c r="C35" s="10">
        <v>189780</v>
      </c>
      <c r="D35" s="10"/>
      <c r="E35" s="10"/>
      <c r="F35" s="10">
        <v>1680</v>
      </c>
      <c r="G35" s="10">
        <f t="shared" si="0"/>
        <v>191460</v>
      </c>
      <c r="H35" s="16">
        <f t="shared" si="1"/>
        <v>90.01</v>
      </c>
      <c r="I35" s="15">
        <f t="shared" si="2"/>
        <v>0.222</v>
      </c>
      <c r="J35" s="15">
        <f>ROUND(G35/185950-1,2)</f>
        <v>0.03</v>
      </c>
    </row>
    <row r="36" spans="1:10" x14ac:dyDescent="0.25">
      <c r="A36" s="1" t="s">
        <v>44</v>
      </c>
      <c r="B36" s="1" t="s">
        <v>46</v>
      </c>
      <c r="C36" s="10"/>
      <c r="D36" s="10"/>
      <c r="E36" s="10">
        <v>36168</v>
      </c>
      <c r="F36" s="10"/>
      <c r="G36" s="10">
        <f t="shared" si="0"/>
        <v>36168</v>
      </c>
      <c r="H36" s="16">
        <f t="shared" si="1"/>
        <v>17</v>
      </c>
      <c r="I36" s="15">
        <f t="shared" si="2"/>
        <v>4.2000000000000003E-2</v>
      </c>
      <c r="J36" s="15">
        <f>ROUND(G36/66182.44-1,2)</f>
        <v>-0.45</v>
      </c>
    </row>
    <row r="37" spans="1:10" x14ac:dyDescent="0.25">
      <c r="A37" s="1" t="s">
        <v>44</v>
      </c>
      <c r="B37" s="1" t="s">
        <v>47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1" t="s">
        <v>48</v>
      </c>
      <c r="B38" s="1" t="s">
        <v>49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>
        <f>ROUND(G38/100-1,2)</f>
        <v>-1</v>
      </c>
    </row>
    <row r="39" spans="1:10" x14ac:dyDescent="0.25">
      <c r="A39" s="1" t="s">
        <v>48</v>
      </c>
      <c r="B39" s="1" t="s">
        <v>86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>
        <f>ROUND(G39/343-1,2)</f>
        <v>-1</v>
      </c>
    </row>
    <row r="40" spans="1:10" x14ac:dyDescent="0.25">
      <c r="A40" s="1" t="s">
        <v>48</v>
      </c>
      <c r="B40" s="1" t="s">
        <v>50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>
        <f>ROUND(G40/64-1,2)</f>
        <v>-1</v>
      </c>
    </row>
    <row r="41" spans="1:10" x14ac:dyDescent="0.25">
      <c r="A41" s="1" t="s">
        <v>48</v>
      </c>
      <c r="B41" s="1" t="s">
        <v>51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/>
    </row>
    <row r="42" spans="1:10" x14ac:dyDescent="0.25">
      <c r="A42" s="30" t="s">
        <v>12</v>
      </c>
      <c r="B42" s="30"/>
      <c r="C42" s="11">
        <f t="shared" ref="C42:H42" si="3">SUM(C8:C41)</f>
        <v>588110</v>
      </c>
      <c r="D42" s="11">
        <f t="shared" si="3"/>
        <v>0</v>
      </c>
      <c r="E42" s="11">
        <f t="shared" si="3"/>
        <v>270602</v>
      </c>
      <c r="F42" s="11">
        <f t="shared" si="3"/>
        <v>2660</v>
      </c>
      <c r="G42" s="11">
        <f t="shared" si="3"/>
        <v>861372</v>
      </c>
      <c r="H42" s="14">
        <f t="shared" si="3"/>
        <v>404.96000000000009</v>
      </c>
      <c r="I42" s="17"/>
      <c r="J42" s="17"/>
    </row>
    <row r="43" spans="1:10" x14ac:dyDescent="0.25">
      <c r="A43" s="30" t="s">
        <v>14</v>
      </c>
      <c r="B43" s="30"/>
      <c r="C43" s="12">
        <f>ROUND(C42/G42,2)</f>
        <v>0.68</v>
      </c>
      <c r="D43" s="12">
        <f>ROUND(D42/G42,2)</f>
        <v>0</v>
      </c>
      <c r="E43" s="12">
        <f>ROUND(E42/G42,2)</f>
        <v>0.31</v>
      </c>
      <c r="F43" s="12">
        <f>ROUND(F42/G42,2)</f>
        <v>0</v>
      </c>
      <c r="G43" s="13"/>
      <c r="H43" s="13"/>
      <c r="I43" s="17"/>
      <c r="J43" s="17"/>
    </row>
    <row r="44" spans="1:10" x14ac:dyDescent="0.25">
      <c r="A44" s="2" t="s">
        <v>52</v>
      </c>
      <c r="B44" s="2"/>
      <c r="C44" s="13"/>
      <c r="D44" s="13"/>
      <c r="E44" s="13"/>
      <c r="F44" s="13"/>
      <c r="G44" s="13"/>
      <c r="H44" s="13"/>
      <c r="I44" s="17"/>
      <c r="J44" s="17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A48" s="30" t="s">
        <v>53</v>
      </c>
      <c r="B48" s="30"/>
      <c r="C48" s="11" t="s">
        <v>8</v>
      </c>
      <c r="D48" s="11" t="s">
        <v>9</v>
      </c>
      <c r="E48" s="11" t="s">
        <v>10</v>
      </c>
      <c r="F48" s="11" t="s">
        <v>11</v>
      </c>
      <c r="G48" s="11" t="s">
        <v>12</v>
      </c>
      <c r="H48" s="14" t="s">
        <v>13</v>
      </c>
      <c r="I48" s="17"/>
      <c r="J48" s="17"/>
    </row>
    <row r="49" spans="1:10" x14ac:dyDescent="0.25">
      <c r="A49" s="29" t="s">
        <v>54</v>
      </c>
      <c r="B49" s="29"/>
      <c r="C49" s="10">
        <v>398330</v>
      </c>
      <c r="D49" s="10">
        <v>0</v>
      </c>
      <c r="E49" s="10">
        <v>234434</v>
      </c>
      <c r="F49" s="10">
        <v>980</v>
      </c>
      <c r="G49" s="10">
        <f>SUM(C49:F49)</f>
        <v>633744</v>
      </c>
      <c r="H49" s="16">
        <f>ROUND(G49/2127,2)</f>
        <v>297.95</v>
      </c>
      <c r="I49" s="9"/>
      <c r="J49" s="9"/>
    </row>
    <row r="50" spans="1:10" x14ac:dyDescent="0.25">
      <c r="A50" s="29" t="s">
        <v>55</v>
      </c>
      <c r="B50" s="29"/>
      <c r="C50" s="10">
        <v>189780</v>
      </c>
      <c r="D50" s="10">
        <v>0</v>
      </c>
      <c r="E50" s="10">
        <v>36168</v>
      </c>
      <c r="F50" s="10">
        <v>1680</v>
      </c>
      <c r="G50" s="10">
        <f>SUM(C50:F50)</f>
        <v>227628</v>
      </c>
      <c r="H50" s="16">
        <f>ROUND(G50/2127,2)</f>
        <v>107.02</v>
      </c>
      <c r="I50" s="9"/>
      <c r="J50" s="9"/>
    </row>
    <row r="51" spans="1:10" x14ac:dyDescent="0.25">
      <c r="A51" s="29" t="s">
        <v>56</v>
      </c>
      <c r="B51" s="29"/>
      <c r="C51" s="10">
        <v>0</v>
      </c>
      <c r="D51" s="10">
        <v>0</v>
      </c>
      <c r="E51" s="10">
        <v>0</v>
      </c>
      <c r="F51" s="10">
        <v>0</v>
      </c>
      <c r="G51" s="10">
        <f>SUM(C51:F51)</f>
        <v>0</v>
      </c>
      <c r="H51" s="16">
        <f>ROUND(G51/2127,2)</f>
        <v>0</v>
      </c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A56" s="30" t="s">
        <v>57</v>
      </c>
      <c r="B56" s="30"/>
      <c r="C56" s="14" t="s">
        <v>2</v>
      </c>
      <c r="D56" s="14">
        <v>2023</v>
      </c>
      <c r="E56" s="14" t="s">
        <v>59</v>
      </c>
      <c r="F56" s="13"/>
      <c r="G56" s="14" t="s">
        <v>60</v>
      </c>
      <c r="H56" s="14" t="s">
        <v>2</v>
      </c>
      <c r="I56" s="12" t="s">
        <v>61</v>
      </c>
      <c r="J56" s="12" t="s">
        <v>59</v>
      </c>
    </row>
    <row r="57" spans="1:10" x14ac:dyDescent="0.25">
      <c r="A57" s="29" t="s">
        <v>58</v>
      </c>
      <c r="B57" s="29"/>
      <c r="C57" s="15">
        <f>ROUND(0.7571, 4)</f>
        <v>0.7571</v>
      </c>
      <c r="D57" s="15">
        <f>ROUND(0.8087, 4)</f>
        <v>0.80869999999999997</v>
      </c>
      <c r="E57" s="15">
        <f>ROUND(0.777, 4)</f>
        <v>0.77700000000000002</v>
      </c>
      <c r="F57" s="8"/>
      <c r="G57" s="20" t="s">
        <v>62</v>
      </c>
      <c r="H57" s="33" t="s">
        <v>63</v>
      </c>
      <c r="I57" s="31" t="s">
        <v>64</v>
      </c>
      <c r="J57" s="31" t="s">
        <v>65</v>
      </c>
    </row>
    <row r="58" spans="1:10" x14ac:dyDescent="0.25">
      <c r="A58" s="29" t="s">
        <v>66</v>
      </c>
      <c r="B58" s="29"/>
      <c r="C58" s="15">
        <f>ROUND(0.7184, 4)</f>
        <v>0.71840000000000004</v>
      </c>
      <c r="D58" s="15">
        <f>ROUND(0.772, 4)</f>
        <v>0.77200000000000002</v>
      </c>
      <c r="E58" s="15">
        <f>ROUND(0.7608, 4)</f>
        <v>0.76080000000000003</v>
      </c>
      <c r="F58" s="8"/>
      <c r="G58" s="20" t="s">
        <v>67</v>
      </c>
      <c r="H58" s="34"/>
      <c r="I58" s="32"/>
      <c r="J58" s="32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A62" s="30" t="s">
        <v>68</v>
      </c>
      <c r="B62" s="30"/>
      <c r="C62" s="14" t="s">
        <v>2</v>
      </c>
      <c r="D62" s="14" t="s">
        <v>352</v>
      </c>
      <c r="E62" s="14" t="s">
        <v>70</v>
      </c>
      <c r="F62" s="14" t="s">
        <v>71</v>
      </c>
      <c r="G62" s="14" t="s">
        <v>72</v>
      </c>
      <c r="H62" s="13"/>
      <c r="I62" s="17"/>
      <c r="J62" s="17"/>
    </row>
    <row r="63" spans="1:10" x14ac:dyDescent="0.25">
      <c r="A63" s="29" t="s">
        <v>73</v>
      </c>
      <c r="B63" s="29"/>
      <c r="C63" s="16">
        <v>90.01</v>
      </c>
      <c r="D63" s="16">
        <v>101.88</v>
      </c>
      <c r="E63" s="16">
        <v>93.87</v>
      </c>
      <c r="F63" s="16">
        <v>57.16</v>
      </c>
      <c r="G63" s="16">
        <f>12/12*C63</f>
        <v>90.01</v>
      </c>
      <c r="H63" s="8"/>
      <c r="I63" s="9"/>
      <c r="J63" s="9"/>
    </row>
    <row r="64" spans="1:10" x14ac:dyDescent="0.25">
      <c r="A64" s="29" t="s">
        <v>74</v>
      </c>
      <c r="B64" s="29"/>
      <c r="C64" s="16">
        <v>70.510000000000005</v>
      </c>
      <c r="D64" s="16">
        <v>64.290000000000006</v>
      </c>
      <c r="E64" s="16">
        <v>62.84</v>
      </c>
      <c r="F64" s="16">
        <v>65.39</v>
      </c>
      <c r="G64" s="16">
        <f>12/12*C64</f>
        <v>70.510000000000005</v>
      </c>
      <c r="H64" s="8"/>
      <c r="I64" s="9"/>
      <c r="J64" s="9"/>
    </row>
    <row r="65" spans="1:10" x14ac:dyDescent="0.25">
      <c r="A65" s="29" t="s">
        <v>75</v>
      </c>
      <c r="B65" s="29"/>
      <c r="C65" s="16">
        <v>297.95</v>
      </c>
      <c r="D65" s="16">
        <v>355.87</v>
      </c>
      <c r="E65" s="16">
        <v>295.08999999999997</v>
      </c>
      <c r="F65" s="16">
        <v>289.06</v>
      </c>
      <c r="G65" s="16">
        <f>12/12*C65</f>
        <v>297.95</v>
      </c>
      <c r="H65" s="8"/>
      <c r="I65" s="9"/>
      <c r="J65" s="9"/>
    </row>
    <row r="66" spans="1:10" x14ac:dyDescent="0.25">
      <c r="A66" s="29" t="s">
        <v>76</v>
      </c>
      <c r="B66" s="29"/>
      <c r="C66" s="16">
        <v>107.02</v>
      </c>
      <c r="D66" s="16">
        <v>129.1</v>
      </c>
      <c r="E66" s="16">
        <v>118.05</v>
      </c>
      <c r="F66" s="16">
        <v>81.41</v>
      </c>
      <c r="G66" s="16">
        <f>12/12*C66</f>
        <v>107.02</v>
      </c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28" t="s">
        <v>60</v>
      </c>
      <c r="B69" s="35"/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77</v>
      </c>
      <c r="B70" s="1" t="s">
        <v>353</v>
      </c>
    </row>
    <row r="71" spans="1:10" x14ac:dyDescent="0.25">
      <c r="A71" s="3" t="s">
        <v>70</v>
      </c>
      <c r="B71" s="1" t="s">
        <v>79</v>
      </c>
    </row>
    <row r="72" spans="1:10" x14ac:dyDescent="0.25">
      <c r="A72" s="3" t="s">
        <v>71</v>
      </c>
      <c r="B72" s="1" t="s">
        <v>80</v>
      </c>
    </row>
    <row r="73" spans="1:10" x14ac:dyDescent="0.25">
      <c r="A73" s="3" t="s">
        <v>72</v>
      </c>
      <c r="B73" s="1" t="s">
        <v>81</v>
      </c>
    </row>
  </sheetData>
  <mergeCells count="19">
    <mergeCell ref="A64:B64"/>
    <mergeCell ref="A65:B65"/>
    <mergeCell ref="A66:B66"/>
    <mergeCell ref="A69:B69"/>
    <mergeCell ref="I57:I58"/>
    <mergeCell ref="J57:J58"/>
    <mergeCell ref="A58:B58"/>
    <mergeCell ref="A62:B62"/>
    <mergeCell ref="A63:B63"/>
    <mergeCell ref="A50:B50"/>
    <mergeCell ref="A51:B51"/>
    <mergeCell ref="A56:B56"/>
    <mergeCell ref="A57:B57"/>
    <mergeCell ref="H57:H58"/>
    <mergeCell ref="C7:G7"/>
    <mergeCell ref="A42:B42"/>
    <mergeCell ref="A43:B43"/>
    <mergeCell ref="A48:B48"/>
    <mergeCell ref="A49:B49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2:J69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1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354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535</v>
      </c>
    </row>
    <row r="7" spans="1:10" x14ac:dyDescent="0.25">
      <c r="C7" s="28" t="s">
        <v>5</v>
      </c>
      <c r="D7" s="29"/>
      <c r="E7" s="29"/>
      <c r="F7" s="29"/>
      <c r="G7" s="29"/>
    </row>
    <row r="8" spans="1:10" x14ac:dyDescent="0.25">
      <c r="A8" s="24" t="s">
        <v>6</v>
      </c>
      <c r="B8" s="24" t="s">
        <v>7</v>
      </c>
      <c r="C8" s="26" t="s">
        <v>8</v>
      </c>
      <c r="D8" s="26" t="s">
        <v>9</v>
      </c>
      <c r="E8" s="26" t="s">
        <v>10</v>
      </c>
      <c r="F8" s="26" t="s">
        <v>11</v>
      </c>
      <c r="G8" s="26" t="s">
        <v>12</v>
      </c>
      <c r="H8" s="26" t="s">
        <v>13</v>
      </c>
      <c r="I8" s="26" t="s">
        <v>14</v>
      </c>
      <c r="J8" s="26" t="s">
        <v>15</v>
      </c>
    </row>
    <row r="9" spans="1:10" x14ac:dyDescent="0.25">
      <c r="A9" s="1" t="s">
        <v>16</v>
      </c>
      <c r="B9" s="1" t="s">
        <v>17</v>
      </c>
      <c r="C9" s="4"/>
      <c r="D9" s="4"/>
      <c r="E9" s="4">
        <v>23</v>
      </c>
      <c r="F9" s="4"/>
      <c r="G9" s="4">
        <f t="shared" ref="G9:G37" si="0">SUM(C9:F9)</f>
        <v>23</v>
      </c>
      <c r="H9" s="1">
        <f t="shared" ref="H9:H37" si="1">ROUND(G9/535,2)</f>
        <v>0.04</v>
      </c>
      <c r="I9" s="1">
        <f t="shared" ref="I9:I37" si="2">ROUND(G9/$G$38,3)</f>
        <v>0</v>
      </c>
      <c r="J9" s="1"/>
    </row>
    <row r="10" spans="1:10" x14ac:dyDescent="0.25">
      <c r="A10" s="1" t="s">
        <v>16</v>
      </c>
      <c r="B10" s="1" t="s">
        <v>19</v>
      </c>
      <c r="C10" s="4">
        <v>22370</v>
      </c>
      <c r="D10" s="4"/>
      <c r="E10" s="4">
        <v>3299</v>
      </c>
      <c r="F10" s="4"/>
      <c r="G10" s="4">
        <f t="shared" si="0"/>
        <v>25669</v>
      </c>
      <c r="H10" s="1">
        <f t="shared" si="1"/>
        <v>47.98</v>
      </c>
      <c r="I10" s="1">
        <f t="shared" si="2"/>
        <v>0.112</v>
      </c>
      <c r="J10" s="1">
        <f>ROUND(G10/20629.33-1,2)</f>
        <v>0.24</v>
      </c>
    </row>
    <row r="11" spans="1:10" x14ac:dyDescent="0.25">
      <c r="A11" s="1" t="s">
        <v>16</v>
      </c>
      <c r="B11" s="1" t="s">
        <v>20</v>
      </c>
      <c r="C11" s="4">
        <v>24985</v>
      </c>
      <c r="D11" s="4"/>
      <c r="E11" s="4">
        <v>608</v>
      </c>
      <c r="F11" s="4"/>
      <c r="G11" s="4">
        <f t="shared" si="0"/>
        <v>25593</v>
      </c>
      <c r="H11" s="1">
        <f t="shared" si="1"/>
        <v>47.84</v>
      </c>
      <c r="I11" s="1">
        <f t="shared" si="2"/>
        <v>0.112</v>
      </c>
      <c r="J11" s="1">
        <f>ROUND(G11/23880-1,2)</f>
        <v>7.0000000000000007E-2</v>
      </c>
    </row>
    <row r="12" spans="1:10" x14ac:dyDescent="0.25">
      <c r="A12" s="1" t="s">
        <v>16</v>
      </c>
      <c r="B12" s="1" t="s">
        <v>21</v>
      </c>
      <c r="C12" s="4"/>
      <c r="D12" s="4"/>
      <c r="E12" s="4">
        <v>53</v>
      </c>
      <c r="F12" s="4"/>
      <c r="G12" s="4">
        <f t="shared" si="0"/>
        <v>53</v>
      </c>
      <c r="H12" s="1">
        <f t="shared" si="1"/>
        <v>0.1</v>
      </c>
      <c r="I12" s="1">
        <f t="shared" si="2"/>
        <v>0</v>
      </c>
      <c r="J12" s="1">
        <f>ROUND(G12/18.34-1,2)</f>
        <v>1.89</v>
      </c>
    </row>
    <row r="13" spans="1:10" x14ac:dyDescent="0.25">
      <c r="A13" s="1" t="s">
        <v>16</v>
      </c>
      <c r="B13" s="1" t="s">
        <v>22</v>
      </c>
      <c r="C13" s="4"/>
      <c r="D13" s="4"/>
      <c r="E13" s="4">
        <v>499</v>
      </c>
      <c r="F13" s="4"/>
      <c r="G13" s="4">
        <f t="shared" si="0"/>
        <v>499</v>
      </c>
      <c r="H13" s="1">
        <f t="shared" si="1"/>
        <v>0.93</v>
      </c>
      <c r="I13" s="1">
        <f t="shared" si="2"/>
        <v>2E-3</v>
      </c>
      <c r="J13" s="1">
        <f>ROUND(G13/62.5-1,2)</f>
        <v>6.98</v>
      </c>
    </row>
    <row r="14" spans="1:10" x14ac:dyDescent="0.25">
      <c r="A14" s="1" t="s">
        <v>16</v>
      </c>
      <c r="B14" s="1" t="s">
        <v>23</v>
      </c>
      <c r="C14" s="4"/>
      <c r="D14" s="4"/>
      <c r="E14" s="4">
        <v>21522</v>
      </c>
      <c r="F14" s="4"/>
      <c r="G14" s="4">
        <f t="shared" si="0"/>
        <v>21522</v>
      </c>
      <c r="H14" s="1">
        <f t="shared" si="1"/>
        <v>40.229999999999997</v>
      </c>
      <c r="I14" s="1">
        <f t="shared" si="2"/>
        <v>9.4E-2</v>
      </c>
      <c r="J14" s="1">
        <f>ROUND(G14/9355.52-1,2)</f>
        <v>1.3</v>
      </c>
    </row>
    <row r="15" spans="1:10" x14ac:dyDescent="0.25">
      <c r="A15" s="1" t="s">
        <v>16</v>
      </c>
      <c r="B15" s="1" t="s">
        <v>24</v>
      </c>
      <c r="C15" s="4">
        <v>23270</v>
      </c>
      <c r="D15" s="4"/>
      <c r="E15" s="4">
        <v>5750</v>
      </c>
      <c r="F15" s="4"/>
      <c r="G15" s="4">
        <f t="shared" si="0"/>
        <v>29020</v>
      </c>
      <c r="H15" s="1">
        <f t="shared" si="1"/>
        <v>54.24</v>
      </c>
      <c r="I15" s="1">
        <f t="shared" si="2"/>
        <v>0.127</v>
      </c>
      <c r="J15" s="1">
        <f>ROUND(G15/22147.98-1,2)</f>
        <v>0.31</v>
      </c>
    </row>
    <row r="16" spans="1:10" x14ac:dyDescent="0.25">
      <c r="A16" s="1" t="s">
        <v>16</v>
      </c>
      <c r="B16" s="1" t="s">
        <v>25</v>
      </c>
      <c r="C16" s="4"/>
      <c r="D16" s="4"/>
      <c r="E16" s="4">
        <v>1300</v>
      </c>
      <c r="F16" s="4"/>
      <c r="G16" s="4">
        <f t="shared" si="0"/>
        <v>1300</v>
      </c>
      <c r="H16" s="1">
        <f t="shared" si="1"/>
        <v>2.4300000000000002</v>
      </c>
      <c r="I16" s="1">
        <f t="shared" si="2"/>
        <v>6.0000000000000001E-3</v>
      </c>
      <c r="J16" s="1"/>
    </row>
    <row r="17" spans="1:10" x14ac:dyDescent="0.25">
      <c r="A17" s="1" t="s">
        <v>16</v>
      </c>
      <c r="B17" s="1" t="s">
        <v>26</v>
      </c>
      <c r="C17" s="4">
        <v>17980</v>
      </c>
      <c r="D17" s="4"/>
      <c r="E17" s="4"/>
      <c r="F17" s="4"/>
      <c r="G17" s="4">
        <f t="shared" si="0"/>
        <v>17980</v>
      </c>
      <c r="H17" s="1">
        <f t="shared" si="1"/>
        <v>33.61</v>
      </c>
      <c r="I17" s="1">
        <f t="shared" si="2"/>
        <v>7.8E-2</v>
      </c>
      <c r="J17" s="1">
        <f>ROUND(G17/20500-1,2)</f>
        <v>-0.12</v>
      </c>
    </row>
    <row r="18" spans="1:10" x14ac:dyDescent="0.25">
      <c r="A18" s="1" t="s">
        <v>16</v>
      </c>
      <c r="B18" s="1" t="s">
        <v>27</v>
      </c>
      <c r="C18" s="4"/>
      <c r="D18" s="4"/>
      <c r="E18" s="4">
        <v>190</v>
      </c>
      <c r="F18" s="4"/>
      <c r="G18" s="4">
        <f t="shared" si="0"/>
        <v>190</v>
      </c>
      <c r="H18" s="1">
        <f t="shared" si="1"/>
        <v>0.36</v>
      </c>
      <c r="I18" s="1">
        <f t="shared" si="2"/>
        <v>1E-3</v>
      </c>
      <c r="J18" s="1"/>
    </row>
    <row r="19" spans="1:10" x14ac:dyDescent="0.25">
      <c r="A19" s="1" t="s">
        <v>16</v>
      </c>
      <c r="B19" s="1" t="s">
        <v>28</v>
      </c>
      <c r="C19" s="4"/>
      <c r="D19" s="4"/>
      <c r="E19" s="4">
        <v>115</v>
      </c>
      <c r="F19" s="4"/>
      <c r="G19" s="4">
        <f t="shared" si="0"/>
        <v>115</v>
      </c>
      <c r="H19" s="1">
        <f t="shared" si="1"/>
        <v>0.21</v>
      </c>
      <c r="I19" s="1">
        <f t="shared" si="2"/>
        <v>1E-3</v>
      </c>
      <c r="J19" s="1"/>
    </row>
    <row r="20" spans="1:10" x14ac:dyDescent="0.25">
      <c r="A20" s="1" t="s">
        <v>16</v>
      </c>
      <c r="B20" s="1" t="s">
        <v>29</v>
      </c>
      <c r="C20" s="4"/>
      <c r="D20" s="4"/>
      <c r="E20" s="4">
        <v>146</v>
      </c>
      <c r="F20" s="4"/>
      <c r="G20" s="4">
        <f t="shared" si="0"/>
        <v>146</v>
      </c>
      <c r="H20" s="1">
        <f t="shared" si="1"/>
        <v>0.27</v>
      </c>
      <c r="I20" s="1">
        <f t="shared" si="2"/>
        <v>1E-3</v>
      </c>
      <c r="J20" s="1">
        <f>ROUND(G20/95.45-1,2)</f>
        <v>0.53</v>
      </c>
    </row>
    <row r="21" spans="1:10" x14ac:dyDescent="0.25">
      <c r="A21" s="1" t="s">
        <v>16</v>
      </c>
      <c r="B21" s="1" t="s">
        <v>30</v>
      </c>
      <c r="C21" s="4"/>
      <c r="D21" s="4"/>
      <c r="E21" s="4">
        <v>273</v>
      </c>
      <c r="F21" s="4"/>
      <c r="G21" s="4">
        <f t="shared" si="0"/>
        <v>273</v>
      </c>
      <c r="H21" s="1">
        <f t="shared" si="1"/>
        <v>0.51</v>
      </c>
      <c r="I21" s="1">
        <f t="shared" si="2"/>
        <v>1E-3</v>
      </c>
      <c r="J21" s="1">
        <f>ROUND(G21/89.36-1,2)</f>
        <v>2.06</v>
      </c>
    </row>
    <row r="22" spans="1:10" x14ac:dyDescent="0.25">
      <c r="A22" s="1" t="s">
        <v>16</v>
      </c>
      <c r="B22" s="1" t="s">
        <v>32</v>
      </c>
      <c r="C22" s="4"/>
      <c r="D22" s="4"/>
      <c r="E22" s="4">
        <v>397</v>
      </c>
      <c r="F22" s="4"/>
      <c r="G22" s="4">
        <f t="shared" si="0"/>
        <v>397</v>
      </c>
      <c r="H22" s="1">
        <f t="shared" si="1"/>
        <v>0.74</v>
      </c>
      <c r="I22" s="1">
        <f t="shared" si="2"/>
        <v>2E-3</v>
      </c>
      <c r="J22" s="1">
        <f>ROUND(G22/42.03-1,2)</f>
        <v>8.4499999999999993</v>
      </c>
    </row>
    <row r="23" spans="1:10" x14ac:dyDescent="0.25">
      <c r="A23" s="1" t="s">
        <v>16</v>
      </c>
      <c r="B23" s="1" t="s">
        <v>33</v>
      </c>
      <c r="C23" s="4"/>
      <c r="D23" s="4"/>
      <c r="E23" s="4">
        <v>27</v>
      </c>
      <c r="F23" s="4"/>
      <c r="G23" s="4">
        <f t="shared" si="0"/>
        <v>27</v>
      </c>
      <c r="H23" s="1">
        <f t="shared" si="1"/>
        <v>0.05</v>
      </c>
      <c r="I23" s="1">
        <f t="shared" si="2"/>
        <v>0</v>
      </c>
      <c r="J23" s="1"/>
    </row>
    <row r="24" spans="1:10" x14ac:dyDescent="0.25">
      <c r="A24" s="1" t="s">
        <v>16</v>
      </c>
      <c r="B24" s="1" t="s">
        <v>35</v>
      </c>
      <c r="C24" s="4"/>
      <c r="D24" s="4"/>
      <c r="E24" s="4">
        <v>246</v>
      </c>
      <c r="F24" s="4"/>
      <c r="G24" s="4">
        <f t="shared" si="0"/>
        <v>246</v>
      </c>
      <c r="H24" s="1">
        <f t="shared" si="1"/>
        <v>0.46</v>
      </c>
      <c r="I24" s="1">
        <f t="shared" si="2"/>
        <v>1E-3</v>
      </c>
      <c r="J24" s="1">
        <f>ROUND(G24/73.75-1,2)</f>
        <v>2.34</v>
      </c>
    </row>
    <row r="25" spans="1:10" x14ac:dyDescent="0.25">
      <c r="A25" s="1" t="s">
        <v>16</v>
      </c>
      <c r="B25" s="1" t="s">
        <v>34</v>
      </c>
      <c r="C25" s="4"/>
      <c r="D25" s="4"/>
      <c r="E25" s="4">
        <v>110</v>
      </c>
      <c r="F25" s="4"/>
      <c r="G25" s="4">
        <f t="shared" si="0"/>
        <v>110</v>
      </c>
      <c r="H25" s="1">
        <f t="shared" si="1"/>
        <v>0.21</v>
      </c>
      <c r="I25" s="1">
        <f t="shared" si="2"/>
        <v>0</v>
      </c>
      <c r="J25" s="1"/>
    </row>
    <row r="26" spans="1:10" x14ac:dyDescent="0.25">
      <c r="A26" s="1" t="s">
        <v>16</v>
      </c>
      <c r="B26" s="1" t="s">
        <v>37</v>
      </c>
      <c r="C26" s="4"/>
      <c r="D26" s="4"/>
      <c r="E26" s="4">
        <v>651</v>
      </c>
      <c r="F26" s="4"/>
      <c r="G26" s="4">
        <f t="shared" si="0"/>
        <v>651</v>
      </c>
      <c r="H26" s="1">
        <f t="shared" si="1"/>
        <v>1.22</v>
      </c>
      <c r="I26" s="1">
        <f t="shared" si="2"/>
        <v>3.0000000000000001E-3</v>
      </c>
      <c r="J26" s="1">
        <f>ROUND(G26/50.31-1,2)</f>
        <v>11.94</v>
      </c>
    </row>
    <row r="27" spans="1:10" x14ac:dyDescent="0.25">
      <c r="A27" s="1" t="s">
        <v>16</v>
      </c>
      <c r="B27" s="1" t="s">
        <v>38</v>
      </c>
      <c r="C27" s="4"/>
      <c r="D27" s="4"/>
      <c r="E27" s="4">
        <v>16514</v>
      </c>
      <c r="F27" s="4"/>
      <c r="G27" s="4">
        <f t="shared" si="0"/>
        <v>16514</v>
      </c>
      <c r="H27" s="1">
        <f t="shared" si="1"/>
        <v>30.87</v>
      </c>
      <c r="I27" s="1">
        <f t="shared" si="2"/>
        <v>7.1999999999999995E-2</v>
      </c>
      <c r="J27" s="1">
        <f>ROUND(G27/6093.66-1,2)</f>
        <v>1.71</v>
      </c>
    </row>
    <row r="28" spans="1:10" x14ac:dyDescent="0.25">
      <c r="A28" s="1" t="s">
        <v>16</v>
      </c>
      <c r="B28" s="1" t="s">
        <v>40</v>
      </c>
      <c r="C28" s="4"/>
      <c r="D28" s="4"/>
      <c r="E28" s="4">
        <v>5576</v>
      </c>
      <c r="F28" s="4"/>
      <c r="G28" s="4">
        <f t="shared" si="0"/>
        <v>5576</v>
      </c>
      <c r="H28" s="1">
        <f t="shared" si="1"/>
        <v>10.42</v>
      </c>
      <c r="I28" s="1">
        <f t="shared" si="2"/>
        <v>2.4E-2</v>
      </c>
      <c r="J28" s="1">
        <f>ROUND(G28/2099.21-1,2)</f>
        <v>1.66</v>
      </c>
    </row>
    <row r="29" spans="1:10" x14ac:dyDescent="0.25">
      <c r="A29" s="1" t="s">
        <v>16</v>
      </c>
      <c r="B29" s="1" t="s">
        <v>41</v>
      </c>
      <c r="C29" s="4"/>
      <c r="D29" s="4"/>
      <c r="E29" s="4">
        <v>6053</v>
      </c>
      <c r="F29" s="4"/>
      <c r="G29" s="4">
        <f t="shared" si="0"/>
        <v>6053</v>
      </c>
      <c r="H29" s="1">
        <f t="shared" si="1"/>
        <v>11.31</v>
      </c>
      <c r="I29" s="1">
        <f t="shared" si="2"/>
        <v>2.5999999999999999E-2</v>
      </c>
      <c r="J29" s="1">
        <f>ROUND(G29/2502.05-1,2)</f>
        <v>1.42</v>
      </c>
    </row>
    <row r="30" spans="1:10" x14ac:dyDescent="0.25">
      <c r="A30" s="1" t="s">
        <v>16</v>
      </c>
      <c r="B30" s="1" t="s">
        <v>42</v>
      </c>
      <c r="C30" s="4"/>
      <c r="D30" s="4"/>
      <c r="E30" s="4"/>
      <c r="F30" s="4"/>
      <c r="G30" s="4">
        <f t="shared" si="0"/>
        <v>0</v>
      </c>
      <c r="H30" s="1">
        <f t="shared" si="1"/>
        <v>0</v>
      </c>
      <c r="I30" s="1">
        <f t="shared" si="2"/>
        <v>0</v>
      </c>
      <c r="J30" s="1">
        <f>ROUND(G30/22.77-1,2)</f>
        <v>-1</v>
      </c>
    </row>
    <row r="31" spans="1:10" x14ac:dyDescent="0.25">
      <c r="A31" s="1" t="s">
        <v>16</v>
      </c>
      <c r="B31" s="1" t="s">
        <v>36</v>
      </c>
      <c r="C31" s="4"/>
      <c r="D31" s="4"/>
      <c r="E31" s="4"/>
      <c r="F31" s="4"/>
      <c r="G31" s="4">
        <f t="shared" si="0"/>
        <v>0</v>
      </c>
      <c r="H31" s="1">
        <f t="shared" si="1"/>
        <v>0</v>
      </c>
      <c r="I31" s="1">
        <f t="shared" si="2"/>
        <v>0</v>
      </c>
      <c r="J31" s="1">
        <f>ROUND(G31/316.8-1,2)</f>
        <v>-1</v>
      </c>
    </row>
    <row r="32" spans="1:10" x14ac:dyDescent="0.25">
      <c r="A32" s="1" t="s">
        <v>16</v>
      </c>
      <c r="B32" s="1" t="s">
        <v>31</v>
      </c>
      <c r="C32" s="4"/>
      <c r="D32" s="4"/>
      <c r="E32" s="4"/>
      <c r="F32" s="4"/>
      <c r="G32" s="4">
        <f t="shared" si="0"/>
        <v>0</v>
      </c>
      <c r="H32" s="1">
        <f t="shared" si="1"/>
        <v>0</v>
      </c>
      <c r="I32" s="1">
        <f t="shared" si="2"/>
        <v>0</v>
      </c>
      <c r="J32" s="1"/>
    </row>
    <row r="33" spans="1:10" x14ac:dyDescent="0.25">
      <c r="A33" s="1" t="s">
        <v>16</v>
      </c>
      <c r="B33" s="1" t="s">
        <v>39</v>
      </c>
      <c r="C33" s="4"/>
      <c r="D33" s="4"/>
      <c r="E33" s="4"/>
      <c r="F33" s="4"/>
      <c r="G33" s="4">
        <f t="shared" si="0"/>
        <v>0</v>
      </c>
      <c r="H33" s="1">
        <f t="shared" si="1"/>
        <v>0</v>
      </c>
      <c r="I33" s="1">
        <f t="shared" si="2"/>
        <v>0</v>
      </c>
      <c r="J33" s="1"/>
    </row>
    <row r="34" spans="1:10" x14ac:dyDescent="0.25">
      <c r="A34" s="1" t="s">
        <v>44</v>
      </c>
      <c r="B34" s="1" t="s">
        <v>45</v>
      </c>
      <c r="C34" s="4">
        <v>65520</v>
      </c>
      <c r="D34" s="4"/>
      <c r="E34" s="4"/>
      <c r="F34" s="4"/>
      <c r="G34" s="4">
        <f t="shared" si="0"/>
        <v>65520</v>
      </c>
      <c r="H34" s="1">
        <f t="shared" si="1"/>
        <v>122.47</v>
      </c>
      <c r="I34" s="1">
        <f t="shared" si="2"/>
        <v>0.28599999999999998</v>
      </c>
      <c r="J34" s="1">
        <f>ROUND(G34/59580-1,2)</f>
        <v>0.1</v>
      </c>
    </row>
    <row r="35" spans="1:10" x14ac:dyDescent="0.25">
      <c r="A35" s="1" t="s">
        <v>44</v>
      </c>
      <c r="B35" s="1" t="s">
        <v>46</v>
      </c>
      <c r="C35" s="4"/>
      <c r="D35" s="4"/>
      <c r="E35" s="4">
        <v>11729</v>
      </c>
      <c r="F35" s="4"/>
      <c r="G35" s="4">
        <f t="shared" si="0"/>
        <v>11729</v>
      </c>
      <c r="H35" s="1">
        <f t="shared" si="1"/>
        <v>21.92</v>
      </c>
      <c r="I35" s="1">
        <f t="shared" si="2"/>
        <v>5.0999999999999997E-2</v>
      </c>
      <c r="J35" s="1">
        <f>ROUND(G35/3386.31-1,2)</f>
        <v>2.46</v>
      </c>
    </row>
    <row r="36" spans="1:10" x14ac:dyDescent="0.25">
      <c r="A36" s="1" t="s">
        <v>44</v>
      </c>
      <c r="B36" s="1" t="s">
        <v>47</v>
      </c>
      <c r="C36" s="4"/>
      <c r="D36" s="4"/>
      <c r="E36" s="4"/>
      <c r="F36" s="4"/>
      <c r="G36" s="4">
        <f t="shared" si="0"/>
        <v>0</v>
      </c>
      <c r="H36" s="1">
        <f t="shared" si="1"/>
        <v>0</v>
      </c>
      <c r="I36" s="1">
        <f t="shared" si="2"/>
        <v>0</v>
      </c>
      <c r="J36" s="1"/>
    </row>
    <row r="37" spans="1:10" x14ac:dyDescent="0.25">
      <c r="A37" s="1" t="s">
        <v>48</v>
      </c>
      <c r="B37" s="1" t="s">
        <v>51</v>
      </c>
      <c r="C37" s="4"/>
      <c r="D37" s="4"/>
      <c r="E37" s="4"/>
      <c r="F37" s="4"/>
      <c r="G37" s="4">
        <f t="shared" si="0"/>
        <v>0</v>
      </c>
      <c r="H37" s="1">
        <f t="shared" si="1"/>
        <v>0</v>
      </c>
      <c r="I37" s="1">
        <f t="shared" si="2"/>
        <v>0</v>
      </c>
      <c r="J37" s="1"/>
    </row>
    <row r="38" spans="1:10" x14ac:dyDescent="0.25">
      <c r="A38" s="30" t="s">
        <v>12</v>
      </c>
      <c r="B38" s="30"/>
      <c r="C38" s="5">
        <f t="shared" ref="C38:H38" si="3">SUM(C8:C37)</f>
        <v>154125</v>
      </c>
      <c r="D38" s="5">
        <f t="shared" si="3"/>
        <v>0</v>
      </c>
      <c r="E38" s="5">
        <f t="shared" si="3"/>
        <v>75081</v>
      </c>
      <c r="F38" s="5">
        <f t="shared" si="3"/>
        <v>0</v>
      </c>
      <c r="G38" s="5">
        <f t="shared" si="3"/>
        <v>229206</v>
      </c>
      <c r="H38" s="3">
        <f t="shared" si="3"/>
        <v>428.42000000000013</v>
      </c>
      <c r="I38" s="2"/>
      <c r="J38" s="2"/>
    </row>
    <row r="39" spans="1:10" x14ac:dyDescent="0.25">
      <c r="A39" s="30" t="s">
        <v>14</v>
      </c>
      <c r="B39" s="30"/>
      <c r="C39" s="6">
        <f>ROUND(C38/G38,2)</f>
        <v>0.67</v>
      </c>
      <c r="D39" s="6">
        <f>ROUND(D38/G38,2)</f>
        <v>0</v>
      </c>
      <c r="E39" s="6">
        <f>ROUND(E38/G38,2)</f>
        <v>0.33</v>
      </c>
      <c r="F39" s="6">
        <f>ROUND(F38/G38,2)</f>
        <v>0</v>
      </c>
      <c r="G39" s="2"/>
      <c r="H39" s="2"/>
      <c r="I39" s="2"/>
      <c r="J39" s="2"/>
    </row>
    <row r="40" spans="1:10" x14ac:dyDescent="0.25">
      <c r="A40" s="2" t="s">
        <v>52</v>
      </c>
      <c r="B40" s="2"/>
      <c r="C40" s="2"/>
      <c r="D40" s="2"/>
      <c r="E40" s="2"/>
      <c r="F40" s="2"/>
      <c r="G40" s="2"/>
      <c r="H40" s="2"/>
      <c r="I40" s="2"/>
      <c r="J40" s="2"/>
    </row>
    <row r="44" spans="1:10" x14ac:dyDescent="0.25">
      <c r="A44" s="30" t="s">
        <v>53</v>
      </c>
      <c r="B44" s="30"/>
      <c r="C44" s="11" t="s">
        <v>8</v>
      </c>
      <c r="D44" s="11" t="s">
        <v>9</v>
      </c>
      <c r="E44" s="11" t="s">
        <v>10</v>
      </c>
      <c r="F44" s="11" t="s">
        <v>11</v>
      </c>
      <c r="G44" s="11" t="s">
        <v>12</v>
      </c>
      <c r="H44" s="14" t="s">
        <v>13</v>
      </c>
      <c r="I44" s="2"/>
      <c r="J44" s="2"/>
    </row>
    <row r="45" spans="1:10" x14ac:dyDescent="0.25">
      <c r="A45" s="29" t="s">
        <v>54</v>
      </c>
      <c r="B45" s="29"/>
      <c r="C45" s="4">
        <v>88605</v>
      </c>
      <c r="D45" s="4">
        <v>0</v>
      </c>
      <c r="E45" s="4">
        <v>63352</v>
      </c>
      <c r="F45" s="4">
        <v>0</v>
      </c>
      <c r="G45" s="4">
        <f>SUM(C45:F45)</f>
        <v>151957</v>
      </c>
      <c r="H45" s="1">
        <f>ROUND(G45/535,2)</f>
        <v>284.02999999999997</v>
      </c>
    </row>
    <row r="46" spans="1:10" x14ac:dyDescent="0.25">
      <c r="A46" s="29" t="s">
        <v>55</v>
      </c>
      <c r="B46" s="29"/>
      <c r="C46" s="4">
        <v>65520</v>
      </c>
      <c r="D46" s="4">
        <v>0</v>
      </c>
      <c r="E46" s="4">
        <v>11729</v>
      </c>
      <c r="F46" s="4">
        <v>0</v>
      </c>
      <c r="G46" s="4">
        <f>SUM(C46:F46)</f>
        <v>77249</v>
      </c>
      <c r="H46" s="1">
        <f>ROUND(G46/535,2)</f>
        <v>144.38999999999999</v>
      </c>
    </row>
    <row r="47" spans="1:10" x14ac:dyDescent="0.25">
      <c r="A47" s="29" t="s">
        <v>56</v>
      </c>
      <c r="B47" s="29"/>
      <c r="C47" s="4">
        <v>0</v>
      </c>
      <c r="D47" s="4">
        <v>0</v>
      </c>
      <c r="E47" s="4">
        <v>0</v>
      </c>
      <c r="F47" s="4">
        <v>0</v>
      </c>
      <c r="G47" s="4">
        <f>SUM(C47:F47)</f>
        <v>0</v>
      </c>
      <c r="H47" s="1">
        <f>ROUND(G47/535,2)</f>
        <v>0</v>
      </c>
    </row>
    <row r="52" spans="1:10" x14ac:dyDescent="0.25">
      <c r="A52" s="30" t="s">
        <v>57</v>
      </c>
      <c r="B52" s="30"/>
      <c r="C52" s="14" t="s">
        <v>2</v>
      </c>
      <c r="D52" s="14">
        <v>2023</v>
      </c>
      <c r="E52" s="14" t="s">
        <v>59</v>
      </c>
      <c r="F52" s="2"/>
      <c r="G52" s="3" t="s">
        <v>60</v>
      </c>
      <c r="H52" s="3" t="s">
        <v>2</v>
      </c>
      <c r="I52" s="3" t="s">
        <v>61</v>
      </c>
      <c r="J52" s="3" t="s">
        <v>59</v>
      </c>
    </row>
    <row r="53" spans="1:10" x14ac:dyDescent="0.25">
      <c r="A53" s="29" t="s">
        <v>58</v>
      </c>
      <c r="B53" s="29"/>
      <c r="C53" s="7">
        <f>ROUND(0.6823, 4)</f>
        <v>0.68230000000000002</v>
      </c>
      <c r="D53" s="7">
        <f>ROUND(0.629, 4)</f>
        <v>0.629</v>
      </c>
      <c r="E53" s="7">
        <f>ROUND(0.777, 4)</f>
        <v>0.77700000000000002</v>
      </c>
      <c r="G53" s="3" t="s">
        <v>62</v>
      </c>
      <c r="H53" s="36" t="s">
        <v>63</v>
      </c>
      <c r="I53" s="36" t="s">
        <v>64</v>
      </c>
      <c r="J53" s="36" t="s">
        <v>65</v>
      </c>
    </row>
    <row r="54" spans="1:10" x14ac:dyDescent="0.25">
      <c r="A54" s="29" t="s">
        <v>66</v>
      </c>
      <c r="B54" s="29"/>
      <c r="C54" s="7">
        <f>ROUND(0.6362, 4)</f>
        <v>0.63619999999999999</v>
      </c>
      <c r="D54" s="7">
        <f>ROUND(0.5814, 4)</f>
        <v>0.58140000000000003</v>
      </c>
      <c r="E54" s="7">
        <f>ROUND(0.7608, 4)</f>
        <v>0.76080000000000003</v>
      </c>
      <c r="G54" s="3" t="s">
        <v>67</v>
      </c>
      <c r="H54" s="29"/>
      <c r="I54" s="29"/>
      <c r="J54" s="29"/>
    </row>
    <row r="57" spans="1:10" x14ac:dyDescent="0.25">
      <c r="G57" s="21"/>
    </row>
    <row r="58" spans="1:10" x14ac:dyDescent="0.25">
      <c r="A58" s="30" t="s">
        <v>68</v>
      </c>
      <c r="B58" s="30"/>
      <c r="C58" s="14" t="s">
        <v>2</v>
      </c>
      <c r="D58" s="14" t="s">
        <v>355</v>
      </c>
      <c r="E58" s="14" t="s">
        <v>70</v>
      </c>
      <c r="F58" s="14" t="s">
        <v>71</v>
      </c>
      <c r="G58" s="14" t="s">
        <v>72</v>
      </c>
      <c r="H58" s="2"/>
      <c r="I58" s="2"/>
      <c r="J58" s="2"/>
    </row>
    <row r="59" spans="1:10" x14ac:dyDescent="0.25">
      <c r="A59" s="29" t="s">
        <v>73</v>
      </c>
      <c r="B59" s="29"/>
      <c r="C59" s="1">
        <v>122.47</v>
      </c>
      <c r="D59" s="1">
        <v>96.5</v>
      </c>
      <c r="E59" s="1">
        <v>93.87</v>
      </c>
      <c r="F59" s="1">
        <v>57.16</v>
      </c>
      <c r="G59" s="1">
        <f>12/12*C59</f>
        <v>122.47</v>
      </c>
    </row>
    <row r="60" spans="1:10" x14ac:dyDescent="0.25">
      <c r="A60" s="29" t="s">
        <v>74</v>
      </c>
      <c r="B60" s="29"/>
      <c r="C60" s="1">
        <v>33.61</v>
      </c>
      <c r="D60" s="1">
        <v>47.14</v>
      </c>
      <c r="E60" s="1">
        <v>62.84</v>
      </c>
      <c r="F60" s="1">
        <v>65.39</v>
      </c>
      <c r="G60" s="1">
        <f>12/12*C60</f>
        <v>33.61</v>
      </c>
    </row>
    <row r="61" spans="1:10" x14ac:dyDescent="0.25">
      <c r="A61" s="29" t="s">
        <v>75</v>
      </c>
      <c r="B61" s="29"/>
      <c r="C61" s="1">
        <v>284.02999999999997</v>
      </c>
      <c r="D61" s="1">
        <v>265.18</v>
      </c>
      <c r="E61" s="1">
        <v>295.08999999999997</v>
      </c>
      <c r="F61" s="1">
        <v>289.06</v>
      </c>
      <c r="G61" s="1">
        <f>12/12*C61</f>
        <v>284.02999999999997</v>
      </c>
    </row>
    <row r="62" spans="1:10" x14ac:dyDescent="0.25">
      <c r="A62" s="29" t="s">
        <v>76</v>
      </c>
      <c r="B62" s="29"/>
      <c r="C62" s="1">
        <v>144.38999999999999</v>
      </c>
      <c r="D62" s="1">
        <v>117.19</v>
      </c>
      <c r="E62" s="1">
        <v>118.05</v>
      </c>
      <c r="F62" s="1">
        <v>81.41</v>
      </c>
      <c r="G62" s="1">
        <f>12/12*C62</f>
        <v>144.38999999999999</v>
      </c>
    </row>
    <row r="65" spans="1:2" x14ac:dyDescent="0.25">
      <c r="A65" s="28" t="s">
        <v>60</v>
      </c>
      <c r="B65" s="35"/>
    </row>
    <row r="66" spans="1:2" x14ac:dyDescent="0.25">
      <c r="A66" s="3" t="s">
        <v>77</v>
      </c>
      <c r="B66" s="1" t="s">
        <v>356</v>
      </c>
    </row>
    <row r="67" spans="1:2" x14ac:dyDescent="0.25">
      <c r="A67" s="3" t="s">
        <v>70</v>
      </c>
      <c r="B67" s="1" t="s">
        <v>79</v>
      </c>
    </row>
    <row r="68" spans="1:2" x14ac:dyDescent="0.25">
      <c r="A68" s="3" t="s">
        <v>71</v>
      </c>
      <c r="B68" s="1" t="s">
        <v>80</v>
      </c>
    </row>
    <row r="69" spans="1:2" x14ac:dyDescent="0.25">
      <c r="A69" s="3" t="s">
        <v>72</v>
      </c>
      <c r="B69" s="1" t="s">
        <v>81</v>
      </c>
    </row>
  </sheetData>
  <mergeCells count="19">
    <mergeCell ref="A60:B60"/>
    <mergeCell ref="A61:B61"/>
    <mergeCell ref="A62:B62"/>
    <mergeCell ref="A65:B65"/>
    <mergeCell ref="I53:I54"/>
    <mergeCell ref="J53:J54"/>
    <mergeCell ref="A54:B54"/>
    <mergeCell ref="A58:B58"/>
    <mergeCell ref="A59:B59"/>
    <mergeCell ref="A46:B46"/>
    <mergeCell ref="A47:B47"/>
    <mergeCell ref="A52:B52"/>
    <mergeCell ref="A53:B53"/>
    <mergeCell ref="H53:H54"/>
    <mergeCell ref="C7:G7"/>
    <mergeCell ref="A38:B38"/>
    <mergeCell ref="A39:B39"/>
    <mergeCell ref="A44:B44"/>
    <mergeCell ref="A45:B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80</vt:i4>
      </vt:variant>
    </vt:vector>
  </HeadingPairs>
  <TitlesOfParts>
    <vt:vector size="80" baseType="lpstr">
      <vt:lpstr>AMARO</vt:lpstr>
      <vt:lpstr>AMPEZZO</vt:lpstr>
      <vt:lpstr>ARTA TERME</vt:lpstr>
      <vt:lpstr>ARTEGNA</vt:lpstr>
      <vt:lpstr>BASILIANO</vt:lpstr>
      <vt:lpstr>BERTIOLO</vt:lpstr>
      <vt:lpstr>BORDANO</vt:lpstr>
      <vt:lpstr>BUTTRIO</vt:lpstr>
      <vt:lpstr>CAMINO AL TAGLIAMENTO</vt:lpstr>
      <vt:lpstr>CAMPOFORMIDO</vt:lpstr>
      <vt:lpstr>CAVAZZO CARNICO</vt:lpstr>
      <vt:lpstr>CERCIVENTO</vt:lpstr>
      <vt:lpstr>CODROIPO</vt:lpstr>
      <vt:lpstr>COLLOREDO DI MONTE ALBANO</vt:lpstr>
      <vt:lpstr>COMEGLIANS</vt:lpstr>
      <vt:lpstr>CORNO DI ROSAZZO</vt:lpstr>
      <vt:lpstr>COSEANO</vt:lpstr>
      <vt:lpstr>DIGNANO</vt:lpstr>
      <vt:lpstr>DOGNA</vt:lpstr>
      <vt:lpstr>ENEMONZO</vt:lpstr>
      <vt:lpstr>FAGAGNA</vt:lpstr>
      <vt:lpstr>FLAIBANO</vt:lpstr>
      <vt:lpstr>FORGARIA NEL FRIULI</vt:lpstr>
      <vt:lpstr>FORNI AVOLTRI</vt:lpstr>
      <vt:lpstr>FORNI DI SOPRA</vt:lpstr>
      <vt:lpstr>FORNI DI SOTTO</vt:lpstr>
      <vt:lpstr>GEMONA DEL FRIULI</vt:lpstr>
      <vt:lpstr>LAUCO</vt:lpstr>
      <vt:lpstr>LESTIZZA</vt:lpstr>
      <vt:lpstr>LUSEVERA</vt:lpstr>
      <vt:lpstr>MAGNANO IN RIVIERA</vt:lpstr>
      <vt:lpstr>MAJANO</vt:lpstr>
      <vt:lpstr>MARTIGNACCO</vt:lpstr>
      <vt:lpstr>MOGGIO UDINESE</vt:lpstr>
      <vt:lpstr>MOIMACCO</vt:lpstr>
      <vt:lpstr>MONTENARS</vt:lpstr>
      <vt:lpstr>MORTEGLIANO</vt:lpstr>
      <vt:lpstr>MORUZZO</vt:lpstr>
      <vt:lpstr>NIMIS</vt:lpstr>
      <vt:lpstr>OSOPPO</vt:lpstr>
      <vt:lpstr>OVARO</vt:lpstr>
      <vt:lpstr>PAGNACCO</vt:lpstr>
      <vt:lpstr>PALUZZA</vt:lpstr>
      <vt:lpstr>PASIAN DI PRATO</vt:lpstr>
      <vt:lpstr>PAULARO</vt:lpstr>
      <vt:lpstr>PAVIA DI UDINE</vt:lpstr>
      <vt:lpstr>POZZUOLO DEL FRIULI</vt:lpstr>
      <vt:lpstr>PRADAMANO</vt:lpstr>
      <vt:lpstr>PRATO CARNICO</vt:lpstr>
      <vt:lpstr>PREMARIACCO</vt:lpstr>
      <vt:lpstr>PREONE</vt:lpstr>
      <vt:lpstr>RAGOGNA</vt:lpstr>
      <vt:lpstr>RAVASCLETTO</vt:lpstr>
      <vt:lpstr>RAVEO</vt:lpstr>
      <vt:lpstr>REANA DEL ROJALE</vt:lpstr>
      <vt:lpstr>REMANZACCO</vt:lpstr>
      <vt:lpstr>RESIUTTA</vt:lpstr>
      <vt:lpstr>RIGOLATO</vt:lpstr>
      <vt:lpstr>RIVE D'ARCANO</vt:lpstr>
      <vt:lpstr>RIVIGNANO TEOR</vt:lpstr>
      <vt:lpstr>SAN DANIELE DEL FRIULI</vt:lpstr>
      <vt:lpstr>SAN DORLIGO DELLA VALLE-DOLINA</vt:lpstr>
      <vt:lpstr>SAN GIOVANNI AL NATISONE</vt:lpstr>
      <vt:lpstr>SAN VITO DI FAGAGNA</vt:lpstr>
      <vt:lpstr>SAPPADA</vt:lpstr>
      <vt:lpstr>SAURIS</vt:lpstr>
      <vt:lpstr>SEDEGLIANO</vt:lpstr>
      <vt:lpstr>SOCCHIEVE</vt:lpstr>
      <vt:lpstr>SUTRIO</vt:lpstr>
      <vt:lpstr>TAIPANA</vt:lpstr>
      <vt:lpstr>TARCENTO</vt:lpstr>
      <vt:lpstr>TOLMEZZO</vt:lpstr>
      <vt:lpstr>TRASAGHIS</vt:lpstr>
      <vt:lpstr>TREPPO GRANDE</vt:lpstr>
      <vt:lpstr>TREPPO LIGOSULLO</vt:lpstr>
      <vt:lpstr>VARMO</vt:lpstr>
      <vt:lpstr>VENZONE</vt:lpstr>
      <vt:lpstr>VERZEGNIS</vt:lpstr>
      <vt:lpstr>VILLA SANTINA</vt:lpstr>
      <vt:lpstr>ZUGLIO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Moira Soncin</cp:lastModifiedBy>
  <dcterms:created xsi:type="dcterms:W3CDTF">2025-01-30T15:20:38Z</dcterms:created>
  <dcterms:modified xsi:type="dcterms:W3CDTF">2025-02-03T11:02:30Z</dcterms:modified>
  <cp:category/>
</cp:coreProperties>
</file>